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Life Sciences" sheetId="3" r:id="rId3"/>
    <sheet name="Segment - Analytical Instr" sheetId="4" r:id="rId4"/>
    <sheet name="Segment - Specialty Dx" sheetId="5" r:id="rId5"/>
    <sheet name="Segment - Lab Products &amp; BPS" sheetId="6" r:id="rId6"/>
    <sheet name="Income Statement" sheetId="7" r:id="rId7"/>
    <sheet name="Balance Sheet" sheetId="8" r:id="rId8"/>
    <sheet name="Cash Flow Statement" sheetId="9" r:id="rId9"/>
    <sheet name="Geo" sheetId="10" r:id="rId10"/>
    <sheet name="Share Count" sheetId="11" r:id="rId11"/>
    <sheet name="Guidance" sheetId="12" r:id="rId12"/>
    <sheet name="Sources" sheetId="13" r:id="rId13"/>
    <sheet name="Inputs" sheetId="14" r:id="rId14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28" authorId="0">
      <text>
        <t>q12026earnings8kex99_1.htm | Business Segment Information (prior-year column) | (482)</t>
      </text>
    </comment>
    <comment ref="D28" authorId="0">
      <text>
        <t>q22026earnings8kex99_1.htm | Business Segment Information (prior-year column) | (501)</t>
      </text>
    </comment>
    <comment ref="E28" authorId="0">
      <text>
        <t>q32025earnings8kex99_1.htm | Business Segment Information | (503)</t>
      </text>
    </comment>
    <comment ref="F28" authorId="0">
      <text>
        <t>q42025earnings8kex99_1.htm | Business Segment Information (3M Dec 31 2025) | (546)</t>
      </text>
    </comment>
    <comment ref="H28" authorId="0">
      <text>
        <t>q12026earnings8kex99_1.htm | Business Segment Information | (524)</t>
      </text>
    </comment>
    <comment ref="I28" authorId="0">
      <text>
        <t>q22026earnings8kex99_1.htm | Business Segment Information | (565)</t>
      </text>
    </comment>
    <comment ref="C32" authorId="0">
      <text>
        <t>tmo-20250329.htm | MD&amp;A Segment Results (2024 column) | (460)</t>
      </text>
    </comment>
    <comment ref="D32" authorId="0">
      <text>
        <t>tmo-20250628.htm | MD&amp;A Segment Results (2024 column) | (470)</t>
      </text>
    </comment>
    <comment ref="E32" authorId="0">
      <text>
        <t>q32025earnings8kex99_1.htm | Business Segment Information (2024 column) | (467)</t>
      </text>
    </comment>
    <comment ref="F32" authorId="0">
      <text>
        <t>q42025earnings8kex99_1.htm | Business Segment Information (3M Dec 31 2024) | (487)</t>
      </text>
    </comment>
    <comment ref="G32" authorId="0">
      <text>
        <t>q42025earnings8kex99_1.htm | Business Segment Information (year 2024) | (1,885)</t>
      </text>
    </comment>
    <comment ref="C48" authorId="0">
      <text>
        <t>q12026earnings8kex99_1.htm | Condensed Consolidated Statements of Income (prior-year column, 3M Mar 29 2025) | 10,364</t>
      </text>
    </comment>
    <comment ref="D48" authorId="0">
      <text>
        <t>q22026earnings8kex99_1.htm | Condensed Consolidated Statements of Income (prior-year column, 3M Jun 28 2025) | 10,855</t>
      </text>
    </comment>
    <comment ref="E48" authorId="0">
      <text>
        <t>q32025earnings8kex99_1.htm | Condensed Consolidated Statements of Income (3M Sep 27 2025) | 11,122</t>
      </text>
    </comment>
    <comment ref="F48" authorId="0">
      <text>
        <t>q42025earnings8kex99_1.htm | Condensed Consolidated Statements of Income (3M Dec 31 2025) | 12,215</t>
      </text>
    </comment>
    <comment ref="H48" authorId="0">
      <text>
        <t>q12026earnings8kex99_1.htm | Condensed Consolidated Statements of Income (3M Mar 28 2026) | 11,005</t>
      </text>
    </comment>
    <comment ref="I48" authorId="0">
      <text>
        <t>q22026earnings8kex99_1.htm | Condensed Consolidated Statements of Income (3M Jun 27 2026) | 11,994</t>
      </text>
    </comment>
    <comment ref="C52" authorId="0">
      <text>
        <t>q12025earnings8kex99_1.htm | Condensed Consolidated Statements of Income (2024 column) | 10,345</t>
      </text>
    </comment>
    <comment ref="D52" authorId="0">
      <text>
        <t>q22025earnings8kex99_1.htm | Condensed Consolidated Statements of Income (2024 column) | 10,541</t>
      </text>
    </comment>
    <comment ref="E52" authorId="0">
      <text>
        <t>q32025earnings8kex99_1.htm | Condensed Consolidated Statements of Income (2024 column) | 10,598</t>
      </text>
    </comment>
    <comment ref="F52" authorId="0">
      <text>
        <t>q42025earnings8kex99_1.htm | Condensed Consolidated Statements of Income (3M Dec 31 2024) | 11,395</t>
      </text>
    </comment>
    <comment ref="G52" authorId="0">
      <text>
        <t>q42025earnings8kex99_1.htm | Condensed Consolidated Statements of Income (year 2024) | 42,879</t>
      </text>
    </comment>
    <comment ref="C59" authorId="0">
      <text>
        <t>q12025earnings8kex99_1.htm | Organic revenue growth table | 0%</t>
      </text>
    </comment>
    <comment ref="D59" authorId="0">
      <text>
        <t>q22025earnings8kex99_1.htm | Organic revenue growth table | 3%</t>
      </text>
    </comment>
    <comment ref="E59" authorId="0">
      <text>
        <t>q32025earnings8kex99_1.htm | Organic revenue growth table | 5%</t>
      </text>
    </comment>
    <comment ref="F59" authorId="0">
      <text>
        <t>q42025earnings8kex99_1.htm | Organic revenue growth (three months) | 7%</t>
      </text>
    </comment>
    <comment ref="G59" authorId="0">
      <text>
        <t>q42025earnings8kex99_1.htm | Organic revenue growth (year ended) | 4%</t>
      </text>
    </comment>
    <comment ref="H59" authorId="0">
      <text>
        <t>q12026earnings8kex99_1.htm | Organic revenue growth table | 6%</t>
      </text>
    </comment>
    <comment ref="I59" authorId="0">
      <text>
        <t>q22026earnings8kex99_1.htm | Organic revenue growth table | 10%</t>
      </text>
    </comment>
    <comment ref="C60" authorId="0">
      <text>
        <t>q12025earnings8kex99_1.htm | Organic revenue growth table | 0%</t>
      </text>
    </comment>
    <comment ref="D60" authorId="0">
      <text>
        <t>q22025earnings8kex99_1.htm | Organic revenue growth table | 0%</t>
      </text>
    </comment>
    <comment ref="E60" authorId="0">
      <text>
        <t>q32025earnings8kex99_1.htm | Organic revenue growth table | 1%</t>
      </text>
    </comment>
    <comment ref="F60" authorId="0">
      <text>
        <t>q42025earnings8kex99_1.htm | Organic revenue growth (three months) | 2%</t>
      </text>
    </comment>
    <comment ref="G60" authorId="0">
      <text>
        <t>q42025earnings8kex99_1.htm | Organic revenue growth (year ended) | 1%</t>
      </text>
    </comment>
    <comment ref="H60" authorId="0">
      <text>
        <t>q12026earnings8kex99_1.htm | Organic revenue growth table | 3%</t>
      </text>
    </comment>
    <comment ref="I60" authorId="0">
      <text>
        <t>q22026earnings8kex99_1.htm | Organic revenue growth table | 5%</t>
      </text>
    </comment>
    <comment ref="C61" authorId="0">
      <text>
        <t>q12025earnings8kex99_1.htm | Organic revenue growth table | (1)%</t>
      </text>
    </comment>
    <comment ref="D61" authorId="0">
      <text>
        <t>q22025earnings8kex99_1.htm | Organic revenue growth table | 1%</t>
      </text>
    </comment>
    <comment ref="E61" authorId="0">
      <text>
        <t>q32025earnings8kex99_1.htm | Organic revenue growth table | 1%</t>
      </text>
    </comment>
    <comment ref="F61" authorId="0">
      <text>
        <t>q42025earnings8kex99_1.htm | Organic revenue growth (three months) | 2%</t>
      </text>
    </comment>
    <comment ref="G61" authorId="0">
      <text>
        <t>q42025earnings8kex99_1.htm | Organic revenue growth (year ended) | 1%</t>
      </text>
    </comment>
    <comment ref="H61" authorId="0">
      <text>
        <t>q12026earnings8kex99_1.htm | Organic revenue growth table | 2%</t>
      </text>
    </comment>
    <comment ref="I61" authorId="0">
      <text>
        <t>q22026earnings8kex99_1.htm | Organic revenue growth table | 1%</t>
      </text>
    </comment>
    <comment ref="C62" authorId="0">
      <text>
        <t>q12025earnings8kex99_1.htm | Organic revenue growth table | 1%</t>
      </text>
    </comment>
    <comment ref="D62" authorId="0">
      <text>
        <t>q22025earnings8kex99_1.htm | Organic revenue growth table | 2%</t>
      </text>
    </comment>
    <comment ref="E62" authorId="0">
      <text>
        <t>q32025earnings8kex99_1.htm | Organic revenue growth table | 3%</t>
      </text>
    </comment>
    <comment ref="F62" authorId="0">
      <text>
        <t>q42025earnings8kex99_1.htm | Organic revenue growth (three months) | 3%</t>
      </text>
    </comment>
    <comment ref="G62" authorId="0">
      <text>
        <t>q42025earnings8kex99_1.htm | Organic revenue growth (year ended) | 2%</t>
      </text>
    </comment>
    <comment ref="H62" authorId="0">
      <text>
        <t>q12026earnings8kex99_1.htm | Organic revenue growth table | 1%</t>
      </text>
    </comment>
    <comment ref="I62" authorId="0">
      <text>
        <t>q22026earnings8kex99_1.htm | Organic revenue growth table | 5%</t>
      </text>
    </comment>
    <comment ref="C74" authorId="0">
      <text>
        <t>tmo-20260328.htm | Note: Disaggregated Revenues (Revenues by business) (Mar 29 2025 column) | 4,354</t>
      </text>
    </comment>
    <comment ref="D74" authorId="0">
      <text>
        <t>tmo-20260627.htm | Note: Disaggregated Revenues (Revenues by business) (Jun 28 2025 column) | 4,606</t>
      </text>
    </comment>
    <comment ref="E74" authorId="0">
      <text>
        <t>tmo-20250927.htm | Note: Disaggregated Revenues (Revenues by business) (3M Sep 27 2025) | 4,679</t>
      </text>
    </comment>
    <comment ref="G74" authorId="0">
      <text>
        <t>R64.htm (10-K XBRL) | Schedule of Disaggregated Revenues (Dec. 31, 2025) | 18,664</t>
      </text>
    </comment>
    <comment ref="H74" authorId="0">
      <text>
        <t>tmo-20260328.htm | Note: Disaggregated Revenues (Revenues by business) (Mar 28 2026) | 4,722</t>
      </text>
    </comment>
    <comment ref="I74" authorId="0">
      <text>
        <t>tmo-20260627.htm | Note: Disaggregated Revenues (Revenues by business) (3M Jun 27 2026) | 5,073</t>
      </text>
    </comment>
    <comment ref="C78" authorId="0">
      <text>
        <t>tmo-20250329.htm | Note: Disaggregated Revenues (Revenues by business) (Mar 30 2024 column) | 4,328</t>
      </text>
    </comment>
    <comment ref="D78" authorId="0">
      <text>
        <t>tmo-20250628.htm | Note: Disaggregated Revenues (Revenues by business) (3M Jun 29 2024) | 4,363</t>
      </text>
    </comment>
    <comment ref="E78" authorId="0">
      <text>
        <t>tmo-20250927.htm | Note: Disaggregated Revenues (Revenues by business) (3M Sep 28 2024) | 4,379</t>
      </text>
    </comment>
    <comment ref="G78" authorId="0">
      <text>
        <t>R64.htm (10-K XBRL) | Schedule of Disaggregated Revenues (Dec. 31, 2024) | 17,587</t>
      </text>
    </comment>
    <comment ref="C84" authorId="0">
      <text>
        <t>tmo-20260328.htm | Note: Disaggregated Revenues (Revenues by business) (Mar 29 2025 column) | 1,626</t>
      </text>
    </comment>
    <comment ref="D84" authorId="0">
      <text>
        <t>tmo-20260627.htm | Note: Disaggregated Revenues (Revenues by business) (Jun 28 2025 column) | 1,644</t>
      </text>
    </comment>
    <comment ref="E84" authorId="0">
      <text>
        <t>tmo-20250927.htm | Note: Disaggregated Revenues (Revenues by business) (3M Sep 27 2025) | 1,811</t>
      </text>
    </comment>
    <comment ref="G84" authorId="0">
      <text>
        <t>R64.htm (10-K XBRL) | Schedule of Disaggregated Revenues (Dec. 31, 2025) | 7,301</t>
      </text>
    </comment>
    <comment ref="H84" authorId="0">
      <text>
        <t>tmo-20260328.htm | Note: Disaggregated Revenues (Revenues by business) (Mar 28 2026) | 1,555</t>
      </text>
    </comment>
    <comment ref="I84" authorId="0">
      <text>
        <t>tmo-20260627.htm | Note: Disaggregated Revenues (Revenues by business) (3M Jun 27 2026) | 1,750</t>
      </text>
    </comment>
    <comment ref="C88" authorId="0">
      <text>
        <t>tmo-20250329.htm | Note: Disaggregated Revenues (Revenues by business) (Mar 30 2024 column) | 1,627</t>
      </text>
    </comment>
    <comment ref="D88" authorId="0">
      <text>
        <t>tmo-20250628.htm | Note: Disaggregated Revenues (Revenues by business) (3M Jun 29 2024) | 1,800</t>
      </text>
    </comment>
    <comment ref="E88" authorId="0">
      <text>
        <t>tmo-20250927.htm | Note: Disaggregated Revenues (Revenues by business) (3M Sep 28 2024) | 1,769</t>
      </text>
    </comment>
    <comment ref="G88" authorId="0">
      <text>
        <t>R64.htm (10-K XBRL) | Schedule of Disaggregated Revenues (Dec. 31, 2024) | 7,446</t>
      </text>
    </comment>
    <comment ref="C94" authorId="0">
      <text>
        <t>tmo-20260328.htm | Note: Disaggregated Revenues (Revenues by business) (Mar 29 2025 column) | 4,384</t>
      </text>
    </comment>
    <comment ref="D94" authorId="0">
      <text>
        <t>tmo-20260627.htm | Note: Disaggregated Revenues (Revenues by business) (Jun 28 2025 column) | 4,605</t>
      </text>
    </comment>
    <comment ref="E94" authorId="0">
      <text>
        <t>tmo-20250927.htm | Note: Disaggregated Revenues (Revenues by business) (3M Sep 27 2025) | 4,633</t>
      </text>
    </comment>
    <comment ref="G94" authorId="0">
      <text>
        <t>R64.htm (10-K XBRL) | Schedule of Disaggregated Revenues (Dec. 31, 2025) | 18,592</t>
      </text>
    </comment>
    <comment ref="H94" authorId="0">
      <text>
        <t>tmo-20260328.htm | Note: Disaggregated Revenues (Revenues by business) (Mar 28 2026) | 4,728</t>
      </text>
    </comment>
    <comment ref="I94" authorId="0">
      <text>
        <t>tmo-20260627.htm | Note: Disaggregated Revenues (Revenues by business) (3M Jun 27 2026) | 5,171</t>
      </text>
    </comment>
    <comment ref="C98" authorId="0">
      <text>
        <t>tmo-20250329.htm | Note: Disaggregated Revenues (Revenues by business) (Mar 30 2024 column) | 4,390</t>
      </text>
    </comment>
    <comment ref="D98" authorId="0">
      <text>
        <t>tmo-20250628.htm | Note: Disaggregated Revenues (Revenues by business) (3M Jun 29 2024) | 4,378</t>
      </text>
    </comment>
    <comment ref="E98" authorId="0">
      <text>
        <t>tmo-20250927.htm | Note: Disaggregated Revenues (Revenues by business) (3M Sep 28 2024) | 4,450</t>
      </text>
    </comment>
    <comment ref="G98" authorId="0">
      <text>
        <t>R64.htm (10-K XBRL) | Schedule of Disaggregated Revenues (Dec. 31, 2024) | 17,845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11" authorId="0">
      <text>
        <t>tmo-20260328.htm | Note: Disaggregated Revenues (Revenues by business) (Mar 29 2025 column) | 993</t>
      </text>
    </comment>
    <comment ref="D11" authorId="0">
      <text>
        <t>tmo-20260627.htm | Note: Disaggregated Revenues (Revenues by business) (Jun 28 2025 column) | 1,075</t>
      </text>
    </comment>
    <comment ref="E11" authorId="0">
      <text>
        <t>tmo-20250927.htm | Note: Disaggregated Revenues (Revenues by business) (3M Sep 27 2025) | 1,023</t>
      </text>
    </comment>
    <comment ref="G11" authorId="0">
      <text>
        <t>R64.htm (10-K XBRL) | Schedule of Disaggregated Revenues (Dec. 31, 2025) | 4,169</t>
      </text>
    </comment>
    <comment ref="H11" authorId="0">
      <text>
        <t>tmo-20260328.htm | Note: Disaggregated Revenues (Revenues by business) (Mar 28 2026) | 981</t>
      </text>
    </comment>
    <comment ref="I11" authorId="0">
      <text>
        <t>tmo-20260627.htm | Note: Disaggregated Revenues (Revenues by business) (3M Jun 27 2026) | 1,060</t>
      </text>
    </comment>
    <comment ref="C15" authorId="0">
      <text>
        <t>tmo-20250329.htm | Note: Disaggregated Revenues (Revenues by business) (Mar 30 2024 column) | 1,059</t>
      </text>
    </comment>
    <comment ref="D15" authorId="0">
      <text>
        <t>tmo-20250628.htm | Note: Disaggregated Revenues (Revenues by business) (3M Jun 29 2024) | 1,059</t>
      </text>
    </comment>
    <comment ref="E15" authorId="0">
      <text>
        <t>tmo-20250927.htm | Note: Disaggregated Revenues (Revenues by business) (3M Sep 28 2024) | 1,006</t>
      </text>
    </comment>
    <comment ref="G15" authorId="0">
      <text>
        <t>R64.htm (10-K XBRL) | Schedule of Disaggregated Revenues (Dec. 31, 2024) | 4,192</t>
      </text>
    </comment>
    <comment ref="C24" authorId="0">
      <text>
        <t>tmo-20260328.htm | Note: Disaggregated Revenues (Revenues by business) (Mar 29 2025 column) | 677</t>
      </text>
    </comment>
    <comment ref="D24" authorId="0">
      <text>
        <t>tmo-20260627.htm | Note: Disaggregated Revenues (Revenues by business) (Jun 28 2025 column) | 679</t>
      </text>
    </comment>
    <comment ref="E24" authorId="0">
      <text>
        <t>tmo-20250927.htm | Note: Disaggregated Revenues (Revenues by business) (3M Sep 27 2025) | 720</t>
      </text>
    </comment>
    <comment ref="G24" authorId="0">
      <text>
        <t>R64.htm (10-K XBRL) | Schedule of Disaggregated Revenues (Dec. 31, 2025) | 2,870</t>
      </text>
    </comment>
    <comment ref="H24" authorId="0">
      <text>
        <t>tmo-20260328.htm | Note: Disaggregated Revenues (Revenues by business) (Mar 28 2026) | 655</t>
      </text>
    </comment>
    <comment ref="I24" authorId="0">
      <text>
        <t>tmo-20260627.htm | Note: Disaggregated Revenues (Revenues by business) (3M Jun 27 2026) | 703</t>
      </text>
    </comment>
    <comment ref="C28" authorId="0">
      <text>
        <t>tmo-20250329.htm | Note: Disaggregated Revenues (Revenues by business) (Mar 30 2024 column) | 637</t>
      </text>
    </comment>
    <comment ref="D28" authorId="0">
      <text>
        <t>tmo-20250628.htm | Note: Disaggregated Revenues (Revenues by business) (3M Jun 29 2024) | 663</t>
      </text>
    </comment>
    <comment ref="E28" authorId="0">
      <text>
        <t>tmo-20250927.htm | Note: Disaggregated Revenues (Revenues by business) (3M Sep 28 2024) | 701</t>
      </text>
    </comment>
    <comment ref="G28" authorId="0">
      <text>
        <t>R64.htm (10-K XBRL) | Schedule of Disaggregated Revenues (Dec. 31, 2024) | 2,787</t>
      </text>
    </comment>
    <comment ref="C37" authorId="0">
      <text>
        <t>tmo-20260328.htm | Note: Disaggregated Revenues (Revenues by business) (Mar 29 2025 column) | 671</t>
      </text>
    </comment>
    <comment ref="D37" authorId="0">
      <text>
        <t>tmo-20260627.htm | Note: Disaggregated Revenues (Revenues by business) (Jun 28 2025 column) | 745</t>
      </text>
    </comment>
    <comment ref="E37" authorId="0">
      <text>
        <t>tmo-20250927.htm | Note: Disaggregated Revenues (Revenues by business) (3M Sep 27 2025) | 817</t>
      </text>
    </comment>
    <comment ref="G37" authorId="0">
      <text>
        <t>R64.htm (10-K XBRL) | Schedule of Disaggregated Revenues (Dec. 31, 2025) | 3,200</t>
      </text>
    </comment>
    <comment ref="H37" authorId="0">
      <text>
        <t>tmo-20260328.htm | Note: Disaggregated Revenues (Revenues by business) (Mar 28 2026) | 893</t>
      </text>
    </comment>
    <comment ref="I37" authorId="0">
      <text>
        <t>tmo-20260627.htm | Note: Disaggregated Revenues (Revenues by business) (3M Jun 27 2026) | 941</t>
      </text>
    </comment>
    <comment ref="C41" authorId="0">
      <text>
        <t>tmo-20250329.htm | Note: Disaggregated Revenues (Revenues by business) (Mar 30 2024 column) | 590</t>
      </text>
    </comment>
    <comment ref="D41" authorId="0">
      <text>
        <t>tmo-20250628.htm | Note: Disaggregated Revenues (Revenues by business) (3M Jun 29 2024) | 633</t>
      </text>
    </comment>
    <comment ref="E41" authorId="0">
      <text>
        <t>tmo-20250927.htm | Note: Disaggregated Revenues (Revenues by business) (3M Sep 28 2024) | 680</t>
      </text>
    </comment>
    <comment ref="G41" authorId="0">
      <text>
        <t>R64.htm (10-K XBRL) | Schedule of Disaggregated Revenues (Dec. 31, 2024) | 2,652</t>
      </text>
    </comment>
    <comment ref="C50" authorId="0">
      <text>
        <t>tmo-20260328.htm | Note: Disaggregated Revenues (Revenues by business) (Mar 29 2025 column) | 0</t>
      </text>
    </comment>
    <comment ref="D50" authorId="0">
      <text>
        <t>tmo-20260627.htm | Note: Disaggregated Revenues (Revenues by business) (Jun 28 2025 column) | 0</t>
      </text>
    </comment>
    <comment ref="E50" authorId="0">
      <text>
        <t>tmo-20250927.htm | Note: Disaggregated Revenues (Revenues by business) (3M Sep 27 2025) | 28</t>
      </text>
    </comment>
    <comment ref="G50" authorId="0">
      <text>
        <t>R64.htm (10-K XBRL) | Schedule of Disaggregated Revenues (Dec. 31, 2025) | 136</t>
      </text>
    </comment>
    <comment ref="H50" authorId="0">
      <text>
        <t>tmo-20260328.htm | Note: Disaggregated Revenues (Revenues by business) (Mar 28 2026) | 107</t>
      </text>
    </comment>
    <comment ref="I50" authorId="0">
      <text>
        <t>tmo-20260627.htm | Note: Disaggregated Revenues (Revenues by business) (3M Jun 27 2026) | 112</t>
      </text>
    </comment>
    <comment ref="C54" authorId="0">
      <text>
        <t>tmo-20250329.htm | Note: Disaggregated Revenues (Revenues by business) (Mar 30 2024 column) | 0</t>
      </text>
    </comment>
    <comment ref="D54" authorId="0">
      <text>
        <t>tmo-20250628.htm | Note: Disaggregated Revenues (Revenues by business) (3M Jun 29 2024) | 0</t>
      </text>
    </comment>
    <comment ref="E54" authorId="0">
      <text>
        <t>tmo-20250927.htm | Note: Disaggregated Revenues (Revenues by business) (3M Sep 28 2024) | (1)</t>
      </text>
    </comment>
    <comment ref="G54" authorId="0">
      <text>
        <t>R64.htm (10-K XBRL) | Schedule of Disaggregated Revenues (Dec. 31, 2024) | 0</t>
      </text>
    </comment>
    <comment ref="C65" authorId="0">
      <text>
        <t>q12026earnings8kex99_1.htm | Business Segment Information (prior-year column) | 2,341</t>
      </text>
    </comment>
    <comment ref="D65" authorId="0">
      <text>
        <t>q22026earnings8kex99_1.htm | Business Segment Information (prior-year column) | 2,499</t>
      </text>
    </comment>
    <comment ref="E65" authorId="0">
      <text>
        <t>q32025earnings8kex99_1.htm | Business Segment Information | 2,588</t>
      </text>
    </comment>
    <comment ref="F65" authorId="0">
      <text>
        <t>q42025earnings8kex99_1.htm | Business Segment Information (3M Dec 31 2025) | 2,946</t>
      </text>
    </comment>
    <comment ref="H65" authorId="0">
      <text>
        <t>q12026earnings8kex99_1.htm | Business Segment Information | 2,636</t>
      </text>
    </comment>
    <comment ref="I65" authorId="0">
      <text>
        <t>q22026earnings8kex99_1.htm | Business Segment Information | 2,815</t>
      </text>
    </comment>
    <comment ref="C70" authorId="0">
      <text>
        <t>tmo-20250329.htm | MD&amp;A Segment Results (2024 column) | 2,285</t>
      </text>
    </comment>
    <comment ref="D70" authorId="0">
      <text>
        <t>tmo-20250628.htm | MD&amp;A Segment Results (2024 column) | 2,355</t>
      </text>
    </comment>
    <comment ref="E70" authorId="0">
      <text>
        <t>q32025earnings8kex99_1.htm | Business Segment Information (2024 column) | 2,387</t>
      </text>
    </comment>
    <comment ref="F70" authorId="0">
      <text>
        <t>q42025earnings8kex99_1.htm | Business Segment Information (3M Dec 31 2024) | 2,604</t>
      </text>
    </comment>
    <comment ref="G70" authorId="0">
      <text>
        <t>q42025earnings8kex99_1.htm | Business Segment Information (year 2024) | 9,631</t>
      </text>
    </comment>
    <comment ref="C77" authorId="0">
      <text>
        <t>tmo-20250329.htm | MD&amp;A Segment Results (three months) | 2%</t>
      </text>
    </comment>
    <comment ref="D77" authorId="0">
      <text>
        <t>tmo-20250628.htm | MD&amp;A Segment Results (three months) | 6%</t>
      </text>
    </comment>
    <comment ref="E77" authorId="0">
      <text>
        <t>tmo-20250927.htm | MD&amp;A Segment Results (three months) | 8%</t>
      </text>
    </comment>
    <comment ref="F77" authorId="0">
      <text>
        <t>Fool Q4 2025 call transcript | CFO segment remarks | 13%</t>
      </text>
    </comment>
    <comment ref="G77" authorId="0">
      <text>
        <t>tmo-20251231.htm | MD&amp;A Segment Results (2025) | 8%</t>
      </text>
    </comment>
    <comment ref="H77" authorId="0">
      <text>
        <t>tmo-20260328.htm | MD&amp;A Segment Results (three months) | 13%</t>
      </text>
    </comment>
    <comment ref="I77" authorId="0">
      <text>
        <t>tmo-20260627.htm | MD&amp;A Segment Results (three months) | 13%</t>
      </text>
    </comment>
    <comment ref="C78" authorId="0">
      <text>
        <t>tmo-20250329.htm | MD&amp;A Segment Results (three months) | 2%</t>
      </text>
    </comment>
    <comment ref="D78" authorId="0">
      <text>
        <t>tmo-20250628.htm | MD&amp;A Segment Results (three months) | 1%</t>
      </text>
    </comment>
    <comment ref="E78" authorId="0">
      <text>
        <t>tmo-20250927.htm | MD&amp;A Segment Results (three months) | 3%</t>
      </text>
    </comment>
    <comment ref="G78" authorId="0">
      <text>
        <t>tmo-20251231.htm | MD&amp;A Segment Results (2025) | 3%</t>
      </text>
    </comment>
    <comment ref="H78" authorId="0">
      <text>
        <t>tmo-20260328.htm | MD&amp;A Segment Results (three months) | 9%</t>
      </text>
    </comment>
    <comment ref="I78" authorId="0">
      <text>
        <t>tmo-20260627.htm | MD&amp;A Segment Results (three months) | 9%</t>
      </text>
    </comment>
    <comment ref="C79" authorId="0">
      <text>
        <t>tmo-20250329.htm | MD&amp;A Segment Results (three months) | (1)%</t>
      </text>
    </comment>
    <comment ref="D79" authorId="0">
      <text>
        <t>tmo-20250628.htm | MD&amp;A Segment Results (three months) | 1%</t>
      </text>
    </comment>
    <comment ref="E79" authorId="0">
      <text>
        <t>tmo-20250927.htm | MD&amp;A Segment Results (three months) | 1%</t>
      </text>
    </comment>
    <comment ref="G79" authorId="0">
      <text>
        <t>tmo-20251231.htm | MD&amp;A Segment Results (2025) | 1%</t>
      </text>
    </comment>
    <comment ref="H79" authorId="0">
      <text>
        <t>tmo-20260328.htm | MD&amp;A Segment Results (three months) | 3%</t>
      </text>
    </comment>
    <comment ref="I79" authorId="0">
      <text>
        <t>tmo-20260627.htm | MD&amp;A Segment Results (three months) | 1%</t>
      </text>
    </comment>
    <comment ref="C80" authorId="0">
      <text>
        <t>tmo-20250329.htm | MD&amp;A Segment Results (three months) | 2%</t>
      </text>
    </comment>
    <comment ref="D80" authorId="0">
      <text>
        <t>tmo-20250628.htm | MD&amp;A Segment Results (three months) | 4%</t>
      </text>
    </comment>
    <comment ref="E80" authorId="0">
      <text>
        <t>tmo-20250927.htm | MD&amp;A Segment Results (three months) | 5%</t>
      </text>
    </comment>
    <comment ref="F80" authorId="0">
      <text>
        <t>Fool Q4 2025 call transcript | CFO segment remarks | 4%</t>
      </text>
    </comment>
    <comment ref="G80" authorId="0">
      <text>
        <t>tmo-20251231.htm | MD&amp;A Segment Results (2025) | 3%</t>
      </text>
    </comment>
    <comment ref="H80" authorId="0">
      <text>
        <t>tmo-20260328.htm | MD&amp;A Segment Results (three months) | 1%</t>
      </text>
    </comment>
    <comment ref="I80" authorId="0">
      <text>
        <t>tmo-20260627.htm | MD&amp;A Segment Results (three months) | 3%</t>
      </text>
    </comment>
    <comment ref="C84" authorId="0">
      <text>
        <t>q12026earnings8kex99_1.htm | Business Segment Information (prior-year column) | 834</t>
      </text>
    </comment>
    <comment ref="D84" authorId="0">
      <text>
        <t>q22026earnings8kex99_1.htm | Business Segment Information (prior-year column) | 919</t>
      </text>
    </comment>
    <comment ref="E84" authorId="0">
      <text>
        <t>q32025earnings8kex99_1.htm | Business Segment Information | 968</t>
      </text>
    </comment>
    <comment ref="F84" authorId="0">
      <text>
        <t>q42025earnings8kex99_1.htm | Business Segment Information (3M Dec 31 2025) | 1,046</t>
      </text>
    </comment>
    <comment ref="H84" authorId="0">
      <text>
        <t>q12026earnings8kex99_1.htm | Business Segment Information | 954</t>
      </text>
    </comment>
    <comment ref="I84" authorId="0">
      <text>
        <t>q22026earnings8kex99_1.htm | Business Segment Information | 1,041</t>
      </text>
    </comment>
    <comment ref="C87" authorId="0">
      <text>
        <t>tmo-20250329.htm | MD&amp;A Segment Results (2024 column) | 840</t>
      </text>
    </comment>
    <comment ref="D87" authorId="0">
      <text>
        <t>tmo-20250628.htm | MD&amp;A Segment Results (2024 column) | 865</t>
      </text>
    </comment>
    <comment ref="E87" authorId="0">
      <text>
        <t>q32025earnings8kex99_1.htm | Business Segment Information (2024 column) | 845</t>
      </text>
    </comment>
    <comment ref="F87" authorId="0">
      <text>
        <t>q42025earnings8kex99_1.htm | Business Segment Information (3M Dec 31 2024) | 952</t>
      </text>
    </comment>
    <comment ref="G87" authorId="0">
      <text>
        <t>q42025earnings8kex99_1.htm | Business Segment Information (year 2024) | 3,503</t>
      </text>
    </comment>
    <comment ref="C96" authorId="0">
      <text>
        <t>tmo-20260328.htm | Business segment information (3M Mar 29 2025, recast) | 1,954</t>
      </text>
    </comment>
    <comment ref="D96" authorId="0">
      <text>
        <t>tmo-20260627.htm | Business segment information (3M Jun 28 2025, recast) | 2,115</t>
      </text>
    </comment>
    <comment ref="E96" authorId="0">
      <text>
        <t>tmo-20250927.htm | Business segment information (3M Sep 27 2025) | 2,194</t>
      </text>
    </comment>
    <comment ref="G96" authorId="0">
      <text>
        <t>R83.htm (10-K XBRL) | Schedule of Business Segment Information (FY2025) | 8,781</t>
      </text>
    </comment>
    <comment ref="H96" authorId="0">
      <text>
        <t>tmo-20260328.htm | Business segment information (3M Mar 28 2026) | 2,219</t>
      </text>
    </comment>
    <comment ref="I96" authorId="0">
      <text>
        <t>tmo-20260627.htm | Business segment information (3M Jun 27 2026) | 2,355</t>
      </text>
    </comment>
    <comment ref="C99" authorId="0">
      <text>
        <t>tmo-20260328.htm | Business segment information (3M Mar 29 2025, recast) | 387</t>
      </text>
    </comment>
    <comment ref="D99" authorId="0">
      <text>
        <t>tmo-20260627.htm | Business segment information (3M Jun 28 2025, recast) | 385</t>
      </text>
    </comment>
    <comment ref="E99" authorId="0">
      <text>
        <t>tmo-20250927.htm | Business segment information (3M Sep 27 2025) | 394</t>
      </text>
    </comment>
    <comment ref="G99" authorId="0">
      <text>
        <t>R83.htm (10-K XBRL) | Schedule of Business Segment Information (FY2025) | 1,593</t>
      </text>
    </comment>
    <comment ref="H99" authorId="0">
      <text>
        <t>tmo-20260328.htm | Business segment information (3M Mar 28 2026) | 417</t>
      </text>
    </comment>
    <comment ref="I99" authorId="0">
      <text>
        <t>tmo-20260627.htm | Business segment information (3M Jun 27 2026) | 460</t>
      </text>
    </comment>
    <comment ref="C107" authorId="0">
      <text>
        <t>tmo-20260328.htm | Business segment information (3M Mar 29 2025, recast) | 855</t>
      </text>
    </comment>
    <comment ref="D107" authorId="0">
      <text>
        <t>tmo-20260627.htm | Business segment information (3M Jun 28 2025, recast) | 925</t>
      </text>
    </comment>
    <comment ref="E107" authorId="0">
      <text>
        <t>tmo-20250927.htm | Business segment information (3M Sep 27 2025) | 961</t>
      </text>
    </comment>
    <comment ref="G107" authorId="0">
      <text>
        <t>R83.htm (10-K XBRL) | Schedule of Business Segment Information (FY2025) | 3,929</t>
      </text>
    </comment>
    <comment ref="H107" authorId="0">
      <text>
        <t>tmo-20260328.htm | Business segment information (3M Mar 28 2026) | 1,004</t>
      </text>
    </comment>
    <comment ref="I107" authorId="0">
      <text>
        <t>tmo-20260627.htm | Business segment information (3M Jun 27 2026) | 1,080</t>
      </text>
    </comment>
    <comment ref="C113" authorId="0">
      <text>
        <t>tmo-20260328.htm | Business segment information (3M Mar 29 2025, recast) | 468</t>
      </text>
    </comment>
    <comment ref="D113" authorId="0">
      <text>
        <t>tmo-20260627.htm | Business segment information (3M Jun 28 2025, recast) | 467</t>
      </text>
    </comment>
    <comment ref="E113" authorId="0">
      <text>
        <t>tmo-20250927.htm | Business segment information (3M Sep 27 2025) | 470</t>
      </text>
    </comment>
    <comment ref="G113" authorId="0">
      <text>
        <t>R83.htm (10-K XBRL) | Schedule of Business Segment Information (FY2025) | 1,912</t>
      </text>
    </comment>
    <comment ref="H113" authorId="0">
      <text>
        <t>tmo-20260328.htm | Business segment information (3M Mar 28 2026) | 496</t>
      </text>
    </comment>
    <comment ref="I113" authorId="0">
      <text>
        <t>tmo-20260627.htm | Business segment information (3M Jun 27 2026) | 500</t>
      </text>
    </comment>
    <comment ref="C119" authorId="0">
      <text>
        <t>tmo-20260328.htm | Business segment information (3M Mar 29 2025, recast) | 139</t>
      </text>
    </comment>
    <comment ref="D119" authorId="0">
      <text>
        <t>tmo-20260627.htm | Business segment information (3M Jun 28 2025, recast) | 135</t>
      </text>
    </comment>
    <comment ref="E119" authorId="0">
      <text>
        <t>tmo-20250927.htm | Business segment information (3M Sep 27 2025) | 136</t>
      </text>
    </comment>
    <comment ref="G119" authorId="0">
      <text>
        <t>R83.htm (10-K XBRL) | Schedule of Business Segment Information (FY2025) | 553</t>
      </text>
    </comment>
    <comment ref="H119" authorId="0">
      <text>
        <t>tmo-20260328.htm | Business segment information (3M Mar 28 2026) | 131</t>
      </text>
    </comment>
    <comment ref="I119" authorId="0">
      <text>
        <t>tmo-20260627.htm | Business segment information (3M Jun 27 2026) | 140</t>
      </text>
    </comment>
    <comment ref="C125" authorId="0">
      <text>
        <t>tmo-20260328.htm | Business segment information (3M Mar 29 2025, recast) | 45</t>
      </text>
    </comment>
    <comment ref="D125" authorId="0">
      <text>
        <t>tmo-20260627.htm | Business segment information (3M Jun 28 2025, recast) | 54</t>
      </text>
    </comment>
    <comment ref="E125" authorId="0">
      <text>
        <t>tmo-20250927.htm | Business segment information (3M Sep 27 2025) | 53</t>
      </text>
    </comment>
    <comment ref="G125" authorId="0">
      <text>
        <t>R83.htm (10-K XBRL) | Schedule of Business Segment Information (FY2025) | 213</t>
      </text>
    </comment>
    <comment ref="H125" authorId="0">
      <text>
        <t>tmo-20260328.htm | Business segment information (3M Mar 28 2026) | 50</t>
      </text>
    </comment>
    <comment ref="I125" authorId="0">
      <text>
        <t>tmo-20260627.htm | Business segment information (3M Jun 27 2026) | 54</t>
      </text>
    </comment>
    <comment ref="C130" authorId="0">
      <text>
        <t>tmo-20260328.htm | Business segment information (3M Mar 29 2025, recast) | 43</t>
      </text>
    </comment>
    <comment ref="D130" authorId="0">
      <text>
        <t>tmo-20260627.htm | Business segment information (3M Jun 28 2025, recast) | 25</t>
      </text>
    </comment>
    <comment ref="E130" authorId="0">
      <text>
        <t>tmo-20250927.htm | Business segment information (3M Sep 27 2025) | 32</t>
      </text>
    </comment>
    <comment ref="G130" authorId="0">
      <text>
        <t>R83.htm (10-K XBRL) | Schedule of Business Segment Information (FY2025) | 152</t>
      </text>
    </comment>
    <comment ref="H130" authorId="0">
      <text>
        <t>tmo-20260328.htm | Business segment information (3M Mar 28 2026) | 20</t>
      </text>
    </comment>
    <comment ref="I130" authorId="0">
      <text>
        <t>tmo-20260627.htm | Business segment information (3M Jun 27 2026) | 59</t>
      </text>
    </comment>
    <comment ref="C131" authorId="0">
      <text>
        <t>tmo-20260328.htm | Business segment information (3M Mar 29 2025, recast) | 59</t>
      </text>
    </comment>
    <comment ref="D131" authorId="0">
      <text>
        <t>tmo-20260627.htm | Business segment information (3M Jun 28 2025, recast) | 56</t>
      </text>
    </comment>
    <comment ref="E131" authorId="0">
      <text>
        <t>tmo-20250927.htm | Business segment information (3M Sep 27 2025) | 62</t>
      </text>
    </comment>
    <comment ref="G131" authorId="0">
      <text>
        <t>R83.htm (10-K XBRL) | Schedule of Business Segment Information (FY2025) | 251</t>
      </text>
    </comment>
    <comment ref="H131" authorId="0">
      <text>
        <t>tmo-20260328.htm | Business segment information (3M Mar 28 2026) | 70</t>
      </text>
    </comment>
    <comment ref="I131" authorId="0">
      <text>
        <t>tmo-20260627.htm | Business segment information (3M Jun 27 2026) | 69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11" authorId="0">
      <text>
        <t>tmo-20260328.htm | Note: Disaggregated Revenues (Revenues by business) (Mar 29 2025 column) | 773</t>
      </text>
    </comment>
    <comment ref="D11" authorId="0">
      <text>
        <t>tmo-20260627.htm | Note: Disaggregated Revenues (Revenues by business) (Jun 28 2025 column) | 784</t>
      </text>
    </comment>
    <comment ref="E11" authorId="0">
      <text>
        <t>tmo-20250927.htm | Note: Disaggregated Revenues (Revenues by business) (3M Sep 27 2025) | 841</t>
      </text>
    </comment>
    <comment ref="G11" authorId="0">
      <text>
        <t>R64.htm (10-K XBRL) | Schedule of Disaggregated Revenues (Dec. 31, 2025) | 3,360</t>
      </text>
    </comment>
    <comment ref="H11" authorId="0">
      <text>
        <t>tmo-20260328.htm | Note: Disaggregated Revenues (Revenues by business) (Mar 28 2026) | 798</t>
      </text>
    </comment>
    <comment ref="I11" authorId="0">
      <text>
        <t>tmo-20260627.htm | Note: Disaggregated Revenues (Revenues by business) (3M Jun 27 2026) | 821</t>
      </text>
    </comment>
    <comment ref="C15" authorId="0">
      <text>
        <t>tmo-20250329.htm | Note: Disaggregated Revenues (Revenues by business) (Mar 30 2024 column) | 789</t>
      </text>
    </comment>
    <comment ref="D15" authorId="0">
      <text>
        <t>tmo-20250628.htm | Note: Disaggregated Revenues (Revenues by business) (3M Jun 29 2024) | 773</t>
      </text>
    </comment>
    <comment ref="E15" authorId="0">
      <text>
        <t>tmo-20250927.htm | Note: Disaggregated Revenues (Revenues by business) (3M Sep 28 2024) | 802</t>
      </text>
    </comment>
    <comment ref="G15" authorId="0">
      <text>
        <t>R64.htm (10-K XBRL) | Schedule of Disaggregated Revenues (Dec. 31, 2024) | 3,278</t>
      </text>
    </comment>
    <comment ref="C24" authorId="0">
      <text>
        <t>tmo-20260328.htm | Note: Disaggregated Revenues (Revenues by business) (Mar 29 2025 column) | 286</t>
      </text>
    </comment>
    <comment ref="D24" authorId="0">
      <text>
        <t>tmo-20260627.htm | Note: Disaggregated Revenues (Revenues by business) (Jun 28 2025 column) | 292</t>
      </text>
    </comment>
    <comment ref="E24" authorId="0">
      <text>
        <t>tmo-20250927.htm | Note: Disaggregated Revenues (Revenues by business) (3M Sep 27 2025) | 320</t>
      </text>
    </comment>
    <comment ref="G24" authorId="0">
      <text>
        <t>R64.htm (10-K XBRL) | Schedule of Disaggregated Revenues (Dec. 31, 2025) | 1,237</t>
      </text>
    </comment>
    <comment ref="H24" authorId="0">
      <text>
        <t>tmo-20260328.htm | Note: Disaggregated Revenues (Revenues by business) (Mar 28 2026) | 285</t>
      </text>
    </comment>
    <comment ref="I24" authorId="0">
      <text>
        <t>tmo-20260627.htm | Note: Disaggregated Revenues (Revenues by business) (3M Jun 27 2026) | 318</t>
      </text>
    </comment>
    <comment ref="C28" authorId="0">
      <text>
        <t>tmo-20250329.htm | Note: Disaggregated Revenues (Revenues by business) (Mar 30 2024 column) | 320</t>
      </text>
    </comment>
    <comment ref="D28" authorId="0">
      <text>
        <t>tmo-20250628.htm | Note: Disaggregated Revenues (Revenues by business) (3M Jun 29 2024) | 324</t>
      </text>
    </comment>
    <comment ref="E28" authorId="0">
      <text>
        <t>tmo-20250927.htm | Note: Disaggregated Revenues (Revenues by business) (3M Sep 28 2024) | 332</t>
      </text>
    </comment>
    <comment ref="G28" authorId="0">
      <text>
        <t>R64.htm (10-K XBRL) | Schedule of Disaggregated Revenues (Dec. 31, 2024) | 1,315</t>
      </text>
    </comment>
    <comment ref="C37" authorId="0">
      <text>
        <t>tmo-20260328.htm | Note: Disaggregated Revenues (Revenues by business) (Mar 29 2025 column) | 659</t>
      </text>
    </comment>
    <comment ref="D37" authorId="0">
      <text>
        <t>tmo-20260627.htm | Note: Disaggregated Revenues (Revenues by business) (Jun 28 2025 column) | 652</t>
      </text>
    </comment>
    <comment ref="E37" authorId="0">
      <text>
        <t>tmo-20250927.htm | Note: Disaggregated Revenues (Revenues by business) (3M Sep 27 2025) | 732</t>
      </text>
    </comment>
    <comment ref="G37" authorId="0">
      <text>
        <t>R64.htm (10-K XBRL) | Schedule of Disaggregated Revenues (Dec. 31, 2025) | 2,957</t>
      </text>
    </comment>
    <comment ref="H37" authorId="0">
      <text>
        <t>tmo-20260328.htm | Note: Disaggregated Revenues (Revenues by business) (Mar 28 2026) | 633</t>
      </text>
    </comment>
    <comment ref="I37" authorId="0">
      <text>
        <t>tmo-20260627.htm | Note: Disaggregated Revenues (Revenues by business) (3M Jun 27 2026) | 707</t>
      </text>
    </comment>
    <comment ref="C41" authorId="0">
      <text>
        <t>tmo-20250329.htm | Note: Disaggregated Revenues (Revenues by business) (Mar 30 2024 column) | 579</t>
      </text>
    </comment>
    <comment ref="D41" authorId="0">
      <text>
        <t>tmo-20250628.htm | Note: Disaggregated Revenues (Revenues by business) (3M Jun 29 2024) | 684</t>
      </text>
    </comment>
    <comment ref="E41" authorId="0">
      <text>
        <t>tmo-20250927.htm | Note: Disaggregated Revenues (Revenues by business) (3M Sep 28 2024) | 675</t>
      </text>
    </comment>
    <comment ref="G41" authorId="0">
      <text>
        <t>R64.htm (10-K XBRL) | Schedule of Disaggregated Revenues (Dec. 31, 2024) | 2,870</t>
      </text>
    </comment>
    <comment ref="C52" authorId="0">
      <text>
        <t>q12026earnings8kex99_1.htm | Business Segment Information (prior-year column) | 1,718</t>
      </text>
    </comment>
    <comment ref="D52" authorId="0">
      <text>
        <t>q22026earnings8kex99_1.htm | Business Segment Information (prior-year column) | 1,728</t>
      </text>
    </comment>
    <comment ref="E52" authorId="0">
      <text>
        <t>q32025earnings8kex99_1.htm | Business Segment Information | 1,893</t>
      </text>
    </comment>
    <comment ref="F52" authorId="0">
      <text>
        <t>q42025earnings8kex99_1.htm | Business Segment Information (3M Dec 31 2025) | 2,215</t>
      </text>
    </comment>
    <comment ref="H52" authorId="0">
      <text>
        <t>q12026earnings8kex99_1.htm | Business Segment Information | 1,716</t>
      </text>
    </comment>
    <comment ref="I52" authorId="0">
      <text>
        <t>q22026earnings8kex99_1.htm | Business Segment Information | 1,847</t>
      </text>
    </comment>
    <comment ref="C57" authorId="0">
      <text>
        <t>tmo-20250329.htm | MD&amp;A Segment Results (2024 column) | 1,687</t>
      </text>
    </comment>
    <comment ref="D57" authorId="0">
      <text>
        <t>tmo-20250628.htm | MD&amp;A Segment Results (2024 column) | 1,782</t>
      </text>
    </comment>
    <comment ref="E57" authorId="0">
      <text>
        <t>q32025earnings8kex99_1.htm | Business Segment Information (2024 column) | 1,808</t>
      </text>
    </comment>
    <comment ref="F57" authorId="0">
      <text>
        <t>q42025earnings8kex99_1.htm | Business Segment Information (3M Dec 31 2024) | 2,186</t>
      </text>
    </comment>
    <comment ref="G57" authorId="0">
      <text>
        <t>q42025earnings8kex99_1.htm | Business Segment Information (year 2024) | 7,463</t>
      </text>
    </comment>
    <comment ref="C64" authorId="0">
      <text>
        <t>tmo-20250329.htm | MD&amp;A Segment Results (three months) | 2%</t>
      </text>
    </comment>
    <comment ref="D64" authorId="0">
      <text>
        <t>tmo-20250628.htm | MD&amp;A Segment Results (three months) | (3)%</t>
      </text>
    </comment>
    <comment ref="E64" authorId="0">
      <text>
        <t>tmo-20250927.htm | MD&amp;A Segment Results (three months) | 5%</t>
      </text>
    </comment>
    <comment ref="F64" authorId="0">
      <text>
        <t>Fool Q4 2025 call transcript | CFO segment remarks | 1%</t>
      </text>
    </comment>
    <comment ref="G64" authorId="0">
      <text>
        <t>tmo-20251231.htm | MD&amp;A Segment Results (2025) | 1%</t>
      </text>
    </comment>
    <comment ref="H64" authorId="0">
      <text>
        <t>tmo-20260328.htm | MD&amp;A Segment Results (three months) | 0%</t>
      </text>
    </comment>
    <comment ref="I64" authorId="0">
      <text>
        <t>tmo-20260627.htm | MD&amp;A Segment Results (three months) | 7%</t>
      </text>
    </comment>
    <comment ref="C65" authorId="0">
      <text>
        <t>tmo-20250329.htm | MD&amp;A Segment Results (three months) | 0%</t>
      </text>
    </comment>
    <comment ref="D65" authorId="0">
      <text>
        <t>tmo-20250628.htm | MD&amp;A Segment Results (three months) | 0%</t>
      </text>
    </comment>
    <comment ref="E65" authorId="0">
      <text>
        <t>tmo-20250927.htm | MD&amp;A Segment Results (three months) | 0%</t>
      </text>
    </comment>
    <comment ref="G65" authorId="0">
      <text>
        <t>tmo-20251231.htm | MD&amp;A Segment Results (2025) | 0%</t>
      </text>
    </comment>
    <comment ref="H65" authorId="0">
      <text>
        <t>tmo-20260328.htm | MD&amp;A Segment Results (three months) | 0%</t>
      </text>
    </comment>
    <comment ref="I65" authorId="0">
      <text>
        <t>tmo-20260627.htm | MD&amp;A Segment Results (three months) | 0%</t>
      </text>
    </comment>
    <comment ref="C66" authorId="0">
      <text>
        <t>tmo-20250329.htm | MD&amp;A Segment Results (three months) | (1)%</t>
      </text>
    </comment>
    <comment ref="D66" authorId="0">
      <text>
        <t>tmo-20250628.htm | MD&amp;A Segment Results (three months) | 1%</t>
      </text>
    </comment>
    <comment ref="E66" authorId="0">
      <text>
        <t>tmo-20250927.htm | MD&amp;A Segment Results (three months) | 1%</t>
      </text>
    </comment>
    <comment ref="G66" authorId="0">
      <text>
        <t>tmo-20251231.htm | MD&amp;A Segment Results (2025) | 1%</t>
      </text>
    </comment>
    <comment ref="H66" authorId="0">
      <text>
        <t>tmo-20260328.htm | MD&amp;A Segment Results (three months) | 2%</t>
      </text>
    </comment>
    <comment ref="I66" authorId="0">
      <text>
        <t>tmo-20260627.htm | MD&amp;A Segment Results (three months) | 0%</t>
      </text>
    </comment>
    <comment ref="C67" authorId="0">
      <text>
        <t>tmo-20250329.htm | MD&amp;A Segment Results (three months) | 3%</t>
      </text>
    </comment>
    <comment ref="D67" authorId="0">
      <text>
        <t>tmo-20250628.htm | MD&amp;A Segment Results (three months) | (4)%</t>
      </text>
    </comment>
    <comment ref="E67" authorId="0">
      <text>
        <t>tmo-20250927.htm | MD&amp;A Segment Results (three months) | 4%</t>
      </text>
    </comment>
    <comment ref="F67" authorId="0">
      <text>
        <t>Fool Q4 2025 call transcript | CFO segment remarks | 0%</t>
      </text>
    </comment>
    <comment ref="G67" authorId="0">
      <text>
        <t>tmo-20251231.htm | MD&amp;A Segment Results (2025) | 0%</t>
      </text>
    </comment>
    <comment ref="H67" authorId="0">
      <text>
        <t>tmo-20260328.htm | MD&amp;A Segment Results (three months) | (2)%</t>
      </text>
    </comment>
    <comment ref="I67" authorId="0">
      <text>
        <t>tmo-20260627.htm | MD&amp;A Segment Results (three months) | 7%</t>
      </text>
    </comment>
    <comment ref="C71" authorId="0">
      <text>
        <t>q12026earnings8kex99_1.htm | Business Segment Information (prior-year column) | 399</t>
      </text>
    </comment>
    <comment ref="D71" authorId="0">
      <text>
        <t>q22026earnings8kex99_1.htm | Business Segment Information (prior-year column) | 325</t>
      </text>
    </comment>
    <comment ref="E71" authorId="0">
      <text>
        <t>q32025earnings8kex99_1.htm | Business Segment Information | 429</t>
      </text>
    </comment>
    <comment ref="F71" authorId="0">
      <text>
        <t>q42025earnings8kex99_1.htm | Business Segment Information (3M Dec 31 2025) | 583</t>
      </text>
    </comment>
    <comment ref="H71" authorId="0">
      <text>
        <t>q12026earnings8kex99_1.htm | Business Segment Information | 355</t>
      </text>
    </comment>
    <comment ref="I71" authorId="0">
      <text>
        <t>q22026earnings8kex99_1.htm | Business Segment Information | 424</t>
      </text>
    </comment>
    <comment ref="C74" authorId="0">
      <text>
        <t>tmo-20250329.htm | MD&amp;A Segment Results (2024 column) | 400</t>
      </text>
    </comment>
    <comment ref="D74" authorId="0">
      <text>
        <t>tmo-20250628.htm | MD&amp;A Segment Results (2024 column) | 439</t>
      </text>
    </comment>
    <comment ref="E74" authorId="0">
      <text>
        <t>q32025earnings8kex99_1.htm | Business Segment Information (2024 column) | 451</t>
      </text>
    </comment>
    <comment ref="F74" authorId="0">
      <text>
        <t>q42025earnings8kex99_1.htm | Business Segment Information (3M Dec 31 2024) | 666</t>
      </text>
    </comment>
    <comment ref="G74" authorId="0">
      <text>
        <t>q42025earnings8kex99_1.htm | Business Segment Information (year 2024) | 1,955</t>
      </text>
    </comment>
    <comment ref="C83" authorId="0">
      <text>
        <t>tmo-20260328.htm | Business segment information (3M Mar 29 2025, recast) | 1,677</t>
      </text>
    </comment>
    <comment ref="D83" authorId="0">
      <text>
        <t>tmo-20260627.htm | Business segment information (3M Jun 28 2025, recast) | 1,669</t>
      </text>
    </comment>
    <comment ref="E83" authorId="0">
      <text>
        <t>tmo-20250927.htm | Business segment information (3M Sep 27 2025) | 1,847</t>
      </text>
    </comment>
    <comment ref="G83" authorId="0">
      <text>
        <t>R83.htm (10-K XBRL) | Schedule of Business Segment Information (FY2025) | 7,353</t>
      </text>
    </comment>
    <comment ref="H83" authorId="0">
      <text>
        <t>tmo-20260328.htm | Business segment information (3M Mar 28 2026) | 1,667</t>
      </text>
    </comment>
    <comment ref="I83" authorId="0">
      <text>
        <t>tmo-20260627.htm | Business segment information (3M Jun 27 2026) | 1,799</t>
      </text>
    </comment>
    <comment ref="C86" authorId="0">
      <text>
        <t>tmo-20260328.htm | Business segment information (3M Mar 29 2025, recast) | 41</t>
      </text>
    </comment>
    <comment ref="D86" authorId="0">
      <text>
        <t>tmo-20260627.htm | Business segment information (3M Jun 28 2025, recast) | 58</t>
      </text>
    </comment>
    <comment ref="E86" authorId="0">
      <text>
        <t>tmo-20250927.htm | Business segment information (3M Sep 27 2025) | 46</t>
      </text>
    </comment>
    <comment ref="G86" authorId="0">
      <text>
        <t>R83.htm (10-K XBRL) | Schedule of Business Segment Information (FY2025) | 201</t>
      </text>
    </comment>
    <comment ref="H86" authorId="0">
      <text>
        <t>tmo-20260328.htm | Business segment information (3M Mar 28 2026) | 49</t>
      </text>
    </comment>
    <comment ref="I86" authorId="0">
      <text>
        <t>tmo-20260627.htm | Business segment information (3M Jun 27 2026) | 47</t>
      </text>
    </comment>
    <comment ref="C94" authorId="0">
      <text>
        <t>tmo-20260328.htm | Business segment information (3M Mar 29 2025, recast) | 835</t>
      </text>
    </comment>
    <comment ref="D94" authorId="0">
      <text>
        <t>tmo-20260627.htm | Business segment information (3M Jun 28 2025, recast) | 902</t>
      </text>
    </comment>
    <comment ref="E94" authorId="0">
      <text>
        <t>tmo-20250927.htm | Business segment information (3M Sep 27 2025) | 975</t>
      </text>
    </comment>
    <comment ref="G94" authorId="0">
      <text>
        <t>R83.htm (10-K XBRL) | Schedule of Business Segment Information (FY2025) | 3,850</t>
      </text>
    </comment>
    <comment ref="H94" authorId="0">
      <text>
        <t>tmo-20260328.htm | Business segment information (3M Mar 28 2026) | 876</t>
      </text>
    </comment>
    <comment ref="I94" authorId="0">
      <text>
        <t>tmo-20260627.htm | Business segment information (3M Jun 27 2026) | 925</t>
      </text>
    </comment>
    <comment ref="C100" authorId="0">
      <text>
        <t>tmo-20260328.htm | Business segment information (3M Mar 29 2025, recast) | 313</t>
      </text>
    </comment>
    <comment ref="D100" authorId="0">
      <text>
        <t>tmo-20260627.htm | Business segment information (3M Jun 28 2025, recast) | 317</t>
      </text>
    </comment>
    <comment ref="E100" authorId="0">
      <text>
        <t>tmo-20250927.htm | Business segment information (3M Sep 27 2025) | 307</t>
      </text>
    </comment>
    <comment ref="G100" authorId="0">
      <text>
        <t>R83.htm (10-K XBRL) | Schedule of Business Segment Information (FY2025) | 1,244</t>
      </text>
    </comment>
    <comment ref="H100" authorId="0">
      <text>
        <t>tmo-20260328.htm | Business segment information (3M Mar 28 2026) | 313</t>
      </text>
    </comment>
    <comment ref="I100" authorId="0">
      <text>
        <t>tmo-20260627.htm | Business segment information (3M Jun 27 2026) | 315</t>
      </text>
    </comment>
    <comment ref="C106" authorId="0">
      <text>
        <t>tmo-20260328.htm | Business segment information (3M Mar 29 2025, recast) | 137</t>
      </text>
    </comment>
    <comment ref="D106" authorId="0">
      <text>
        <t>tmo-20260627.htm | Business segment information (3M Jun 28 2025, recast) | 145</t>
      </text>
    </comment>
    <comment ref="E106" authorId="0">
      <text>
        <t>tmo-20250927.htm | Business segment information (3M Sep 27 2025) | 144</t>
      </text>
    </comment>
    <comment ref="G106" authorId="0">
      <text>
        <t>R83.htm (10-K XBRL) | Schedule of Business Segment Information (FY2025) | 573</t>
      </text>
    </comment>
    <comment ref="H106" authorId="0">
      <text>
        <t>tmo-20260328.htm | Business segment information (3M Mar 28 2026) | 139</t>
      </text>
    </comment>
    <comment ref="I106" authorId="0">
      <text>
        <t>tmo-20260627.htm | Business segment information (3M Jun 27 2026) | 140</t>
      </text>
    </comment>
    <comment ref="C112" authorId="0">
      <text>
        <t>tmo-20260328.htm | Business segment information (3M Mar 29 2025, recast) | 33</t>
      </text>
    </comment>
    <comment ref="D112" authorId="0">
      <text>
        <t>tmo-20260627.htm | Business segment information (3M Jun 28 2025, recast) | 39</t>
      </text>
    </comment>
    <comment ref="E112" authorId="0">
      <text>
        <t>tmo-20250927.htm | Business segment information (3M Sep 27 2025) | 39</t>
      </text>
    </comment>
    <comment ref="G112" authorId="0">
      <text>
        <t>R83.htm (10-K XBRL) | Schedule of Business Segment Information (FY2025) | 151</t>
      </text>
    </comment>
    <comment ref="H112" authorId="0">
      <text>
        <t>tmo-20260328.htm | Business segment information (3M Mar 28 2026) | 34</t>
      </text>
    </comment>
    <comment ref="I112" authorId="0">
      <text>
        <t>tmo-20260627.htm | Business segment information (3M Jun 27 2026) | 43</t>
      </text>
    </comment>
    <comment ref="C117" authorId="0">
      <text>
        <t>tmo-20260328.htm | Business segment information (3M Mar 29 2025, recast) | 44</t>
      </text>
    </comment>
    <comment ref="D117" authorId="0">
      <text>
        <t>tmo-20260627.htm | Business segment information (3M Jun 28 2025, recast) | 13</t>
      </text>
    </comment>
    <comment ref="E117" authorId="0">
      <text>
        <t>tmo-20250927.htm | Business segment information (3M Sep 27 2025) | 18</t>
      </text>
    </comment>
    <comment ref="G117" authorId="0">
      <text>
        <t>R83.htm (10-K XBRL) | Schedule of Business Segment Information (FY2025) | 124</t>
      </text>
    </comment>
    <comment ref="H117" authorId="0">
      <text>
        <t>tmo-20260328.htm | Business segment information (3M Mar 28 2026) | 36</t>
      </text>
    </comment>
    <comment ref="I117" authorId="0">
      <text>
        <t>tmo-20260627.htm | Business segment information (3M Jun 27 2026) | 17</t>
      </text>
    </comment>
    <comment ref="C118" authorId="0">
      <text>
        <t>tmo-20260328.htm | Business segment information (3M Mar 29 2025, recast) | 24</t>
      </text>
    </comment>
    <comment ref="D118" authorId="0">
      <text>
        <t>tmo-20260627.htm | Business segment information (3M Jun 28 2025, recast) | 26</t>
      </text>
    </comment>
    <comment ref="E118" authorId="0">
      <text>
        <t>tmo-20250927.htm | Business segment information (3M Sep 27 2025) | 26</t>
      </text>
    </comment>
    <comment ref="G118" authorId="0">
      <text>
        <t>R83.htm (10-K XBRL) | Schedule of Business Segment Information (FY2025) | 104</t>
      </text>
    </comment>
    <comment ref="H118" authorId="0">
      <text>
        <t>tmo-20260328.htm | Business segment information (3M Mar 28 2026) | 26</t>
      </text>
    </comment>
    <comment ref="I118" authorId="0">
      <text>
        <t>tmo-20260627.htm | Business segment information (3M Jun 27 2026) | 27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11" authorId="0">
      <text>
        <t>tmo-20260328.htm | Note: Disaggregated Revenues (Revenues by business) (Mar 29 2025 column) | 263</t>
      </text>
    </comment>
    <comment ref="D11" authorId="0">
      <text>
        <t>tmo-20260627.htm | Note: Disaggregated Revenues (Revenues by business) (Jun 28 2025 column) | 276</t>
      </text>
    </comment>
    <comment ref="E11" authorId="0">
      <text>
        <t>tmo-20250927.htm | Note: Disaggregated Revenues (Revenues by business) (3M Sep 27 2025) | 283</t>
      </text>
    </comment>
    <comment ref="G11" authorId="0">
      <text>
        <t>R64.htm (10-K XBRL) | Schedule of Disaggregated Revenues (Dec. 31, 2025) | 1,115</t>
      </text>
    </comment>
    <comment ref="H11" authorId="0">
      <text>
        <t>tmo-20260328.htm | Note: Disaggregated Revenues (Revenues by business) (Mar 28 2026) | 271</t>
      </text>
    </comment>
    <comment ref="I11" authorId="0">
      <text>
        <t>tmo-20260627.htm | Note: Disaggregated Revenues (Revenues by business) (3M Jun 27 2026) | 290</t>
      </text>
    </comment>
    <comment ref="C15" authorId="0">
      <text>
        <t>tmo-20250329.htm | Note: Disaggregated Revenues (Revenues by business) (Mar 30 2024 column) | 263</t>
      </text>
    </comment>
    <comment ref="D15" authorId="0">
      <text>
        <t>tmo-20250628.htm | Note: Disaggregated Revenues (Revenues by business) (3M Jun 29 2024) | 273</t>
      </text>
    </comment>
    <comment ref="E15" authorId="0">
      <text>
        <t>tmo-20250927.htm | Note: Disaggregated Revenues (Revenues by business) (3M Sep 28 2024) | 266</t>
      </text>
    </comment>
    <comment ref="G15" authorId="0">
      <text>
        <t>R64.htm (10-K XBRL) | Schedule of Disaggregated Revenues (Dec. 31, 2024) | 1,063</t>
      </text>
    </comment>
    <comment ref="C24" authorId="0">
      <text>
        <t>tmo-20260328.htm | Note: Disaggregated Revenues (Revenues by business) (Mar 29 2025 column) | 217</t>
      </text>
    </comment>
    <comment ref="D24" authorId="0">
      <text>
        <t>tmo-20260627.htm | Note: Disaggregated Revenues (Revenues by business) (Jun 28 2025 column) | 234</t>
      </text>
    </comment>
    <comment ref="E24" authorId="0">
      <text>
        <t>tmo-20250927.htm | Note: Disaggregated Revenues (Revenues by business) (3M Sep 27 2025) | 230</t>
      </text>
    </comment>
    <comment ref="G24" authorId="0">
      <text>
        <t>R64.htm (10-K XBRL) | Schedule of Disaggregated Revenues (Dec. 31, 2025) | 912</t>
      </text>
    </comment>
    <comment ref="H24" authorId="0">
      <text>
        <t>tmo-20260328.htm | Note: Disaggregated Revenues (Revenues by business) (Mar 28 2026) | 230</t>
      </text>
    </comment>
    <comment ref="I24" authorId="0">
      <text>
        <t>tmo-20260627.htm | Note: Disaggregated Revenues (Revenues by business) (3M Jun 27 2026) | 248</t>
      </text>
    </comment>
    <comment ref="C28" authorId="0">
      <text>
        <t>tmo-20250329.htm | Note: Disaggregated Revenues (Revenues by business) (Mar 30 2024 column) | 212</t>
      </text>
    </comment>
    <comment ref="D28" authorId="0">
      <text>
        <t>tmo-20250628.htm | Note: Disaggregated Revenues (Revenues by business) (3M Jun 29 2024) | 226</t>
      </text>
    </comment>
    <comment ref="E28" authorId="0">
      <text>
        <t>tmo-20250927.htm | Note: Disaggregated Revenues (Revenues by business) (3M Sep 28 2024) | 212</t>
      </text>
    </comment>
    <comment ref="G28" authorId="0">
      <text>
        <t>R64.htm (10-K XBRL) | Schedule of Disaggregated Revenues (Dec. 31, 2024) | 864</t>
      </text>
    </comment>
    <comment ref="C37" authorId="0">
      <text>
        <t>tmo-20260328.htm | Note: Disaggregated Revenues (Revenues by business) (Mar 29 2025 column) | 152</t>
      </text>
    </comment>
    <comment ref="D37" authorId="0">
      <text>
        <t>tmo-20260627.htm | Note: Disaggregated Revenues (Revenues by business) (Jun 28 2025 column) | 159</t>
      </text>
    </comment>
    <comment ref="E37" authorId="0">
      <text>
        <t>tmo-20250927.htm | Note: Disaggregated Revenues (Revenues by business) (3M Sep 27 2025) | 162</t>
      </text>
    </comment>
    <comment ref="G37" authorId="0">
      <text>
        <t>R64.htm (10-K XBRL) | Schedule of Disaggregated Revenues (Dec. 31, 2025) | 645</t>
      </text>
    </comment>
    <comment ref="H37" authorId="0">
      <text>
        <t>tmo-20260328.htm | Note: Disaggregated Revenues (Revenues by business) (Mar 28 2026) | 160</t>
      </text>
    </comment>
    <comment ref="I37" authorId="0">
      <text>
        <t>tmo-20260627.htm | Note: Disaggregated Revenues (Revenues by business) (3M Jun 27 2026) | 166</t>
      </text>
    </comment>
    <comment ref="C41" authorId="0">
      <text>
        <t>tmo-20250329.htm | Note: Disaggregated Revenues (Revenues by business) (Mar 30 2024 column) | 153</t>
      </text>
    </comment>
    <comment ref="D41" authorId="0">
      <text>
        <t>tmo-20250628.htm | Note: Disaggregated Revenues (Revenues by business) (3M Jun 29 2024) | 158</t>
      </text>
    </comment>
    <comment ref="E41" authorId="0">
      <text>
        <t>tmo-20250927.htm | Note: Disaggregated Revenues (Revenues by business) (3M Sep 28 2024) | 159</t>
      </text>
    </comment>
    <comment ref="G41" authorId="0">
      <text>
        <t>R64.htm (10-K XBRL) | Schedule of Disaggregated Revenues (Dec. 31, 2024) | 633</t>
      </text>
    </comment>
    <comment ref="C50" authorId="0">
      <text>
        <t>tmo-20260328.htm | Note: Disaggregated Revenues (Revenues by business) (Mar 29 2025 column) | 113</t>
      </text>
    </comment>
    <comment ref="D50" authorId="0">
      <text>
        <t>tmo-20260627.htm | Note: Disaggregated Revenues (Revenues by business) (Jun 28 2025 column) | 124</t>
      </text>
    </comment>
    <comment ref="E50" authorId="0">
      <text>
        <t>tmo-20250927.htm | Note: Disaggregated Revenues (Revenues by business) (3M Sep 27 2025) | 125</t>
      </text>
    </comment>
    <comment ref="G50" authorId="0">
      <text>
        <t>R64.htm (10-K XBRL) | Schedule of Disaggregated Revenues (Dec. 31, 2025) | 492</t>
      </text>
    </comment>
    <comment ref="H50" authorId="0">
      <text>
        <t>tmo-20260328.htm | Note: Disaggregated Revenues (Revenues by business) (Mar 28 2026) | 121</t>
      </text>
    </comment>
    <comment ref="I50" authorId="0">
      <text>
        <t>tmo-20260627.htm | Note: Disaggregated Revenues (Revenues by business) (3M Jun 27 2026) | 134</t>
      </text>
    </comment>
    <comment ref="C54" authorId="0">
      <text>
        <t>tmo-20250329.htm | Note: Disaggregated Revenues (Revenues by business) (Mar 30 2024 column) | 106</t>
      </text>
    </comment>
    <comment ref="D54" authorId="0">
      <text>
        <t>tmo-20250628.htm | Note: Disaggregated Revenues (Revenues by business) (3M Jun 29 2024) | 111</t>
      </text>
    </comment>
    <comment ref="E54" authorId="0">
      <text>
        <t>tmo-20250927.htm | Note: Disaggregated Revenues (Revenues by business) (3M Sep 28 2024) | 114</t>
      </text>
    </comment>
    <comment ref="G54" authorId="0">
      <text>
        <t>R64.htm (10-K XBRL) | Schedule of Disaggregated Revenues (Dec. 31, 2024) | 454</t>
      </text>
    </comment>
    <comment ref="C63" authorId="0">
      <text>
        <t>tmo-20260328.htm | Note: Disaggregated Revenues (Revenues by business) (Mar 29 2025 column) | 474</t>
      </text>
    </comment>
    <comment ref="D63" authorId="0">
      <text>
        <t>tmo-20260627.htm | Note: Disaggregated Revenues (Revenues by business) (Jun 28 2025 column) | 407</t>
      </text>
    </comment>
    <comment ref="E63" authorId="0">
      <text>
        <t>tmo-20250927.htm | Note: Disaggregated Revenues (Revenues by business) (3M Sep 27 2025) | 444</t>
      </text>
    </comment>
    <comment ref="G63" authorId="0">
      <text>
        <t>R64.htm (10-K XBRL) | Schedule of Disaggregated Revenues (Dec. 31, 2025) | 1,788</t>
      </text>
    </comment>
    <comment ref="H63" authorId="0">
      <text>
        <t>tmo-20260328.htm | Note: Disaggregated Revenues (Revenues by business) (Mar 28 2026) | 430</t>
      </text>
    </comment>
    <comment ref="I63" authorId="0">
      <text>
        <t>tmo-20260627.htm | Note: Disaggregated Revenues (Revenues by business) (3M Jun 27 2026) | 442</t>
      </text>
    </comment>
    <comment ref="C67" authorId="0">
      <text>
        <t>tmo-20250329.htm | Note: Disaggregated Revenues (Revenues by business) (Mar 30 2024 column) | 438</t>
      </text>
    </comment>
    <comment ref="D67" authorId="0">
      <text>
        <t>tmo-20250628.htm | Note: Disaggregated Revenues (Revenues by business) (3M Jun 29 2024) | 411</t>
      </text>
    </comment>
    <comment ref="E67" authorId="0">
      <text>
        <t>tmo-20250927.htm | Note: Disaggregated Revenues (Revenues by business) (3M Sep 28 2024) | 453</t>
      </text>
    </comment>
    <comment ref="G67" authorId="0">
      <text>
        <t>R64.htm (10-K XBRL) | Schedule of Disaggregated Revenues (Dec. 31, 2024) | 1,764</t>
      </text>
    </comment>
    <comment ref="C76" authorId="0">
      <text>
        <t>tmo-20260328.htm | Note: Disaggregated Revenues (Revenues by business) (Mar 29 2025 column) | (72)</t>
      </text>
    </comment>
    <comment ref="D76" authorId="0">
      <text>
        <t>tmo-20260627.htm | Note: Disaggregated Revenues (Revenues by business) (Jun 28 2025 column) | (65)</t>
      </text>
    </comment>
    <comment ref="E76" authorId="0">
      <text>
        <t>tmo-20250927.htm | Note: Disaggregated Revenues (Revenues by business) (3M Sep 27 2025) | (70)</t>
      </text>
    </comment>
    <comment ref="G76" authorId="0">
      <text>
        <t>R64.htm (10-K XBRL) | Schedule of Disaggregated Revenues (Dec. 31, 2025) | (275)</t>
      </text>
    </comment>
    <comment ref="H76" authorId="0">
      <text>
        <t>tmo-20260328.htm | Note: Disaggregated Revenues (Revenues by business) (Mar 28 2026) | (71)</t>
      </text>
    </comment>
    <comment ref="I76" authorId="0">
      <text>
        <t>tmo-20260627.htm | Note: Disaggregated Revenues (Revenues by business) (3M Jun 27 2026) | (75)</t>
      </text>
    </comment>
    <comment ref="C80" authorId="0">
      <text>
        <t>tmo-20250329.htm | Note: Disaggregated Revenues (Revenues by business) (Mar 30 2024 column) | (63)</t>
      </text>
    </comment>
    <comment ref="D80" authorId="0">
      <text>
        <t>tmo-20250628.htm | Note: Disaggregated Revenues (Revenues by business) (3M Jun 29 2024) | (62)</t>
      </text>
    </comment>
    <comment ref="E80" authorId="0">
      <text>
        <t>tmo-20250927.htm | Note: Disaggregated Revenues (Revenues by business) (3M Sep 28 2024) | (75)</t>
      </text>
    </comment>
    <comment ref="G80" authorId="0">
      <text>
        <t>R64.htm (10-K XBRL) | Schedule of Disaggregated Revenues (Dec. 31, 2024) | (266)</t>
      </text>
    </comment>
    <comment ref="C91" authorId="0">
      <text>
        <t>q12026earnings8kex99_1.htm | Business Segment Information (prior-year column) | 1,148</t>
      </text>
    </comment>
    <comment ref="D91" authorId="0">
      <text>
        <t>q22026earnings8kex99_1.htm | Business Segment Information (prior-year column) | 1,134</t>
      </text>
    </comment>
    <comment ref="E91" authorId="0">
      <text>
        <t>q32025earnings8kex99_1.htm | Business Segment Information | 1,174</t>
      </text>
    </comment>
    <comment ref="F91" authorId="0">
      <text>
        <t>q42025earnings8kex99_1.htm | Business Segment Information (3M Dec 31 2025) | 1,220</t>
      </text>
    </comment>
    <comment ref="H91" authorId="0">
      <text>
        <t>q12026earnings8kex99_1.htm | Business Segment Information | 1,142</t>
      </text>
    </comment>
    <comment ref="I91" authorId="0">
      <text>
        <t>q22026earnings8kex99_1.htm | Business Segment Information | 1,205</t>
      </text>
    </comment>
    <comment ref="C96" authorId="0">
      <text>
        <t>tmo-20250329.htm | MD&amp;A Segment Results (2024 column) | 1,109</t>
      </text>
    </comment>
    <comment ref="D96" authorId="0">
      <text>
        <t>tmo-20250628.htm | MD&amp;A Segment Results (2024 column) | 1,117</t>
      </text>
    </comment>
    <comment ref="E96" authorId="0">
      <text>
        <t>q32025earnings8kex99_1.htm | Business Segment Information (2024 column) | 1,129</t>
      </text>
    </comment>
    <comment ref="F96" authorId="0">
      <text>
        <t>q42025earnings8kex99_1.htm | Business Segment Information (3M Dec 31 2024) | 1,157</t>
      </text>
    </comment>
    <comment ref="G96" authorId="0">
      <text>
        <t>q42025earnings8kex99_1.htm | Business Segment Information (year 2024) | 4,512</t>
      </text>
    </comment>
    <comment ref="C103" authorId="0">
      <text>
        <t>tmo-20250329.htm | MD&amp;A Segment Results (three months) | 3%</t>
      </text>
    </comment>
    <comment ref="D103" authorId="0">
      <text>
        <t>tmo-20250628.htm | MD&amp;A Segment Results (three months) | 2%</t>
      </text>
    </comment>
    <comment ref="E103" authorId="0">
      <text>
        <t>tmo-20250927.htm | MD&amp;A Segment Results (three months) | 4%</t>
      </text>
    </comment>
    <comment ref="F103" authorId="0">
      <text>
        <t>Fool Q4 2025 call transcript | CFO segment remarks | 5%</t>
      </text>
    </comment>
    <comment ref="G103" authorId="0">
      <text>
        <t>tmo-20251231.htm | MD&amp;A Segment Results (2025) | 4%</t>
      </text>
    </comment>
    <comment ref="H103" authorId="0">
      <text>
        <t>tmo-20260328.htm | MD&amp;A Segment Results (three months) | (1)%</t>
      </text>
    </comment>
    <comment ref="I103" authorId="0">
      <text>
        <t>tmo-20260627.htm | MD&amp;A Segment Results (three months) | 6%</t>
      </text>
    </comment>
    <comment ref="C104" authorId="0">
      <text>
        <t>tmo-20250329.htm | MD&amp;A Segment Results (three months) | 0%</t>
      </text>
    </comment>
    <comment ref="D104" authorId="0">
      <text>
        <t>tmo-20250628.htm | MD&amp;A Segment Results (three months) | 0%</t>
      </text>
    </comment>
    <comment ref="E104" authorId="0">
      <text>
        <t>tmo-20250927.htm | MD&amp;A Segment Results (three months) | 0%</t>
      </text>
    </comment>
    <comment ref="G104" authorId="0">
      <text>
        <t>tmo-20251231.htm | MD&amp;A Segment Results (2025) | 0%</t>
      </text>
    </comment>
    <comment ref="H104" authorId="0">
      <text>
        <t>tmo-20260328.htm | MD&amp;A Segment Results (three months) | 0%</t>
      </text>
    </comment>
    <comment ref="I104" authorId="0">
      <text>
        <t>tmo-20260627.htm | MD&amp;A Segment Results (three months) | 0%</t>
      </text>
    </comment>
    <comment ref="C105" authorId="0">
      <text>
        <t>tmo-20250329.htm | MD&amp;A Segment Results (three months) | (1)%</t>
      </text>
    </comment>
    <comment ref="D105" authorId="0">
      <text>
        <t>tmo-20250628.htm | MD&amp;A Segment Results (three months) | 1%</t>
      </text>
    </comment>
    <comment ref="E105" authorId="0">
      <text>
        <t>tmo-20250927.htm | MD&amp;A Segment Results (three months) | 2%</t>
      </text>
    </comment>
    <comment ref="G105" authorId="0">
      <text>
        <t>tmo-20251231.htm | MD&amp;A Segment Results (2025) | 1%</t>
      </text>
    </comment>
    <comment ref="H105" authorId="0">
      <text>
        <t>tmo-20260328.htm | MD&amp;A Segment Results (three months) | 3%</t>
      </text>
    </comment>
    <comment ref="I105" authorId="0">
      <text>
        <t>tmo-20260627.htm | MD&amp;A Segment Results (three months) | 1%</t>
      </text>
    </comment>
    <comment ref="C106" authorId="0">
      <text>
        <t>tmo-20250329.htm | MD&amp;A Segment Results (three months) | 4%</t>
      </text>
    </comment>
    <comment ref="D106" authorId="0">
      <text>
        <t>tmo-20250628.htm | MD&amp;A Segment Results (three months) | 0%</t>
      </text>
    </comment>
    <comment ref="E106" authorId="0">
      <text>
        <t>tmo-20250927.htm | MD&amp;A Segment Results (three months) | 2%</t>
      </text>
    </comment>
    <comment ref="F106" authorId="0">
      <text>
        <t>Fool Q4 2025 call transcript | CFO segment remarks | 3%</t>
      </text>
    </comment>
    <comment ref="G106" authorId="0">
      <text>
        <t>tmo-20251231.htm | MD&amp;A Segment Results (2025) | 2%</t>
      </text>
    </comment>
    <comment ref="H106" authorId="0">
      <text>
        <t>tmo-20260328.htm | MD&amp;A Segment Results (three months) | (3)%</t>
      </text>
    </comment>
    <comment ref="I106" authorId="0">
      <text>
        <t>tmo-20260627.htm | MD&amp;A Segment Results (three months) | 5%</t>
      </text>
    </comment>
    <comment ref="C110" authorId="0">
      <text>
        <t>q12026earnings8kex99_1.htm | Business Segment Information (prior-year column) | 304</t>
      </text>
    </comment>
    <comment ref="D110" authorId="0">
      <text>
        <t>q22026earnings8kex99_1.htm | Business Segment Information (prior-year column) | 306</t>
      </text>
    </comment>
    <comment ref="E110" authorId="0">
      <text>
        <t>q32025earnings8kex99_1.htm | Business Segment Information | 321</t>
      </text>
    </comment>
    <comment ref="F110" authorId="0">
      <text>
        <t>q42025earnings8kex99_1.htm | Business Segment Information (3M Dec 31 2025) | 324</t>
      </text>
    </comment>
    <comment ref="H110" authorId="0">
      <text>
        <t>q12026earnings8kex99_1.htm | Business Segment Information | 313</t>
      </text>
    </comment>
    <comment ref="I110" authorId="0">
      <text>
        <t>q22026earnings8kex99_1.htm | Business Segment Information | 334</t>
      </text>
    </comment>
    <comment ref="C113" authorId="0">
      <text>
        <t>tmo-20250329.htm | MD&amp;A Segment Results (2024 column) | 294</t>
      </text>
    </comment>
    <comment ref="D113" authorId="0">
      <text>
        <t>tmo-20250628.htm | MD&amp;A Segment Results (2024 column) | 299</t>
      </text>
    </comment>
    <comment ref="E113" authorId="0">
      <text>
        <t>q32025earnings8kex99_1.htm | Business Segment Information (2024 column) | 293</t>
      </text>
    </comment>
    <comment ref="F113" authorId="0">
      <text>
        <t>q42025earnings8kex99_1.htm | Business Segment Information (3M Dec 31 2024) | 273</t>
      </text>
    </comment>
    <comment ref="G113" authorId="0">
      <text>
        <t>q42025earnings8kex99_1.htm | Business Segment Information (year 2024) | 1,159</t>
      </text>
    </comment>
    <comment ref="C122" authorId="0">
      <text>
        <t>tmo-20260328.htm | Business segment information (3M Mar 29 2025, recast) | 1,130</t>
      </text>
    </comment>
    <comment ref="D122" authorId="0">
      <text>
        <t>tmo-20260627.htm | Business segment information (3M Jun 28 2025, recast) | 1,118</t>
      </text>
    </comment>
    <comment ref="E122" authorId="0">
      <text>
        <t>tmo-20250927.htm | Business segment information (3M Sep 27 2025) | 1,154</t>
      </text>
    </comment>
    <comment ref="G122" authorId="0">
      <text>
        <t>R83.htm (10-K XBRL) | Schedule of Business Segment Information (FY2025) | 4,604</t>
      </text>
    </comment>
    <comment ref="H122" authorId="0">
      <text>
        <t>tmo-20260328.htm | Business segment information (3M Mar 28 2026) | 1,124</t>
      </text>
    </comment>
    <comment ref="I122" authorId="0">
      <text>
        <t>tmo-20260627.htm | Business segment information (3M Jun 27 2026) | 1,188</t>
      </text>
    </comment>
    <comment ref="C125" authorId="0">
      <text>
        <t>tmo-20260328.htm | Business segment information (3M Mar 29 2025, recast) | 18</t>
      </text>
    </comment>
    <comment ref="D125" authorId="0">
      <text>
        <t>tmo-20260627.htm | Business segment information (3M Jun 28 2025, recast) | 16</t>
      </text>
    </comment>
    <comment ref="E125" authorId="0">
      <text>
        <t>tmo-20250927.htm | Business segment information (3M Sep 27 2025) | 20</t>
      </text>
    </comment>
    <comment ref="G125" authorId="0">
      <text>
        <t>R83.htm (10-K XBRL) | Schedule of Business Segment Information (FY2025) | 72</t>
      </text>
    </comment>
    <comment ref="H125" authorId="0">
      <text>
        <t>tmo-20260328.htm | Business segment information (3M Mar 28 2026) | 18</t>
      </text>
    </comment>
    <comment ref="I125" authorId="0">
      <text>
        <t>tmo-20260627.htm | Business segment information (3M Jun 27 2026) | 17</t>
      </text>
    </comment>
    <comment ref="C133" authorId="0">
      <text>
        <t>tmo-20260328.htm | Business segment information (3M Mar 29 2025, recast) | 679</t>
      </text>
    </comment>
    <comment ref="D133" authorId="0">
      <text>
        <t>tmo-20260627.htm | Business segment information (3M Jun 28 2025, recast) | 640</t>
      </text>
    </comment>
    <comment ref="E133" authorId="0">
      <text>
        <t>tmo-20250927.htm | Business segment information (3M Sep 27 2025) | 682</t>
      </text>
    </comment>
    <comment ref="G133" authorId="0">
      <text>
        <t>R83.htm (10-K XBRL) | Schedule of Business Segment Information (FY2025) | 2,718</t>
      </text>
    </comment>
    <comment ref="H133" authorId="0">
      <text>
        <t>tmo-20260328.htm | Business segment information (3M Mar 28 2026) | 657</t>
      </text>
    </comment>
    <comment ref="I133" authorId="0">
      <text>
        <t>tmo-20260627.htm | Business segment information (3M Jun 27 2026) | 699</t>
      </text>
    </comment>
    <comment ref="C139" authorId="0">
      <text>
        <t>tmo-20260328.htm | Business segment information (3M Mar 29 2025, recast) | 171</t>
      </text>
    </comment>
    <comment ref="D139" authorId="0">
      <text>
        <t>tmo-20260627.htm | Business segment information (3M Jun 28 2025, recast) | 183</t>
      </text>
    </comment>
    <comment ref="E139" authorId="0">
      <text>
        <t>tmo-20250927.htm | Business segment information (3M Sep 27 2025) | 175</t>
      </text>
    </comment>
    <comment ref="G139" authorId="0">
      <text>
        <t>R83.htm (10-K XBRL) | Schedule of Business Segment Information (FY2025) | 708</t>
      </text>
    </comment>
    <comment ref="H139" authorId="0">
      <text>
        <t>tmo-20260328.htm | Business segment information (3M Mar 28 2026) | 177</t>
      </text>
    </comment>
    <comment ref="I139" authorId="0">
      <text>
        <t>tmo-20260627.htm | Business segment information (3M Jun 27 2026) | 177</t>
      </text>
    </comment>
    <comment ref="C145" authorId="0">
      <text>
        <t>tmo-20260328.htm | Business segment information (3M Mar 29 2025, recast) | 45</t>
      </text>
    </comment>
    <comment ref="D145" authorId="0">
      <text>
        <t>tmo-20260627.htm | Business segment information (3M Jun 28 2025, recast) | 47</t>
      </text>
    </comment>
    <comment ref="E145" authorId="0">
      <text>
        <t>tmo-20250927.htm | Business segment information (3M Sep 27 2025) | 42</t>
      </text>
    </comment>
    <comment ref="G145" authorId="0">
      <text>
        <t>R83.htm (10-K XBRL) | Schedule of Business Segment Information (FY2025) | 178</t>
      </text>
    </comment>
    <comment ref="H145" authorId="0">
      <text>
        <t>tmo-20260328.htm | Business segment information (3M Mar 28 2026) | 44</t>
      </text>
    </comment>
    <comment ref="I145" authorId="0">
      <text>
        <t>tmo-20260627.htm | Business segment information (3M Jun 27 2026) | 45</t>
      </text>
    </comment>
    <comment ref="C151" authorId="0">
      <text>
        <t>tmo-20260328.htm | Business segment information (3M Mar 29 2025, recast) | (51)</t>
      </text>
    </comment>
    <comment ref="D151" authorId="0">
      <text>
        <t>tmo-20260627.htm | Business segment information (3M Jun 28 2025, recast) | (42)</t>
      </text>
    </comment>
    <comment ref="E151" authorId="0">
      <text>
        <t>tmo-20250927.htm | Business segment information (3M Sep 27 2025) | (46)</t>
      </text>
    </comment>
    <comment ref="G151" authorId="0">
      <text>
        <t>R83.htm (10-K XBRL) | Schedule of Business Segment Information (FY2025) | (183)</t>
      </text>
    </comment>
    <comment ref="H151" authorId="0">
      <text>
        <t>tmo-20260328.htm | Business segment information (3M Mar 28 2026) | (49)</t>
      </text>
    </comment>
    <comment ref="I151" authorId="0">
      <text>
        <t>tmo-20260627.htm | Business segment information (3M Jun 27 2026) | (50)</t>
      </text>
    </comment>
    <comment ref="C156" authorId="0">
      <text>
        <t>tmo-20260328.htm | Business segment information (3M Mar 29 2025, recast) | 33</t>
      </text>
    </comment>
    <comment ref="D156" authorId="0">
      <text>
        <t>tmo-20260627.htm | Business segment information (3M Jun 28 2025, recast) | 25</t>
      </text>
    </comment>
    <comment ref="E156" authorId="0">
      <text>
        <t>tmo-20250927.htm | Business segment information (3M Sep 27 2025) | 34</t>
      </text>
    </comment>
    <comment ref="G156" authorId="0">
      <text>
        <t>R83.htm (10-K XBRL) | Schedule of Business Segment Information (FY2025) | 128</t>
      </text>
    </comment>
    <comment ref="H156" authorId="0">
      <text>
        <t>tmo-20260328.htm | Business segment information (3M Mar 28 2026) | 35</t>
      </text>
    </comment>
    <comment ref="I156" authorId="0">
      <text>
        <t>tmo-20260627.htm | Business segment information (3M Jun 27 2026) | 24</t>
      </text>
    </comment>
    <comment ref="C157" authorId="0">
      <text>
        <t>tmo-20260328.htm | Business segment information (3M Mar 29 2025, recast) | 22</t>
      </text>
    </comment>
    <comment ref="D157" authorId="0">
      <text>
        <t>tmo-20260627.htm | Business segment information (3M Jun 28 2025, recast) | 23</t>
      </text>
    </comment>
    <comment ref="E157" authorId="0">
      <text>
        <t>tmo-20250927.htm | Business segment information (3M Sep 27 2025) | 23</t>
      </text>
    </comment>
    <comment ref="G157" authorId="0">
      <text>
        <t>R83.htm (10-K XBRL) | Schedule of Business Segment Information (FY2025) | 91</t>
      </text>
    </comment>
    <comment ref="H157" authorId="0">
      <text>
        <t>tmo-20260328.htm | Business segment information (3M Mar 28 2026) | 24</t>
      </text>
    </comment>
    <comment ref="I157" authorId="0">
      <text>
        <t>tmo-20260627.htm | Business segment information (3M Jun 27 2026) | 20</t>
      </text>
    </comment>
    <comment ref="J165" authorId="0">
      <text>
        <t>Thermo Fisher press release 2026-08-12 | Page 1 | today announced that it has completed the sale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11" authorId="0">
      <text>
        <t>tmo-20260328.htm | Note: Disaggregated Revenues (Revenues by business) (Mar 29 2025 column) | 582</t>
      </text>
    </comment>
    <comment ref="D11" authorId="0">
      <text>
        <t>tmo-20260627.htm | Note: Disaggregated Revenues (Revenues by business) (Jun 28 2025 column) | 601</t>
      </text>
    </comment>
    <comment ref="E11" authorId="0">
      <text>
        <t>tmo-20250927.htm | Note: Disaggregated Revenues (Revenues by business) (3M Sep 27 2025) | 594</t>
      </text>
    </comment>
    <comment ref="G11" authorId="0">
      <text>
        <t>R64.htm (10-K XBRL) | Schedule of Disaggregated Revenues (Dec. 31, 2025) | 2,407</t>
      </text>
    </comment>
    <comment ref="H11" authorId="0">
      <text>
        <t>tmo-20260328.htm | Note: Disaggregated Revenues (Revenues by business) (Mar 28 2026) | 569</t>
      </text>
    </comment>
    <comment ref="I11" authorId="0">
      <text>
        <t>tmo-20260627.htm | Note: Disaggregated Revenues (Revenues by business) (3M Jun 27 2026) | 608</t>
      </text>
    </comment>
    <comment ref="C15" authorId="0">
      <text>
        <t>tmo-20250329.htm | Note: Disaggregated Revenues (Revenues by business) (Mar 30 2024 column) | 624</t>
      </text>
    </comment>
    <comment ref="D15" authorId="0">
      <text>
        <t>tmo-20250628.htm | Note: Disaggregated Revenues (Revenues by business) (3M Jun 29 2024) | 639</t>
      </text>
    </comment>
    <comment ref="E15" authorId="0">
      <text>
        <t>tmo-20250927.htm | Note: Disaggregated Revenues (Revenues by business) (3M Sep 28 2024) | 614</t>
      </text>
    </comment>
    <comment ref="G15" authorId="0">
      <text>
        <t>R64.htm (10-K XBRL) | Schedule of Disaggregated Revenues (Dec. 31, 2024) | 2,525</t>
      </text>
    </comment>
    <comment ref="C24" authorId="0">
      <text>
        <t>tmo-20260328.htm | Note: Disaggregated Revenues (Revenues by business) (Mar 29 2025 column) | 1,727</t>
      </text>
    </comment>
    <comment ref="D24" authorId="0">
      <text>
        <t>tmo-20260627.htm | Note: Disaggregated Revenues (Revenues by business) (Jun 28 2025 column) | 1,883</t>
      </text>
    </comment>
    <comment ref="E24" authorId="0">
      <text>
        <t>tmo-20250927.htm | Note: Disaggregated Revenues (Revenues by business) (3M Sep 27 2025) | 1,861</t>
      </text>
    </comment>
    <comment ref="G24" authorId="0">
      <text>
        <t>R64.htm (10-K XBRL) | Schedule of Disaggregated Revenues (Dec. 31, 2025) | 7,440</t>
      </text>
    </comment>
    <comment ref="H24" authorId="0">
      <text>
        <t>tmo-20260328.htm | Note: Disaggregated Revenues (Revenues by business) (Mar 28 2026) | 1,827</t>
      </text>
    </comment>
    <comment ref="I24" authorId="0">
      <text>
        <t>tmo-20260627.htm | Note: Disaggregated Revenues (Revenues by business) (3M Jun 27 2026) | 2,036</t>
      </text>
    </comment>
    <comment ref="C28" authorId="0">
      <text>
        <t>tmo-20250329.htm | Note: Disaggregated Revenues (Revenues by business) (Mar 30 2024 column) | 1,711</t>
      </text>
    </comment>
    <comment ref="D28" authorId="0">
      <text>
        <t>tmo-20250628.htm | Note: Disaggregated Revenues (Revenues by business) (3M Jun 29 2024) | 1,775</t>
      </text>
    </comment>
    <comment ref="E28" authorId="0">
      <text>
        <t>tmo-20250927.htm | Note: Disaggregated Revenues (Revenues by business) (3M Sep 28 2024) | 1,739</t>
      </text>
    </comment>
    <comment ref="G28" authorId="0">
      <text>
        <t>R64.htm (10-K XBRL) | Schedule of Disaggregated Revenues (Dec. 31, 2024) | 7,019</t>
      </text>
    </comment>
    <comment ref="C37" authorId="0">
      <text>
        <t>tmo-20260328.htm | Note: Disaggregated Revenues (Revenues by business) (Mar 29 2025 column) | 1,607</t>
      </text>
    </comment>
    <comment ref="D37" authorId="0">
      <text>
        <t>tmo-20260627.htm | Note: Disaggregated Revenues (Revenues by business) (Jun 28 2025 column) | 1,794</t>
      </text>
    </comment>
    <comment ref="E37" authorId="0">
      <text>
        <t>tmo-20250927.htm | Note: Disaggregated Revenues (Revenues by business) (3M Sep 27 2025) | 1,722</t>
      </text>
    </comment>
    <comment ref="G37" authorId="0">
      <text>
        <t>R64.htm (10-K XBRL) | Schedule of Disaggregated Revenues (Dec. 31, 2025) | 7,142</t>
      </text>
    </comment>
    <comment ref="H37" authorId="0">
      <text>
        <t>tmo-20260328.htm | Note: Disaggregated Revenues (Revenues by business) (Mar 28 2026) | 1,741</t>
      </text>
    </comment>
    <comment ref="I37" authorId="0">
      <text>
        <t>tmo-20260627.htm | Note: Disaggregated Revenues (Revenues by business) (3M Jun 27 2026) | 1,893</t>
      </text>
    </comment>
    <comment ref="C41" authorId="0">
      <text>
        <t>tmo-20250329.htm | Note: Disaggregated Revenues (Revenues by business) (Mar 30 2024 column) | 1,578</t>
      </text>
    </comment>
    <comment ref="D41" authorId="0">
      <text>
        <t>tmo-20250628.htm | Note: Disaggregated Revenues (Revenues by business) (3M Jun 29 2024) | 1,627</t>
      </text>
    </comment>
    <comment ref="E41" authorId="0">
      <text>
        <t>tmo-20250927.htm | Note: Disaggregated Revenues (Revenues by business) (3M Sep 28 2024) | 1,647</t>
      </text>
    </comment>
    <comment ref="G41" authorId="0">
      <text>
        <t>R64.htm (10-K XBRL) | Schedule of Disaggregated Revenues (Dec. 31, 2024) | 6,685</t>
      </text>
    </comment>
    <comment ref="C50" authorId="0">
      <text>
        <t>tmo-20260328.htm | Note: Disaggregated Revenues (Revenues by business) (Mar 29 2025 column) | 1,939</t>
      </text>
    </comment>
    <comment ref="D50" authorId="0">
      <text>
        <t>tmo-20260627.htm | Note: Disaggregated Revenues (Revenues by business) (Jun 28 2025 column) | 1,955</t>
      </text>
    </comment>
    <comment ref="E50" authorId="0">
      <text>
        <t>tmo-20250927.htm | Note: Disaggregated Revenues (Revenues by business) (3M Sep 27 2025) | 2,019</t>
      </text>
    </comment>
    <comment ref="G50" authorId="0">
      <text>
        <t>R64.htm (10-K XBRL) | Schedule of Disaggregated Revenues (Dec. 31, 2025) | 7,915</t>
      </text>
    </comment>
    <comment ref="H50" authorId="0">
      <text>
        <t>tmo-20260328.htm | Note: Disaggregated Revenues (Revenues by business) (Mar 28 2026) | 2,128</t>
      </text>
    </comment>
    <comment ref="I50" authorId="0">
      <text>
        <t>tmo-20260627.htm | Note: Disaggregated Revenues (Revenues by business) (3M Jun 27 2026) | 2,396</t>
      </text>
    </comment>
    <comment ref="C54" authorId="0">
      <text>
        <t>tmo-20250329.htm | Note: Disaggregated Revenues (Revenues by business) (Mar 30 2024 column) | 2,033</t>
      </text>
    </comment>
    <comment ref="D54" authorId="0">
      <text>
        <t>tmo-20250628.htm | Note: Disaggregated Revenues (Revenues by business) (3M Jun 29 2024) | 1,949</t>
      </text>
    </comment>
    <comment ref="E54" authorId="0">
      <text>
        <t>tmo-20250927.htm | Note: Disaggregated Revenues (Revenues by business) (3M Sep 28 2024) | 1,956</t>
      </text>
    </comment>
    <comment ref="G54" authorId="0">
      <text>
        <t>R64.htm (10-K XBRL) | Schedule of Disaggregated Revenues (Dec. 31, 2024) | 7,836</t>
      </text>
    </comment>
    <comment ref="C63" authorId="0">
      <text>
        <t>tmo-20260328.htm | Note: Disaggregated Revenues (Revenues by business) (Mar 29 2025 column) | (214)</t>
      </text>
    </comment>
    <comment ref="D63" authorId="0">
      <text>
        <t>tmo-20260627.htm | Note: Disaggregated Revenues (Revenues by business) (Jun 28 2025 column) | (238)</t>
      </text>
    </comment>
    <comment ref="E63" authorId="0">
      <text>
        <t>tmo-20250927.htm | Note: Disaggregated Revenues (Revenues by business) (3M Sep 27 2025) | (226)</t>
      </text>
    </comment>
    <comment ref="G63" authorId="0">
      <text>
        <t>R64.htm (10-K XBRL) | Schedule of Disaggregated Revenues (Dec. 31, 2025) | (920)</t>
      </text>
    </comment>
    <comment ref="H63" authorId="0">
      <text>
        <t>tmo-20260328.htm | Note: Disaggregated Revenues (Revenues by business) (Mar 28 2026) | (228)</t>
      </text>
    </comment>
    <comment ref="I63" authorId="0">
      <text>
        <t>tmo-20260627.htm | Note: Disaggregated Revenues (Revenues by business) (3M Jun 27 2026) | (240)</t>
      </text>
    </comment>
    <comment ref="C67" authorId="0">
      <text>
        <t>tmo-20250329.htm | Note: Disaggregated Revenues (Revenues by business) (Mar 30 2024 column) | (224)</t>
      </text>
    </comment>
    <comment ref="D67" authorId="0">
      <text>
        <t>tmo-20250628.htm | Note: Disaggregated Revenues (Revenues by business) (3M Jun 29 2024) | (233)</t>
      </text>
    </comment>
    <comment ref="E67" authorId="0">
      <text>
        <t>tmo-20250927.htm | Note: Disaggregated Revenues (Revenues by business) (3M Sep 28 2024) | (216)</t>
      </text>
    </comment>
    <comment ref="G67" authorId="0">
      <text>
        <t>R64.htm (10-K XBRL) | Schedule of Disaggregated Revenues (Dec. 31, 2024) | (907)</t>
      </text>
    </comment>
    <comment ref="C78" authorId="0">
      <text>
        <t>q12026earnings8kex99_1.htm | Business Segment Information (prior-year column) | 5,640</t>
      </text>
    </comment>
    <comment ref="D78" authorId="0">
      <text>
        <t>q22026earnings8kex99_1.htm | Business Segment Information (prior-year column) | 5,995</t>
      </text>
    </comment>
    <comment ref="E78" authorId="0">
      <text>
        <t>q32025earnings8kex99_1.htm | Business Segment Information | 5,970</t>
      </text>
    </comment>
    <comment ref="F78" authorId="0">
      <text>
        <t>q42025earnings8kex99_1.htm | Business Segment Information (3M Dec 31 2025) | 6,379</t>
      </text>
    </comment>
    <comment ref="H78" authorId="0">
      <text>
        <t>q12026earnings8kex99_1.htm | Business Segment Information | 6,036</t>
      </text>
    </comment>
    <comment ref="I78" authorId="0">
      <text>
        <t>q22026earnings8kex99_1.htm | Business Segment Information | 6,693</t>
      </text>
    </comment>
    <comment ref="C83" authorId="0">
      <text>
        <t>tmo-20250329.htm | MD&amp;A Segment Results (2024 column) | 5,723</t>
      </text>
    </comment>
    <comment ref="D83" authorId="0">
      <text>
        <t>tmo-20250628.htm | MD&amp;A Segment Results (2024 column) | 5,758</t>
      </text>
    </comment>
    <comment ref="E83" authorId="0">
      <text>
        <t>q32025earnings8kex99_1.htm | Business Segment Information (2024 column) | 5,740</t>
      </text>
    </comment>
    <comment ref="F83" authorId="0">
      <text>
        <t>q42025earnings8kex99_1.htm | Business Segment Information (3M Dec 31 2024) | 5,936</t>
      </text>
    </comment>
    <comment ref="G83" authorId="0">
      <text>
        <t>q42025earnings8kex99_1.htm | Business Segment Information (year 2024) | 23,157</t>
      </text>
    </comment>
    <comment ref="C90" authorId="0">
      <text>
        <t>tmo-20250329.htm | MD&amp;A Segment Results (three months) | (1)%</t>
      </text>
    </comment>
    <comment ref="D90" authorId="0">
      <text>
        <t>tmo-20250628.htm | MD&amp;A Segment Results (three months) | 4%</t>
      </text>
    </comment>
    <comment ref="E90" authorId="0">
      <text>
        <t>tmo-20250927.htm | MD&amp;A Segment Results (three months) | 4%</t>
      </text>
    </comment>
    <comment ref="F90" authorId="0">
      <text>
        <t>Fool Q4 2025 call transcript | CFO segment remarks | 7%</t>
      </text>
    </comment>
    <comment ref="G90" authorId="0">
      <text>
        <t>tmo-20251231.htm | MD&amp;A Segment Results (2025) | 4%</t>
      </text>
    </comment>
    <comment ref="H90" authorId="0">
      <text>
        <t>tmo-20260328.htm | MD&amp;A Segment Results (three months) | 7%</t>
      </text>
    </comment>
    <comment ref="I90" authorId="0">
      <text>
        <t>tmo-20260627.htm | MD&amp;A Segment Results (three months) | 12%</t>
      </text>
    </comment>
    <comment ref="C91" authorId="0">
      <text>
        <t>tmo-20250329.htm | MD&amp;A Segment Results (three months) | 0%</t>
      </text>
    </comment>
    <comment ref="D91" authorId="0">
      <text>
        <t>tmo-20250628.htm | MD&amp;A Segment Results (three months) | 0%</t>
      </text>
    </comment>
    <comment ref="E91" authorId="0">
      <text>
        <t>tmo-20250927.htm | MD&amp;A Segment Results (three months) | 0%</t>
      </text>
    </comment>
    <comment ref="G91" authorId="0">
      <text>
        <t>tmo-20251231.htm | MD&amp;A Segment Results (2025) | 0%</t>
      </text>
    </comment>
    <comment ref="H91" authorId="0">
      <text>
        <t>tmo-20260328.htm | MD&amp;A Segment Results (three months) | 1%</t>
      </text>
    </comment>
    <comment ref="I91" authorId="0">
      <text>
        <t>tmo-20260627.htm | MD&amp;A Segment Results (three months) | 6%</t>
      </text>
    </comment>
    <comment ref="C92" authorId="0">
      <text>
        <t>tmo-20250329.htm | MD&amp;A Segment Results (three months) | (1)%</t>
      </text>
    </comment>
    <comment ref="D92" authorId="0">
      <text>
        <t>tmo-20250628.htm | MD&amp;A Segment Results (three months) | 1%</t>
      </text>
    </comment>
    <comment ref="E92" authorId="0">
      <text>
        <t>tmo-20250927.htm | MD&amp;A Segment Results (three months) | 1%</t>
      </text>
    </comment>
    <comment ref="G92" authorId="0">
      <text>
        <t>tmo-20251231.htm | MD&amp;A Segment Results (2025) | 1%</t>
      </text>
    </comment>
    <comment ref="H92" authorId="0">
      <text>
        <t>tmo-20260328.htm | MD&amp;A Segment Results (three months) | 2%</t>
      </text>
    </comment>
    <comment ref="I92" authorId="0">
      <text>
        <t>tmo-20260627.htm | MD&amp;A Segment Results (three months) | 1%</t>
      </text>
    </comment>
    <comment ref="C93" authorId="0">
      <text>
        <t>tmo-20250329.htm | MD&amp;A Segment Results (three months) | (1)%</t>
      </text>
    </comment>
    <comment ref="D93" authorId="0">
      <text>
        <t>tmo-20250628.htm | MD&amp;A Segment Results (three months) | 3%</t>
      </text>
    </comment>
    <comment ref="E93" authorId="0">
      <text>
        <t>tmo-20250927.htm | MD&amp;A Segment Results (three months) | 3%</t>
      </text>
    </comment>
    <comment ref="F93" authorId="0">
      <text>
        <t>Fool Q4 2025 call transcript | CFO segment remarks | 5%</t>
      </text>
    </comment>
    <comment ref="G93" authorId="0">
      <text>
        <t>tmo-20251231.htm | MD&amp;A Segment Results (2025) | 3%</t>
      </text>
    </comment>
    <comment ref="H93" authorId="0">
      <text>
        <t>tmo-20260328.htm | MD&amp;A Segment Results (three months) | 4%</t>
      </text>
    </comment>
    <comment ref="I93" authorId="0">
      <text>
        <t>tmo-20260627.htm | MD&amp;A Segment Results (three months) | 5%</t>
      </text>
    </comment>
    <comment ref="C97" authorId="0">
      <text>
        <t>q12026earnings8kex99_1.htm | Business Segment Information (prior-year column) | 731</t>
      </text>
    </comment>
    <comment ref="D97" authorId="0">
      <text>
        <t>q22026earnings8kex99_1.htm | Business Segment Information (prior-year column) | 825</t>
      </text>
    </comment>
    <comment ref="E97" authorId="0">
      <text>
        <t>q32025earnings8kex99_1.htm | Business Segment Information | 868</t>
      </text>
    </comment>
    <comment ref="F97" authorId="0">
      <text>
        <t>q42025earnings8kex99_1.htm | Business Segment Information (3M Dec 31 2025) | 925</t>
      </text>
    </comment>
    <comment ref="H97" authorId="0">
      <text>
        <t>q12026earnings8kex99_1.htm | Business Segment Information | 778</t>
      </text>
    </comment>
    <comment ref="I97" authorId="0">
      <text>
        <t>q22026earnings8kex99_1.htm | Business Segment Information | 936</t>
      </text>
    </comment>
    <comment ref="C100" authorId="0">
      <text>
        <t>tmo-20250329.htm | MD&amp;A Segment Results (2024 column) | 744</t>
      </text>
    </comment>
    <comment ref="D100" authorId="0">
      <text>
        <t>tmo-20250628.htm | MD&amp;A Segment Results (2024 column) | 745</t>
      </text>
    </comment>
    <comment ref="E100" authorId="0">
      <text>
        <t>q32025earnings8kex99_1.htm | Business Segment Information (2024 column) | 773</t>
      </text>
    </comment>
    <comment ref="F100" authorId="0">
      <text>
        <t>q42025earnings8kex99_1.htm | Business Segment Information (3M Dec 31 2024) | 828</t>
      </text>
    </comment>
    <comment ref="G100" authorId="0">
      <text>
        <t>q42025earnings8kex99_1.htm | Business Segment Information (year 2024) | 3,090</t>
      </text>
    </comment>
    <comment ref="C109" authorId="0">
      <text>
        <t>tmo-20260328.htm | Business segment information (3M Mar 29 2025, recast) | 5,603</t>
      </text>
    </comment>
    <comment ref="D109" authorId="0">
      <text>
        <t>tmo-20260627.htm | Business segment information (3M Jun 28 2025, recast) | 5,953</t>
      </text>
    </comment>
    <comment ref="E109" authorId="0">
      <text>
        <t>tmo-20250927.htm | Business segment information (3M Sep 27 2025) | 5,927</t>
      </text>
    </comment>
    <comment ref="G109" authorId="0">
      <text>
        <t>R83.htm (10-K XBRL) | Schedule of Business Segment Information (FY2025) | 23,818</t>
      </text>
    </comment>
    <comment ref="H109" authorId="0">
      <text>
        <t>tmo-20260328.htm | Business segment information (3M Mar 28 2026) | 5,995</t>
      </text>
    </comment>
    <comment ref="I109" authorId="0">
      <text>
        <t>tmo-20260627.htm | Business segment information (3M Jun 27 2026) | 6,652</t>
      </text>
    </comment>
    <comment ref="C112" authorId="0">
      <text>
        <t>tmo-20260328.htm | Business segment information (3M Mar 29 2025, recast) | 37</t>
      </text>
    </comment>
    <comment ref="D112" authorId="0">
      <text>
        <t>tmo-20260627.htm | Business segment information (3M Jun 28 2025, recast) | 42</t>
      </text>
    </comment>
    <comment ref="E112" authorId="0">
      <text>
        <t>tmo-20250927.htm | Business segment information (3M Sep 27 2025) | 43</t>
      </text>
    </comment>
    <comment ref="G112" authorId="0">
      <text>
        <t>R83.htm (10-K XBRL) | Schedule of Business Segment Information (FY2025) | 167</t>
      </text>
    </comment>
    <comment ref="H112" authorId="0">
      <text>
        <t>tmo-20260328.htm | Business segment information (3M Mar 28 2026) | 41</t>
      </text>
    </comment>
    <comment ref="I112" authorId="0">
      <text>
        <t>tmo-20260627.htm | Business segment information (3M Jun 27 2026) | 41</t>
      </text>
    </comment>
    <comment ref="C120" authorId="0">
      <text>
        <t>tmo-20260328.htm | Business segment information (3M Mar 29 2025, recast) | 4,410</t>
      </text>
    </comment>
    <comment ref="D120" authorId="0">
      <text>
        <t>tmo-20260627.htm | Business segment information (3M Jun 28 2025, recast) | 4,667</t>
      </text>
    </comment>
    <comment ref="E120" authorId="0">
      <text>
        <t>tmo-20250927.htm | Business segment information (3M Sep 27 2025) | 4,622</t>
      </text>
    </comment>
    <comment ref="G120" authorId="0">
      <text>
        <t>R83.htm (10-K XBRL) | Schedule of Business Segment Information (FY2025) | 18,609</t>
      </text>
    </comment>
    <comment ref="H120" authorId="0">
      <text>
        <t>tmo-20260328.htm | Business segment information (3M Mar 28 2026) | 4,757</t>
      </text>
    </comment>
    <comment ref="I120" authorId="0">
      <text>
        <t>tmo-20260627.htm | Business segment information (3M Jun 27 2026) | 5,150</t>
      </text>
    </comment>
    <comment ref="C126" authorId="0">
      <text>
        <t>tmo-20260328.htm | Business segment information (3M Mar 29 2025, recast) | 588</t>
      </text>
    </comment>
    <comment ref="D126" authorId="0">
      <text>
        <t>tmo-20260627.htm | Business segment information (3M Jun 28 2025, recast) | 595</t>
      </text>
    </comment>
    <comment ref="E126" authorId="0">
      <text>
        <t>tmo-20250927.htm | Business segment information (3M Sep 27 2025) | 582</t>
      </text>
    </comment>
    <comment ref="G126" authorId="0">
      <text>
        <t>R83.htm (10-K XBRL) | Schedule of Business Segment Information (FY2025) | 2,392</t>
      </text>
    </comment>
    <comment ref="H126" authorId="0">
      <text>
        <t>tmo-20260328.htm | Business segment information (3M Mar 28 2026) | 597</t>
      </text>
    </comment>
    <comment ref="I126" authorId="0">
      <text>
        <t>tmo-20260627.htm | Business segment information (3M Jun 27 2026) | 677</t>
      </text>
    </comment>
    <comment ref="C132" authorId="0">
      <text>
        <t>tmo-20260328.htm | Business segment information (3M Mar 29 2025, recast) | 13</t>
      </text>
    </comment>
    <comment ref="D132" authorId="0">
      <text>
        <t>tmo-20260627.htm | Business segment information (3M Jun 28 2025, recast) | 14</t>
      </text>
    </comment>
    <comment ref="E132" authorId="0">
      <text>
        <t>tmo-20250927.htm | Business segment information (3M Sep 27 2025) | 14</t>
      </text>
    </comment>
    <comment ref="G132" authorId="0">
      <text>
        <t>R83.htm (10-K XBRL) | Schedule of Business Segment Information (FY2025) | 56</t>
      </text>
    </comment>
    <comment ref="H132" authorId="0">
      <text>
        <t>tmo-20260328.htm | Business segment information (3M Mar 28 2026) | 15</t>
      </text>
    </comment>
    <comment ref="I132" authorId="0">
      <text>
        <t>tmo-20260627.htm | Business segment information (3M Jun 27 2026) | 27</t>
      </text>
    </comment>
    <comment ref="C138" authorId="0">
      <text>
        <t>tmo-20260328.htm | Business segment information (3M Mar 29 2025, recast) | (103)</t>
      </text>
    </comment>
    <comment ref="D138" authorId="0">
      <text>
        <t>tmo-20260627.htm | Business segment information (3M Jun 28 2025, recast) | (106)</t>
      </text>
    </comment>
    <comment ref="E138" authorId="0">
      <text>
        <t>tmo-20250927.htm | Business segment information (3M Sep 27 2025) | (116)</t>
      </text>
    </comment>
    <comment ref="G138" authorId="0">
      <text>
        <t>R83.htm (10-K XBRL) | Schedule of Business Segment Information (FY2025) | (422)</t>
      </text>
    </comment>
    <comment ref="H138" authorId="0">
      <text>
        <t>tmo-20260328.htm | Business segment information (3M Mar 28 2026) | (110)</t>
      </text>
    </comment>
    <comment ref="I138" authorId="0">
      <text>
        <t>tmo-20260627.htm | Business segment information (3M Jun 27 2026) | (97)</t>
      </text>
    </comment>
    <comment ref="C143" authorId="0">
      <text>
        <t>tmo-20260328.htm | Business segment information (3M Mar 29 2025, recast) | 205</t>
      </text>
    </comment>
    <comment ref="D143" authorId="0">
      <text>
        <t>tmo-20260627.htm | Business segment information (3M Jun 28 2025, recast) | 206</t>
      </text>
    </comment>
    <comment ref="E143" authorId="0">
      <text>
        <t>tmo-20250927.htm | Business segment information (3M Sep 27 2025) | 297</t>
      </text>
    </comment>
    <comment ref="G143" authorId="0">
      <text>
        <t>R83.htm (10-K XBRL) | Schedule of Business Segment Information (FY2025) | 1,005</t>
      </text>
    </comment>
    <comment ref="H143" authorId="0">
      <text>
        <t>tmo-20260328.htm | Business segment information (3M Mar 28 2026) | 259</t>
      </text>
    </comment>
    <comment ref="I143" authorId="0">
      <text>
        <t>tmo-20260627.htm | Business segment information (3M Jun 27 2026) | 260</t>
      </text>
    </comment>
    <comment ref="C144" authorId="0">
      <text>
        <t>tmo-20260328.htm | Business segment information (3M Mar 29 2025, recast) | 172</t>
      </text>
    </comment>
    <comment ref="D144" authorId="0">
      <text>
        <t>tmo-20260627.htm | Business segment information (3M Jun 28 2025, recast) | 152</t>
      </text>
    </comment>
    <comment ref="E144" authorId="0">
      <text>
        <t>tmo-20250927.htm | Business segment information (3M Sep 27 2025) | 115</t>
      </text>
    </comment>
    <comment ref="G144" authorId="0">
      <text>
        <t>R83.htm (10-K XBRL) | Schedule of Business Segment Information (FY2025) | 604</t>
      </text>
    </comment>
    <comment ref="H144" authorId="0">
      <text>
        <t>tmo-20260328.htm | Business segment information (3M Mar 28 2026) | 186</t>
      </text>
    </comment>
    <comment ref="I144" authorId="0">
      <text>
        <t>tmo-20260627.htm | Business segment information (3M Jun 27 2026) | 216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13" authorId="0">
      <text>
        <t>q12026earnings8kex99_1.htm | Condensed Consolidated Statements of Income (prior-year column, 3M Mar 29 2025) | 6,056</t>
      </text>
    </comment>
    <comment ref="D13" authorId="0">
      <text>
        <t>q22026earnings8kex99_1.htm | Condensed Consolidated Statements of Income (prior-year column, 3M Jun 28 2025) | 6,378</t>
      </text>
    </comment>
    <comment ref="E13" authorId="0">
      <text>
        <t>q32025earnings8kex99_1.htm | Condensed Consolidated Statements of Income (3M Sep 27 2025) | 6,470</t>
      </text>
    </comment>
    <comment ref="F13" authorId="0">
      <text>
        <t>q42025earnings8kex99_1.htm | Condensed Consolidated Statements of Income (3M Dec 31 2025) | 7,143</t>
      </text>
    </comment>
    <comment ref="H13" authorId="0">
      <text>
        <t>q12026earnings8kex99_1.htm | Condensed Consolidated Statements of Income (3M Mar 28 2026) | 6,529</t>
      </text>
    </comment>
    <comment ref="I13" authorId="0">
      <text>
        <t>q22026earnings8kex99_1.htm | Condensed Consolidated Statements of Income (3M Jun 27 2026) | 7,051</t>
      </text>
    </comment>
    <comment ref="C20" authorId="0">
      <text>
        <t>q12026earnings8kex99_1.htm | Condensed Consolidated Statements of Income (prior-year column, 3M Mar 29 2025) | 1,721</t>
      </text>
    </comment>
    <comment ref="D20" authorId="0">
      <text>
        <t>q22026earnings8kex99_1.htm | Condensed Consolidated Statements of Income (prior-year column, 3M Jun 28 2025) | 1,779</t>
      </text>
    </comment>
    <comment ref="E20" authorId="0">
      <text>
        <t>q32025earnings8kex99_1.htm | Condensed Consolidated Statements of Income (3M Sep 27 2025) | 1,795</t>
      </text>
    </comment>
    <comment ref="F20" authorId="0">
      <text>
        <t>q42025earnings8kex99_1.htm | Condensed Consolidated Statements of Income (3M Dec 31 2025) | 1,977</t>
      </text>
    </comment>
    <comment ref="H20" authorId="0">
      <text>
        <t>q12026earnings8kex99_1.htm | Condensed Consolidated Statements of Income (3M Mar 28 2026) | 1,798</t>
      </text>
    </comment>
    <comment ref="I20" authorId="0">
      <text>
        <t>q22026earnings8kex99_1.htm | Condensed Consolidated Statements of Income (3M Jun 27 2026) | 1,909</t>
      </text>
    </comment>
    <comment ref="C26" authorId="0">
      <text>
        <t>q12026earnings8kex99_1.htm | Condensed Consolidated Statements of Income (prior-year column, 3M Mar 29 2025) | 429</t>
      </text>
    </comment>
    <comment ref="D26" authorId="0">
      <text>
        <t>q22026earnings8kex99_1.htm | Condensed Consolidated Statements of Income (prior-year column, 3M Jun 28 2025) | 429</t>
      </text>
    </comment>
    <comment ref="E26" authorId="0">
      <text>
        <t>q32025earnings8kex99_1.htm | Condensed Consolidated Statements of Income (3M Sep 27 2025) | 435</t>
      </text>
    </comment>
    <comment ref="F26" authorId="0">
      <text>
        <t>q42025earnings8kex99_1.htm | Condensed Consolidated Statements of Income (3M Dec 31 2025) | 436</t>
      </text>
    </comment>
    <comment ref="H26" authorId="0">
      <text>
        <t>q12026earnings8kex99_1.htm | Condensed Consolidated Statements of Income (3M Mar 28 2026) | 430</t>
      </text>
    </comment>
    <comment ref="I26" authorId="0">
      <text>
        <t>q22026earnings8kex99_1.htm | Condensed Consolidated Statements of Income (3M Jun 27 2026) | 485</t>
      </text>
    </comment>
    <comment ref="C29" authorId="0">
      <text>
        <t>q12026earnings8kex99_1.htm | Condensed Consolidated Statements of Income (prior-year column, 3M Mar 29 2025) | 342</t>
      </text>
    </comment>
    <comment ref="D29" authorId="0">
      <text>
        <t>q22026earnings8kex99_1.htm | Condensed Consolidated Statements of Income (prior-year column, 3M Jun 28 2025) | 352</t>
      </text>
    </comment>
    <comment ref="E29" authorId="0">
      <text>
        <t>q32025earnings8kex99_1.htm | Condensed Consolidated Statements of Income (3M Sep 27 2025) | 346</t>
      </text>
    </comment>
    <comment ref="F29" authorId="0">
      <text>
        <t>q42025earnings8kex99_1.htm | Condensed Consolidated Statements of Income (3M Dec 31 2025) | 357</t>
      </text>
    </comment>
    <comment ref="H29" authorId="0">
      <text>
        <t>q12026earnings8kex99_1.htm | Condensed Consolidated Statements of Income (3M Mar 28 2026) | 336</t>
      </text>
    </comment>
    <comment ref="I29" authorId="0">
      <text>
        <t>q22026earnings8kex99_1.htm | Condensed Consolidated Statements of Income (3M Jun 27 2026) | 364</t>
      </text>
    </comment>
    <comment ref="C35" authorId="0">
      <text>
        <t>q12026earnings8kex99_1.htm | Condensed Consolidated Statements of Income (prior-year column, 3M Mar 29 2025) | 98</t>
      </text>
    </comment>
    <comment ref="D35" authorId="0">
      <text>
        <t>q22026earnings8kex99_1.htm | Condensed Consolidated Statements of Income (prior-year column, 3M Jun 28 2025) | 82</t>
      </text>
    </comment>
    <comment ref="E35" authorId="0">
      <text>
        <t>q32025earnings8kex99_1.htm | Condensed Consolidated Statements of Income (3M Sep 27 2025) | 135</t>
      </text>
    </comment>
    <comment ref="F35" authorId="0">
      <text>
        <t>q42025earnings8kex99_1.htm | Condensed Consolidated Statements of Income (3M Dec 31 2025) | 46</t>
      </text>
    </comment>
    <comment ref="H35" authorId="0">
      <text>
        <t>q12026earnings8kex99_1.htm | Condensed Consolidated Statements of Income (3M Mar 28 2026) | 49</t>
      </text>
    </comment>
    <comment ref="I35" authorId="0">
      <text>
        <t>q22026earnings8kex99_1.htm | Condensed Consolidated Statements of Income (3M Jun 27 2026) | 98</t>
      </text>
    </comment>
    <comment ref="C45" authorId="0">
      <text>
        <t>q12026earnings8kex99_1.htm | Condensed Consolidated Statements of Income (prior-year column, 3M Mar 29 2025) | 203</t>
      </text>
    </comment>
    <comment ref="D45" authorId="0">
      <text>
        <t>q22026earnings8kex99_1.htm | Condensed Consolidated Statements of Income (prior-year column, 3M Jun 28 2025) | 297</t>
      </text>
    </comment>
    <comment ref="E45" authorId="0">
      <text>
        <t>q32025earnings8kex99_1.htm | Condensed Consolidated Statements of Income (3M Sep 27 2025) | 234</t>
      </text>
    </comment>
    <comment ref="F45" authorId="0">
      <text>
        <t>q42025earnings8kex99_1.htm | Condensed Consolidated Statements of Income (3M Dec 31 2025) | 258</t>
      </text>
    </comment>
    <comment ref="H45" authorId="0">
      <text>
        <t>q12026earnings8kex99_1.htm | Condensed Consolidated Statements of Income (3M Mar 28 2026) | 233</t>
      </text>
    </comment>
    <comment ref="I45" authorId="0">
      <text>
        <t>q22026earnings8kex99_1.htm | Condensed Consolidated Statements of Income (3M Jun 27 2026) | 207</t>
      </text>
    </comment>
    <comment ref="C48" authorId="0">
      <text>
        <t>q12026earnings8kex99_1.htm | Condensed Consolidated Statements of Income (prior-year column, 3M Mar 29 2025) | (303)</t>
      </text>
    </comment>
    <comment ref="D48" authorId="0">
      <text>
        <t>q22026earnings8kex99_1.htm | Condensed Consolidated Statements of Income (prior-year column, 3M Jun 28 2025) | (404)</t>
      </text>
    </comment>
    <comment ref="E48" authorId="0">
      <text>
        <t>q32025earnings8kex99_1.htm | Condensed Consolidated Statements of Income (3M Sep 27 2025) | (347)</t>
      </text>
    </comment>
    <comment ref="F48" authorId="0">
      <text>
        <t>q42025earnings8kex99_1.htm | Condensed Consolidated Statements of Income (3M Dec 31 2025) | (365)</t>
      </text>
    </comment>
    <comment ref="H48" authorId="0">
      <text>
        <t>q12026earnings8kex99_1.htm | Condensed Consolidated Statements of Income (3M Mar 28 2026) | (354)</t>
      </text>
    </comment>
    <comment ref="I48" authorId="0">
      <text>
        <t>q22026earnings8kex99_1.htm | Condensed Consolidated Statements of Income (3M Jun 27 2026) | (401)</t>
      </text>
    </comment>
    <comment ref="C52" authorId="0">
      <text>
        <t>q12026earnings8kex99_1.htm | Condensed Consolidated Statements of Income (prior-year column, 3M Mar 29 2025) | 3</t>
      </text>
    </comment>
    <comment ref="D52" authorId="0">
      <text>
        <t>q22026earnings8kex99_1.htm | Condensed Consolidated Statements of Income (prior-year column, 3M Jun 28 2025) | (19)</t>
      </text>
    </comment>
    <comment ref="E52" authorId="0">
      <text>
        <t>q32025earnings8kex99_1.htm | Condensed Consolidated Statements of Income (3M Sep 27 2025) | (2)</t>
      </text>
    </comment>
    <comment ref="F52" authorId="0">
      <text>
        <t>q42025earnings8kex99_1.htm | Condensed Consolidated Statements of Income (3M Dec 31 2025) | 5</t>
      </text>
    </comment>
    <comment ref="H52" authorId="0">
      <text>
        <t>q12026earnings8kex99_1.htm | Condensed Consolidated Statements of Income (3M Mar 28 2026) | (9)</t>
      </text>
    </comment>
    <comment ref="I52" authorId="0">
      <text>
        <t>q22026earnings8kex99_1.htm | Condensed Consolidated Statements of Income (3M Jun 27 2026) | 31</t>
      </text>
    </comment>
    <comment ref="C57" authorId="0">
      <text>
        <t>q12026earnings8kex99_1.htm | Condensed Consolidated Statements of Income (prior-year column, 3M Mar 29 2025) | (95)</t>
      </text>
    </comment>
    <comment ref="D57" authorId="0">
      <text>
        <t>q22026earnings8kex99_1.htm | Condensed Consolidated Statements of Income (prior-year column, 3M Jun 28 2025) | (92)</t>
      </text>
    </comment>
    <comment ref="E57" authorId="0">
      <text>
        <t>q32025earnings8kex99_1.htm | Condensed Consolidated Statements of Income (3M Sep 27 2025) | (207)</t>
      </text>
    </comment>
    <comment ref="F57" authorId="0">
      <text>
        <t>q42025earnings8kex99_1.htm | Condensed Consolidated Statements of Income (3M Dec 31 2025) | (153)</t>
      </text>
    </comment>
    <comment ref="H57" authorId="0">
      <text>
        <t>q12026earnings8kex99_1.htm | Condensed Consolidated Statements of Income (3M Mar 28 2026) | (70)</t>
      </text>
    </comment>
    <comment ref="I57" authorId="0">
      <text>
        <t>q22026earnings8kex99_1.htm | Condensed Consolidated Statements of Income (3M Jun 27 2026) | (167)</t>
      </text>
    </comment>
    <comment ref="C63" authorId="0">
      <text>
        <t>q12026earnings8kex99_1.htm | Condensed Consolidated Statements of Income (prior-year column, 3M Mar 29 2025) | (14)</t>
      </text>
    </comment>
    <comment ref="D63" authorId="0">
      <text>
        <t>q22026earnings8kex99_1.htm | Condensed Consolidated Statements of Income (prior-year column, 3M Jun 28 2025) | 2</t>
      </text>
    </comment>
    <comment ref="E63" authorId="0">
      <text>
        <t>q32025earnings8kex99_1.htm | Condensed Consolidated Statements of Income (3M Sep 27 2025) | 2</t>
      </text>
    </comment>
    <comment ref="F63" authorId="0">
      <text>
        <t>q42025earnings8kex99_1.htm | Condensed Consolidated Statements of Income (3M Dec 31 2025) | (31)</t>
      </text>
    </comment>
    <comment ref="H63" authorId="0">
      <text>
        <t>q12026earnings8kex99_1.htm | Condensed Consolidated Statements of Income (3M Mar 28 2026) | (8)</t>
      </text>
    </comment>
    <comment ref="I63" authorId="0">
      <text>
        <t>q22026earnings8kex99_1.htm | Condensed Consolidated Statements of Income (3M Jun 27 2026) | (15)</t>
      </text>
    </comment>
    <comment ref="C68" authorId="0">
      <text>
        <t>q12026earnings8kex99_1.htm | Condensed Consolidated Statements of Income (prior-year column, 3M Mar 29 2025) | 4</t>
      </text>
    </comment>
    <comment ref="D68" authorId="0">
      <text>
        <t>q22026earnings8kex99_1.htm | Condensed Consolidated Statements of Income (prior-year column, 3M Jun 28 2025) | 2</t>
      </text>
    </comment>
    <comment ref="E68" authorId="0">
      <text>
        <t>q32025earnings8kex99_1.htm | Condensed Consolidated Statements of Income (3M Sep 27 2025) | 5</t>
      </text>
    </comment>
    <comment ref="F68" authorId="0">
      <text>
        <t>q42025earnings8kex99_1.htm | Condensed Consolidated Statements of Income (3M Dec 31 2025) | 5</t>
      </text>
    </comment>
    <comment ref="H68" authorId="0">
      <text>
        <t>q12026earnings8kex99_1.htm | Condensed Consolidated Statements of Income (3M Mar 28 2026) | 5</t>
      </text>
    </comment>
    <comment ref="I68" authorId="0">
      <text>
        <t>q22026earnings8kex99_1.htm | Condensed Consolidated Statements of Income (3M Jun 27 2026) | 5</t>
      </text>
    </comment>
    <comment ref="C76" authorId="0">
      <text>
        <t>q12026earnings8kex99_1.htm | Condensed Consolidated Statements of Income (prior-year column, 3M Mar 29 2025) | 1,507</t>
      </text>
    </comment>
    <comment ref="D76" authorId="0">
      <text>
        <t>q22026earnings8kex99_1.htm | Condensed Consolidated Statements of Income (prior-year column, 3M Jun 28 2025) | 1,617</t>
      </text>
    </comment>
    <comment ref="E76" authorId="0">
      <text>
        <t>q32025earnings8kex99_1.htm | Condensed Consolidated Statements of Income (3M Sep 27 2025) | 1,616</t>
      </text>
    </comment>
    <comment ref="F76" authorId="0">
      <text>
        <t>q42025earnings8kex99_1.htm | Condensed Consolidated Statements of Income (3M Dec 31 2025) | 1,964</t>
      </text>
    </comment>
    <comment ref="H76" authorId="0">
      <text>
        <t>q12026earnings8kex99_1.htm | Condensed Consolidated Statements of Income (3M Mar 28 2026) | 1,651</t>
      </text>
    </comment>
    <comment ref="I76" authorId="0">
      <text>
        <t>q22026earnings8kex99_1.htm | Condensed Consolidated Statements of Income (3M Jun 27 2026) | 1,736</t>
      </text>
    </comment>
    <comment ref="C78" authorId="0">
      <text>
        <t>q12026earnings8kex99_1.htm | Condensed Consolidated Statements of Income (prior-year column, 3M Mar 29 2025) | $3.99</t>
      </text>
    </comment>
    <comment ref="D78" authorId="0">
      <text>
        <t>q22026earnings8kex99_1.htm | Condensed Consolidated Statements of Income (prior-year column, 3M Jun 28 2025) | $4.28</t>
      </text>
    </comment>
    <comment ref="E78" authorId="0">
      <text>
        <t>q32025earnings8kex99_1.htm | Condensed Consolidated Statements of Income (3M Sep 27 2025) | $4.28</t>
      </text>
    </comment>
    <comment ref="F78" authorId="0">
      <text>
        <t>q42025earnings8kex99_1.htm | Condensed Consolidated Statements of Income (3M Dec 31 2025) | $5.22</t>
      </text>
    </comment>
    <comment ref="G78" authorId="0">
      <text>
        <t>q42025earnings8kex99_1.htm | Condensed Consolidated Statements of Income (year ended Dec 31 2025) | $17.77</t>
      </text>
    </comment>
    <comment ref="H78" authorId="0">
      <text>
        <t>q12026earnings8kex99_1.htm | Condensed Consolidated Statements of Income (3M Mar 28 2026) | $4.44</t>
      </text>
    </comment>
    <comment ref="I78" authorId="0">
      <text>
        <t>q22026earnings8kex99_1.htm | Condensed Consolidated Statements of Income (3M Jun 27 2026) | $4.68</t>
      </text>
    </comment>
    <comment ref="C79" authorId="0">
      <text>
        <t>q12026earnings8kex99_1.htm | Condensed Consolidated Statements of Income (prior-year column, 3M Mar 29 2025) | $3.98</t>
      </text>
    </comment>
    <comment ref="D79" authorId="0">
      <text>
        <t>q22026earnings8kex99_1.htm | Condensed Consolidated Statements of Income (prior-year column, 3M Jun 28 2025) | $4.28</t>
      </text>
    </comment>
    <comment ref="E79" authorId="0">
      <text>
        <t>q32025earnings8kex99_1.htm | Condensed Consolidated Statements of Income (3M Sep 27 2025) | $4.27</t>
      </text>
    </comment>
    <comment ref="F79" authorId="0">
      <text>
        <t>q42025earnings8kex99_1.htm | Condensed Consolidated Statements of Income (3M Dec 31 2025) | $5.21</t>
      </text>
    </comment>
    <comment ref="G79" authorId="0">
      <text>
        <t>q42025earnings8kex99_1.htm | Condensed Consolidated Statements of Income (year ended Dec 31 2025) | $17.74</t>
      </text>
    </comment>
    <comment ref="H79" authorId="0">
      <text>
        <t>q12026earnings8kex99_1.htm | Condensed Consolidated Statements of Income (3M Mar 28 2026) | $4.43</t>
      </text>
    </comment>
    <comment ref="I79" authorId="0">
      <text>
        <t>q22026earnings8kex99_1.htm | Condensed Consolidated Statements of Income (3M Jun 27 2026) | $4.68</t>
      </text>
    </comment>
    <comment ref="C89" authorId="0">
      <text>
        <t>q12026earnings8kex99_1.htm | Condensed Consolidated Statements of Income (prior-year column, 3M Mar 29 2025) | 11</t>
      </text>
    </comment>
    <comment ref="D89" authorId="0">
      <text>
        <t>q22026earnings8kex99_1.htm | Condensed Consolidated Statements of Income (prior-year column, 3M Jun 28 2025) | 10</t>
      </text>
    </comment>
    <comment ref="E89" authorId="0">
      <text>
        <t>q32025earnings8kex99_1.htm | Condensed Consolidated Statements of Income (3M Sep 27 2025) | 10</t>
      </text>
    </comment>
    <comment ref="F89" authorId="0">
      <text>
        <t>q42025earnings8kex99_1.htm | Condensed Consolidated Statements of Income (3M Dec 31 2025) | 33</t>
      </text>
    </comment>
    <comment ref="H89" authorId="0">
      <text>
        <t>q12026earnings8kex99_1.htm | Condensed Consolidated Statements of Income (3M Mar 28 2026) | 14</t>
      </text>
    </comment>
    <comment ref="I89" authorId="0">
      <text>
        <t>q22026earnings8kex99_1.htm | Condensed Consolidated Statements of Income (3M Jun 27 2026) | 28</t>
      </text>
    </comment>
    <comment ref="C90" authorId="0">
      <text>
        <t>q12026earnings8kex99_1.htm | Condensed Consolidated Statements of Income (prior-year column, 3M Mar 29 2025) | 14</t>
      </text>
    </comment>
    <comment ref="D90" authorId="0">
      <text>
        <t>q22026earnings8kex99_1.htm | Condensed Consolidated Statements of Income (prior-year column, 3M Jun 28 2025) | 20</t>
      </text>
    </comment>
    <comment ref="E90" authorId="0">
      <text>
        <t>q32025earnings8kex99_1.htm | Condensed Consolidated Statements of Income (3M Sep 27 2025) | 66</t>
      </text>
    </comment>
    <comment ref="F90" authorId="0">
      <text>
        <t>q42025earnings8kex99_1.htm | Condensed Consolidated Statements of Income (3M Dec 31 2025) | 107</t>
      </text>
    </comment>
    <comment ref="H90" authorId="0">
      <text>
        <t>q12026earnings8kex99_1.htm | Condensed Consolidated Statements of Income (3M Mar 28 2026) | 43</t>
      </text>
    </comment>
    <comment ref="I90" authorId="0">
      <text>
        <t>q22026earnings8kex99_1.htm | Condensed Consolidated Statements of Income (3M Jun 27 2026) | 36</t>
      </text>
    </comment>
    <comment ref="C109" authorId="0">
      <text>
        <t>q12026earnings8kex99_1.htm | Condensed Consolidated Statements of Income (prior-year column, 3M Mar 29 2025) | (1)</t>
      </text>
    </comment>
    <comment ref="D109" authorId="0">
      <text>
        <t>q22026earnings8kex99_1.htm | Condensed Consolidated Statements of Income (prior-year column, 3M Jun 28 2025) | 5</t>
      </text>
    </comment>
    <comment ref="E109" authorId="0">
      <text>
        <t>q32025earnings8kex99_1.htm | Condensed Consolidated Statements of Income (3M Sep 27 2025) | (5)</t>
      </text>
    </comment>
    <comment ref="F109" authorId="0">
      <text>
        <t>q42025earnings8kex99_1.htm | Condensed Consolidated Statements of Income (3M Dec 31 2025) | (5)</t>
      </text>
    </comment>
    <comment ref="H109" authorId="0">
      <text>
        <t>q12026earnings8kex99_1.htm | Condensed Consolidated Statements of Income (3M Mar 28 2026) | 1</t>
      </text>
    </comment>
    <comment ref="I109" authorId="0">
      <text>
        <t>q22026earnings8kex99_1.htm | Condensed Consolidated Statements of Income (3M Jun 27 2026) | (31)</t>
      </text>
    </comment>
    <comment ref="C110" authorId="0">
      <text>
        <t>q12026earnings8kex99_1.htm | Condensed Consolidated Statements of Income (prior-year column, 3M Mar 29 2025) | (122)</t>
      </text>
    </comment>
    <comment ref="D110" authorId="0">
      <text>
        <t>q22026earnings8kex99_1.htm | Condensed Consolidated Statements of Income (prior-year column, 3M Jun 28 2025) | (133)</t>
      </text>
    </comment>
    <comment ref="E110" authorId="0">
      <text>
        <t>q32025earnings8kex99_1.htm | Condensed Consolidated Statements of Income (3M Sep 27 2025) | (64)</t>
      </text>
    </comment>
    <comment ref="F110" authorId="0">
      <text>
        <t>q42025earnings8kex99_1.htm | Condensed Consolidated Statements of Income (3M Dec 31 2025) | (138)</t>
      </text>
    </comment>
    <comment ref="H110" authorId="0">
      <text>
        <t>q12026earnings8kex99_1.htm | Condensed Consolidated Statements of Income (3M Mar 28 2026) | (168)</t>
      </text>
    </comment>
    <comment ref="I110" authorId="0">
      <text>
        <t>q22026earnings8kex99_1.htm | Condensed Consolidated Statements of Income (3M Jun 27 2026) | (127)</t>
      </text>
    </comment>
    <comment ref="C111" authorId="0">
      <text>
        <t>q12026earnings8kex99_1.htm | Condensed Consolidated Statements of Income (prior-year column, 3M Mar 29 2025) | 14</t>
      </text>
    </comment>
    <comment ref="D111" authorId="0">
      <text>
        <t>q22026earnings8kex99_1.htm | Condensed Consolidated Statements of Income (prior-year column, 3M Jun 28 2025) | (2)</t>
      </text>
    </comment>
    <comment ref="E111" authorId="0">
      <text>
        <t>q32025earnings8kex99_1.htm | Condensed Consolidated Statements of Income (3M Sep 27 2025) | (2)</t>
      </text>
    </comment>
    <comment ref="F111" authorId="0">
      <text>
        <t>q42025earnings8kex99_1.htm | Condensed Consolidated Statements of Income (3M Dec 31 2025) | 31</t>
      </text>
    </comment>
    <comment ref="H111" authorId="0">
      <text>
        <t>q12026earnings8kex99_1.htm | Condensed Consolidated Statements of Income (3M Mar 28 2026) | 8</t>
      </text>
    </comment>
    <comment ref="I111" authorId="0">
      <text>
        <t>q22026earnings8kex99_1.htm | Condensed Consolidated Statements of Income (3M Jun 27 2026) | 15</t>
      </text>
    </comment>
    <comment ref="C112" authorId="0">
      <text>
        <t>q12026earnings8kex99_1.htm | Condensed Consolidated Statements of Income (prior-year column, 3M Mar 29 2025) | 0</t>
      </text>
    </comment>
    <comment ref="D112" authorId="0">
      <text>
        <t>q22026earnings8kex99_1.htm | Condensed Consolidated Statements of Income (prior-year column, 3M Jun 28 2025) | (1)</t>
      </text>
    </comment>
    <comment ref="E112" authorId="0">
      <text>
        <t>q32025earnings8kex99_1.htm | Condensed Consolidated Statements of Income (3M Sep 27 2025) | 0</t>
      </text>
    </comment>
    <comment ref="F112" authorId="0">
      <text>
        <t>q42025earnings8kex99_1.htm | Condensed Consolidated Statements of Income (3M Dec 31 2025) | 0</t>
      </text>
    </comment>
    <comment ref="H112" authorId="0">
      <text>
        <t>q12026earnings8kex99_1.htm | Condensed Consolidated Statements of Income (3M Mar 28 2026) | 0</t>
      </text>
    </comment>
    <comment ref="I112" authorId="0">
      <text>
        <t>q22026earnings8kex99_1.htm | Condensed Consolidated Statements of Income (3M Jun 27 2026) | 0</t>
      </text>
    </comment>
    <comment ref="C116" authorId="0">
      <text>
        <t>q12026earnings8kex99_1.htm | Condensed Consolidated Statements of Income (prior-year column, 3M Mar 29 2025) | 1,950</t>
      </text>
    </comment>
    <comment ref="D116" authorId="0">
      <text>
        <t>q22026earnings8kex99_1.htm | Condensed Consolidated Statements of Income (prior-year column, 3M Jun 28 2025) | 2,026</t>
      </text>
    </comment>
    <comment ref="E116" authorId="0">
      <text>
        <t>q32025earnings8kex99_1.htm | Condensed Consolidated Statements of Income (3M Sep 27 2025) | 2,190</t>
      </text>
    </comment>
    <comment ref="F116" authorId="0">
      <text>
        <t>q42025earnings8kex99_1.htm | Condensed Consolidated Statements of Income (3M Dec 31 2025) | 2,475</t>
      </text>
    </comment>
    <comment ref="H116" authorId="0">
      <text>
        <t>q12026earnings8kex99_1.htm | Condensed Consolidated Statements of Income (3M Mar 28 2026) | 2,027</t>
      </text>
    </comment>
    <comment ref="I116" authorId="0">
      <text>
        <t>q22026earnings8kex99_1.htm | Condensed Consolidated Statements of Income (3M Jun 27 2026) | 2,241</t>
      </text>
    </comment>
    <comment ref="C118" authorId="0">
      <text>
        <t>q12026earnings8kex99_1.htm | Condensed Consolidated Statements of Income (prior-year column, 3M Mar 29 2025) | $5.15</t>
      </text>
    </comment>
    <comment ref="D118" authorId="0">
      <text>
        <t>q22026earnings8kex99_1.htm | Condensed Consolidated Statements of Income (prior-year column, 3M Jun 28 2025) | $5.36</t>
      </text>
    </comment>
    <comment ref="E118" authorId="0">
      <text>
        <t>q32025earnings8kex99_1.htm | Condensed Consolidated Statements of Income (3M Sep 27 2025) | $5.79</t>
      </text>
    </comment>
    <comment ref="F118" authorId="0">
      <text>
        <t>q42025earnings8kex99_1.htm | Condensed Consolidated Statements of Income (3M Dec 31 2025) | $6.57</t>
      </text>
    </comment>
    <comment ref="G118" authorId="0">
      <text>
        <t>q42025earnings8kex99_1.htm | Condensed Consolidated Statements of Income (year ended Dec 31 2025) | $22.87</t>
      </text>
    </comment>
    <comment ref="H118" authorId="0">
      <text>
        <t>q12026earnings8kex99_1.htm | Condensed Consolidated Statements of Income (3M Mar 28 2026) | $5.44</t>
      </text>
    </comment>
    <comment ref="I118" authorId="0">
      <text>
        <t>q22026earnings8kex99_1.htm | Condensed Consolidated Statements of Income (3M Jun 27 2026) | $6.03</t>
      </text>
    </comment>
    <comment ref="C183" authorId="0">
      <text>
        <t>q12025earnings8kex99_1.htm | Condensed Consolidated Statements of Income (2024 column) | 6,040</t>
      </text>
    </comment>
    <comment ref="D183" authorId="0">
      <text>
        <t>q22025earnings8kex99_1.htm | Condensed Consolidated Statements of Income (2024 column) | 6,106</t>
      </text>
    </comment>
    <comment ref="E183" authorId="0">
      <text>
        <t>q32025earnings8kex99_1.htm | Condensed Consolidated Statements of Income (2024 column) | 6,180</t>
      </text>
    </comment>
    <comment ref="F183" authorId="0">
      <text>
        <t>q42025earnings8kex99_1.htm | Condensed Consolidated Statements of Income (3M Dec 31 2024) | 6,492</t>
      </text>
    </comment>
    <comment ref="G183" authorId="0">
      <text>
        <t>q42025earnings8kex99_1.htm | Condensed Consolidated Statements of Income (year 2024) | 24,818</t>
      </text>
    </comment>
    <comment ref="C184" authorId="0">
      <text>
        <t>q12025earnings8kex99_1.htm | Condensed Consolidated Statements of Income (2024 column) | 1,663</t>
      </text>
    </comment>
    <comment ref="D184" authorId="0">
      <text>
        <t>q22025earnings8kex99_1.htm | Condensed Consolidated Statements of Income (2024 column) | 1,820</t>
      </text>
    </comment>
    <comment ref="E184" authorId="0">
      <text>
        <t>q32025earnings8kex99_1.htm | Condensed Consolidated Statements of Income (2024 column) | 1,838</t>
      </text>
    </comment>
    <comment ref="F184" authorId="0">
      <text>
        <t>q42025earnings8kex99_1.htm | Condensed Consolidated Statements of Income (3M Dec 31 2024) | 2,016</t>
      </text>
    </comment>
    <comment ref="G184" authorId="0">
      <text>
        <t>q42025earnings8kex99_1.htm | Condensed Consolidated Statements of Income (year 2024) | 7,337</t>
      </text>
    </comment>
    <comment ref="C185" authorId="0">
      <text>
        <t>q12025earnings8kex99_1.htm | Condensed Consolidated Statements of Income (2024 column) | 1,328</t>
      </text>
    </comment>
    <comment ref="D185" authorId="0">
      <text>
        <t>q22025earnings8kex99_1.htm | Condensed Consolidated Statements of Income (2024 column) | 1,548</t>
      </text>
    </comment>
    <comment ref="E185" authorId="0">
      <text>
        <t>q32025earnings8kex99_1.htm | Condensed Consolidated Statements of Income (2024 column) | 1,630</t>
      </text>
    </comment>
    <comment ref="F185" authorId="0">
      <text>
        <t>q42025earnings8kex99_1.htm | Condensed Consolidated Statements of Income (3M Dec 31 2024) | 1,830</t>
      </text>
    </comment>
    <comment ref="G185" authorId="0">
      <text>
        <t>q42025earnings8kex99_1.htm | Condensed Consolidated Statements of Income (year 2024) | 6,335</t>
      </text>
    </comment>
    <comment ref="C186" authorId="0">
      <text>
        <t>q12025earnings8kex99_1.htm | Condensed Consolidated Statements of Income (2024 column) | $3.46</t>
      </text>
    </comment>
    <comment ref="D186" authorId="0">
      <text>
        <t>q22025earnings8kex99_1.htm | Condensed Consolidated Statements of Income (2024 column) | $4.04</t>
      </text>
    </comment>
    <comment ref="E186" authorId="0">
      <text>
        <t>q32025earnings8kex99_1.htm | Condensed Consolidated Statements of Income (2024 column) | $4.25</t>
      </text>
    </comment>
    <comment ref="F186" authorId="0">
      <text>
        <t>q42025earnings8kex99_1.htm | Condensed Consolidated Statements of Income (3M Dec 31 2024) | $4.78</t>
      </text>
    </comment>
    <comment ref="G186" authorId="0">
      <text>
        <t>q42025earnings8kex99_1.htm | Condensed Consolidated Statements of Income (year 2024) | $16.53</t>
      </text>
    </comment>
    <comment ref="C187" authorId="0">
      <text>
        <t>q12025earnings8kex99_1.htm | Condensed Consolidated Statements of Income (2024 column) | 2,278</t>
      </text>
    </comment>
    <comment ref="D187" authorId="0">
      <text>
        <t>q22025earnings8kex99_1.htm | Condensed Consolidated Statements of Income (2024 column) | 2,347</t>
      </text>
    </comment>
    <comment ref="E187" authorId="0">
      <text>
        <t>q32025earnings8kex99_1.htm | Condensed Consolidated Statements of Income (2024 column) | 2,362</t>
      </text>
    </comment>
    <comment ref="F187" authorId="0">
      <text>
        <t>q42025earnings8kex99_1.htm | Condensed Consolidated Statements of Income (3M Dec 31 2024) | 2,720</t>
      </text>
    </comment>
    <comment ref="G187" authorId="0">
      <text>
        <t>q42025earnings8kex99_1.htm | Condensed Consolidated Statements of Income (year 2024) | 9,707</t>
      </text>
    </comment>
    <comment ref="C188" authorId="0">
      <text>
        <t>q12025earnings8kex99_1.htm | Condensed Consolidated Statements of Income (2024 column) | 1,959</t>
      </text>
    </comment>
    <comment ref="D188" authorId="0">
      <text>
        <t>q22025earnings8kex99_1.htm | Condensed Consolidated Statements of Income (2024 column) | 2,057</t>
      </text>
    </comment>
    <comment ref="E188" authorId="0">
      <text>
        <t>q32025earnings8kex99_1.htm | Condensed Consolidated Statements of Income (2024 column) | 2,026</t>
      </text>
    </comment>
    <comment ref="F188" authorId="0">
      <text>
        <t>q42025earnings8kex99_1.htm | Condensed Consolidated Statements of Income (3M Dec 31 2024) | 2,338</t>
      </text>
    </comment>
    <comment ref="G188" authorId="0">
      <text>
        <t>q42025earnings8kex99_1.htm | Condensed Consolidated Statements of Income (year 2024) | 8,380</t>
      </text>
    </comment>
    <comment ref="C189" authorId="0">
      <text>
        <t>q12025earnings8kex99_1.htm | Condensed Consolidated Statements of Income (2024 column) | $5.11</t>
      </text>
    </comment>
    <comment ref="D189" authorId="0">
      <text>
        <t>q22025earnings8kex99_1.htm | Condensed Consolidated Statements of Income (2024 column) | $5.37</t>
      </text>
    </comment>
    <comment ref="E189" authorId="0">
      <text>
        <t>q32025earnings8kex99_1.htm | Condensed Consolidated Statements of Income (2024 column) | $5.28</t>
      </text>
    </comment>
    <comment ref="F189" authorId="0">
      <text>
        <t>q42025earnings8kex99_1.htm | Condensed Consolidated Statements of Income (3M Dec 31 2024) | $6.10</t>
      </text>
    </comment>
    <comment ref="G189" authorId="0">
      <text>
        <t>q42025earnings8kex99_1.htm | Condensed Consolidated Statements of Income (year 2024) | $21.86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10" authorId="0">
      <text>
        <t>tmo-20250329.htm | Condensed Consolidated Balance Sheet (Mar 29 2025) | 4,134</t>
      </text>
    </comment>
    <comment ref="D10" authorId="0">
      <text>
        <t>tmo-20250628.htm | Condensed Consolidated Balance Sheet (Jun 28 2025) | 4,576</t>
      </text>
    </comment>
    <comment ref="E10" authorId="0">
      <text>
        <t>tmo-20250927.htm | Condensed Consolidated Balance Sheet (Sep 27 2025) | 1,982</t>
      </text>
    </comment>
    <comment ref="F10" authorId="0">
      <text>
        <t>tmo-20251231.htm | Consolidated Balance Sheet (Dec 31 2025) | 9,852</t>
      </text>
    </comment>
    <comment ref="H10" authorId="0">
      <text>
        <t>tmo-20260328.htm | Condensed Consolidated Balance Sheet (Mar 28 2026) | 3,254</t>
      </text>
    </comment>
    <comment ref="I10" authorId="0">
      <text>
        <t>tmo-20260627.htm | Condensed Consolidated Balance Sheet (Jun 27 2026) | 4,064</t>
      </text>
    </comment>
    <comment ref="C11" authorId="0">
      <text>
        <t>tmo-20250329.htm | Condensed Consolidated Balance Sheet (Mar 29 2025) | 1,813</t>
      </text>
    </comment>
    <comment ref="D11" authorId="0">
      <text>
        <t>tmo-20250628.htm | Condensed Consolidated Balance Sheet (Jun 28 2025) | 1,814</t>
      </text>
    </comment>
    <comment ref="E11" authorId="0">
      <text>
        <t>tmo-20250927.htm | Condensed Consolidated Balance Sheet (Sep 27 2025) | 1,564</t>
      </text>
    </comment>
    <comment ref="F11" authorId="0">
      <text>
        <t>tmo-20251231.htm | Consolidated Balance Sheet (Dec 31 2025) | 253</t>
      </text>
    </comment>
    <comment ref="H11" authorId="0">
      <text>
        <t>tmo-20260328.htm | Condensed Consolidated Balance Sheet (Mar 28 2026) | 2</t>
      </text>
    </comment>
    <comment ref="I11" authorId="0">
      <text>
        <t>tmo-20260627.htm | Condensed Consolidated Balance Sheet (Jun 27 2026) | 0</t>
      </text>
    </comment>
    <comment ref="C12" authorId="0">
      <text>
        <t>tmo-20250329.htm | Condensed Consolidated Balance Sheet (Mar 29 2025) | 8,455</t>
      </text>
    </comment>
    <comment ref="D12" authorId="0">
      <text>
        <t>tmo-20250628.htm | Condensed Consolidated Balance Sheet (Jun 28 2025) | 8,594</t>
      </text>
    </comment>
    <comment ref="E12" authorId="0">
      <text>
        <t>tmo-20250927.htm | Condensed Consolidated Balance Sheet (Sep 27 2025) | 8,911</t>
      </text>
    </comment>
    <comment ref="F12" authorId="0">
      <text>
        <t>tmo-20251231.htm | Consolidated Balance Sheet (Dec 31 2025) | 8,900</t>
      </text>
    </comment>
    <comment ref="H12" authorId="0">
      <text>
        <t>tmo-20260328.htm | Condensed Consolidated Balance Sheet (Mar 28 2026) | 9,204</t>
      </text>
    </comment>
    <comment ref="I12" authorId="0">
      <text>
        <t>tmo-20260627.htm | Condensed Consolidated Balance Sheet (Jun 27 2026) | 9,451</t>
      </text>
    </comment>
    <comment ref="C13" authorId="0">
      <text>
        <t>tmo-20250329.htm | Condensed Consolidated Balance Sheet (Mar 29 2025) | 5,224</t>
      </text>
    </comment>
    <comment ref="D13" authorId="0">
      <text>
        <t>tmo-20250628.htm | Condensed Consolidated Balance Sheet (Jun 28 2025) | 5,559</t>
      </text>
    </comment>
    <comment ref="E13" authorId="0">
      <text>
        <t>tmo-20250927.htm | Condensed Consolidated Balance Sheet (Sep 27 2025) | 5,745</t>
      </text>
    </comment>
    <comment ref="F13" authorId="0">
      <text>
        <t>tmo-20251231.htm | Consolidated Balance Sheet (Dec 31 2025) | 5,425</t>
      </text>
    </comment>
    <comment ref="H13" authorId="0">
      <text>
        <t>tmo-20260328.htm | Condensed Consolidated Balance Sheet (Mar 28 2026) | 5,496</t>
      </text>
    </comment>
    <comment ref="I13" authorId="0">
      <text>
        <t>tmo-20260627.htm | Condensed Consolidated Balance Sheet (Jun 27 2026) | 5,627</t>
      </text>
    </comment>
    <comment ref="C14" authorId="0">
      <text>
        <t>tmo-20250329.htm | Condensed Consolidated Balance Sheet (Mar 29 2025) | 1,366</t>
      </text>
    </comment>
    <comment ref="D14" authorId="0">
      <text>
        <t>tmo-20250628.htm | Condensed Consolidated Balance Sheet (Jun 28 2025) | 1,441</t>
      </text>
    </comment>
    <comment ref="E14" authorId="0">
      <text>
        <t>tmo-20250927.htm | Condensed Consolidated Balance Sheet (Sep 27 2025) | 1,620</t>
      </text>
    </comment>
    <comment ref="F14" authorId="0">
      <text>
        <t>tmo-20251231.htm | Consolidated Balance Sheet (Dec 31 2025) | 1,666</t>
      </text>
    </comment>
    <comment ref="H14" authorId="0">
      <text>
        <t>tmo-20260328.htm | Condensed Consolidated Balance Sheet (Mar 28 2026) | 1,684</t>
      </text>
    </comment>
    <comment ref="I14" authorId="0">
      <text>
        <t>tmo-20260627.htm | Condensed Consolidated Balance Sheet (Jun 27 2026) | 1,688</t>
      </text>
    </comment>
    <comment ref="C15" authorId="0">
      <text>
        <t>tmo-20250329.htm | Condensed Consolidated Balance Sheet (Mar 29 2025) | 2,387</t>
      </text>
    </comment>
    <comment ref="D15" authorId="0">
      <text>
        <t>tmo-20250628.htm | Condensed Consolidated Balance Sheet (Jun 28 2025) | 2,599</t>
      </text>
    </comment>
    <comment ref="E15" authorId="0">
      <text>
        <t>tmo-20250927.htm | Condensed Consolidated Balance Sheet (Sep 27 2025) | 2,472</t>
      </text>
    </comment>
    <comment ref="F15" authorId="0">
      <text>
        <t>tmo-20251231.htm | Consolidated Balance Sheet (Dec 31 2025) | 2,612</t>
      </text>
    </comment>
    <comment ref="H15" authorId="0">
      <text>
        <t>tmo-20260328.htm | Condensed Consolidated Balance Sheet (Mar 28 2026) | 2,677</t>
      </text>
    </comment>
    <comment ref="I15" authorId="0">
      <text>
        <t>tmo-20260627.htm | Condensed Consolidated Balance Sheet (Jun 27 2026) | 2,536</t>
      </text>
    </comment>
    <comment ref="C17" authorId="0">
      <text>
        <t>tmo-20250329.htm | Condensed Consolidated Balance Sheet (Mar 29 2025) | 9,331</t>
      </text>
    </comment>
    <comment ref="D17" authorId="0">
      <text>
        <t>tmo-20250628.htm | Condensed Consolidated Balance Sheet (Jun 28 2025) | 9,635</t>
      </text>
    </comment>
    <comment ref="E17" authorId="0">
      <text>
        <t>tmo-20250927.htm | Condensed Consolidated Balance Sheet (Sep 27 2025) | 10,177</t>
      </text>
    </comment>
    <comment ref="F17" authorId="0">
      <text>
        <t>tmo-20251231.htm | Consolidated Balance Sheet (Dec 31 2025) | 10,565</t>
      </text>
    </comment>
    <comment ref="H17" authorId="0">
      <text>
        <t>tmo-20260328.htm | Condensed Consolidated Balance Sheet (Mar 28 2026) | 10,658</t>
      </text>
    </comment>
    <comment ref="I17" authorId="0">
      <text>
        <t>tmo-20260627.htm | Condensed Consolidated Balance Sheet (Jun 27 2026) | 10,755</t>
      </text>
    </comment>
    <comment ref="C18" authorId="0">
      <text>
        <t>tmo-20250329.htm | Condensed Consolidated Balance Sheet (Mar 29 2025) | 15,323</t>
      </text>
    </comment>
    <comment ref="D18" authorId="0">
      <text>
        <t>tmo-20250628.htm | Condensed Consolidated Balance Sheet (Jun 28 2025) | 15,148</t>
      </text>
    </comment>
    <comment ref="E18" authorId="0">
      <text>
        <t>tmo-20250927.htm | Condensed Consolidated Balance Sheet (Sep 27 2025) | 16,242</t>
      </text>
    </comment>
    <comment ref="F18" authorId="0">
      <text>
        <t>tmo-20251231.htm | Consolidated Balance Sheet (Dec 31 2025) | 15,838</t>
      </text>
    </comment>
    <comment ref="H18" authorId="0">
      <text>
        <t>tmo-20260328.htm | Condensed Consolidated Balance Sheet (Mar 28 2026) | 19,146</t>
      </text>
    </comment>
    <comment ref="I18" authorId="0">
      <text>
        <t>tmo-20260627.htm | Condensed Consolidated Balance Sheet (Jun 27 2026) | 18,606</t>
      </text>
    </comment>
    <comment ref="C19" authorId="0">
      <text>
        <t>tmo-20250329.htm | Condensed Consolidated Balance Sheet (Mar 29 2025) | 4,516</t>
      </text>
    </comment>
    <comment ref="D19" authorId="0">
      <text>
        <t>tmo-20250628.htm | Condensed Consolidated Balance Sheet (Jun 28 2025) | 4,615</t>
      </text>
    </comment>
    <comment ref="E19" authorId="0">
      <text>
        <t>tmo-20250927.htm | Condensed Consolidated Balance Sheet (Sep 27 2025) | 5,019</t>
      </text>
    </comment>
    <comment ref="F19" authorId="0">
      <text>
        <t>tmo-20251231.htm | Consolidated Balance Sheet (Dec 31 2025) | 5,871</t>
      </text>
    </comment>
    <comment ref="H19" authorId="0">
      <text>
        <t>tmo-20260328.htm | Condensed Consolidated Balance Sheet (Mar 28 2026) | 5,973</t>
      </text>
    </comment>
    <comment ref="I19" authorId="0">
      <text>
        <t>tmo-20260627.htm | Condensed Consolidated Balance Sheet (Jun 27 2026) | 5,616</t>
      </text>
    </comment>
    <comment ref="C20" authorId="0">
      <text>
        <t>tmo-20250329.htm | Condensed Consolidated Balance Sheet (Mar 29 2025) | 46,493</t>
      </text>
    </comment>
    <comment ref="D20" authorId="0">
      <text>
        <t>tmo-20250628.htm | Condensed Consolidated Balance Sheet (Jun 28 2025) | 47,249</t>
      </text>
    </comment>
    <comment ref="E20" authorId="0">
      <text>
        <t>tmo-20250927.htm | Condensed Consolidated Balance Sheet (Sep 27 2025) | 49,287</t>
      </text>
    </comment>
    <comment ref="F20" authorId="0">
      <text>
        <t>tmo-20251231.htm | Consolidated Balance Sheet (Dec 31 2025) | 49,362</t>
      </text>
    </comment>
    <comment ref="H20" authorId="0">
      <text>
        <t>tmo-20260328.htm | Condensed Consolidated Balance Sheet (Mar 28 2026) | 55,187</t>
      </text>
    </comment>
    <comment ref="I20" authorId="0">
      <text>
        <t>tmo-20260627.htm | Condensed Consolidated Balance Sheet (Jun 27 2026) | 54,832</t>
      </text>
    </comment>
    <comment ref="C24" authorId="0">
      <text>
        <t>tmo-20250329.htm | Condensed Consolidated Balance Sheet (Mar 29 2025) | 2,819</t>
      </text>
    </comment>
    <comment ref="D24" authorId="0">
      <text>
        <t>tmo-20250628.htm | Condensed Consolidated Balance Sheet (Jun 28 2025) | 2,214</t>
      </text>
    </comment>
    <comment ref="E24" authorId="0">
      <text>
        <t>tmo-20250927.htm | Condensed Consolidated Balance Sheet (Sep 27 2025) | 3,823</t>
      </text>
    </comment>
    <comment ref="F24" authorId="0">
      <text>
        <t>tmo-20251231.htm | Consolidated Balance Sheet (Dec 31 2025) | 3,533</t>
      </text>
    </comment>
    <comment ref="H24" authorId="0">
      <text>
        <t>tmo-20260328.htm | Condensed Consolidated Balance Sheet (Mar 28 2026) | 3,090</t>
      </text>
    </comment>
    <comment ref="I24" authorId="0">
      <text>
        <t>tmo-20260627.htm | Condensed Consolidated Balance Sheet (Jun 27 2026) | 3,368</t>
      </text>
    </comment>
    <comment ref="C25" authorId="0">
      <text>
        <t>tmo-20250329.htm | Condensed Consolidated Balance Sheet (Mar 29 2025) | 3,049</t>
      </text>
    </comment>
    <comment ref="D25" authorId="0">
      <text>
        <t>tmo-20250628.htm | Condensed Consolidated Balance Sheet (Jun 28 2025) | 2,980</t>
      </text>
    </comment>
    <comment ref="E25" authorId="0">
      <text>
        <t>tmo-20250927.htm | Condensed Consolidated Balance Sheet (Sep 27 2025) | 3,120</t>
      </text>
    </comment>
    <comment ref="F25" authorId="0">
      <text>
        <t>tmo-20251231.htm | Consolidated Balance Sheet (Dec 31 2025) | 3,622</t>
      </text>
    </comment>
    <comment ref="H25" authorId="0">
      <text>
        <t>tmo-20260328.htm | Condensed Consolidated Balance Sheet (Mar 28 2026) | 3,344</t>
      </text>
    </comment>
    <comment ref="I25" authorId="0">
      <text>
        <t>tmo-20260627.htm | Condensed Consolidated Balance Sheet (Jun 27 2026) | 3,268</t>
      </text>
    </comment>
    <comment ref="C26" authorId="0">
      <text>
        <t>tmo-20250329.htm | Condensed Consolidated Balance Sheet (Mar 29 2025) | 1,419</t>
      </text>
    </comment>
    <comment ref="D26" authorId="0">
      <text>
        <t>tmo-20250628.htm | Condensed Consolidated Balance Sheet (Jun 28 2025) | 1,518</t>
      </text>
    </comment>
    <comment ref="E26" authorId="0">
      <text>
        <t>tmo-20250927.htm | Condensed Consolidated Balance Sheet (Sep 27 2025) | 1,884</t>
      </text>
    </comment>
    <comment ref="F26" authorId="0">
      <text>
        <t>tmo-20251231.htm | Consolidated Balance Sheet (Dec 31 2025) | 1,995</t>
      </text>
    </comment>
    <comment ref="H26" authorId="0">
      <text>
        <t>tmo-20260328.htm | Condensed Consolidated Balance Sheet (Mar 28 2026) | 1,565</t>
      </text>
    </comment>
    <comment ref="I26" authorId="0">
      <text>
        <t>tmo-20260627.htm | Condensed Consolidated Balance Sheet (Jun 27 2026) | 1,694</t>
      </text>
    </comment>
    <comment ref="C27" authorId="0">
      <text>
        <t>tmo-20250329.htm | Condensed Consolidated Balance Sheet (Mar 29 2025) | 2,866</t>
      </text>
    </comment>
    <comment ref="D27" authorId="0">
      <text>
        <t>tmo-20250628.htm | Condensed Consolidated Balance Sheet (Jun 28 2025) | 2,805</t>
      </text>
    </comment>
    <comment ref="E27" authorId="0">
      <text>
        <t>tmo-20250927.htm | Condensed Consolidated Balance Sheet (Sep 27 2025) | 2,852</t>
      </text>
    </comment>
    <comment ref="F27" authorId="0">
      <text>
        <t>tmo-20251231.htm | Consolidated Balance Sheet (Dec 31 2025) | 2,710</t>
      </text>
    </comment>
    <comment ref="H27" authorId="0">
      <text>
        <t>tmo-20260328.htm | Condensed Consolidated Balance Sheet (Mar 28 2026) | 2,928</t>
      </text>
    </comment>
    <comment ref="I27" authorId="0">
      <text>
        <t>tmo-20260627.htm | Condensed Consolidated Balance Sheet (Jun 27 2026) | 2,918</t>
      </text>
    </comment>
    <comment ref="C28" authorId="0">
      <text>
        <t>tmo-20250329.htm | Condensed Consolidated Balance Sheet (Mar 29 2025) | 3,022</t>
      </text>
    </comment>
    <comment ref="D28" authorId="0">
      <text>
        <t>tmo-20250628.htm | Condensed Consolidated Balance Sheet (Jun 28 2025) | 3,200</t>
      </text>
    </comment>
    <comment ref="E28" authorId="0">
      <text>
        <t>tmo-20250927.htm | Condensed Consolidated Balance Sheet (Sep 27 2025) | 3,209</t>
      </text>
    </comment>
    <comment ref="F28" authorId="0">
      <text>
        <t>tmo-20251231.htm | Consolidated Balance Sheet (Dec 31 2025) | 3,329</t>
      </text>
    </comment>
    <comment ref="H28" authorId="0">
      <text>
        <t>tmo-20260328.htm | Condensed Consolidated Balance Sheet (Mar 28 2026) | 3,694</t>
      </text>
    </comment>
    <comment ref="I28" authorId="0">
      <text>
        <t>tmo-20260627.htm | Condensed Consolidated Balance Sheet (Jun 27 2026) | 3,823</t>
      </text>
    </comment>
    <comment ref="C30" authorId="0">
      <text>
        <t>tmo-20250329.htm | Condensed Consolidated Balance Sheet (Mar 29 2025) | 1,041</t>
      </text>
    </comment>
    <comment ref="D30" authorId="0">
      <text>
        <t>tmo-20250628.htm | Condensed Consolidated Balance Sheet (Jun 28 2025) | 624</t>
      </text>
    </comment>
    <comment ref="E30" authorId="0">
      <text>
        <t>tmo-20250927.htm | Condensed Consolidated Balance Sheet (Sep 27 2025) | 842</t>
      </text>
    </comment>
    <comment ref="F30" authorId="0">
      <text>
        <t>tmo-20251231.htm | Consolidated Balance Sheet (Dec 31 2025) | 1,493</t>
      </text>
    </comment>
    <comment ref="H30" authorId="0">
      <text>
        <t>tmo-20260328.htm | Condensed Consolidated Balance Sheet (Mar 28 2026) | 2,107</t>
      </text>
    </comment>
    <comment ref="I30" authorId="0">
      <text>
        <t>tmo-20260627.htm | Condensed Consolidated Balance Sheet (Jun 27 2026) | 1,579</t>
      </text>
    </comment>
    <comment ref="C31" authorId="0">
      <text>
        <t>tmo-20250329.htm | Condensed Consolidated Balance Sheet (Mar 29 2025) | 3,971</t>
      </text>
    </comment>
    <comment ref="D31" authorId="0">
      <text>
        <t>tmo-20250628.htm | Condensed Consolidated Balance Sheet (Jun 28 2025) | 4,270</t>
      </text>
    </comment>
    <comment ref="E31" authorId="0">
      <text>
        <t>tmo-20250927.htm | Condensed Consolidated Balance Sheet (Sep 27 2025) | 4,278</t>
      </text>
    </comment>
    <comment ref="F31" authorId="0">
      <text>
        <t>tmo-20251231.htm | Consolidated Balance Sheet (Dec 31 2025) | 4,273</t>
      </text>
    </comment>
    <comment ref="H31" authorId="0">
      <text>
        <t>tmo-20260328.htm | Condensed Consolidated Balance Sheet (Mar 28 2026) | 4,421</t>
      </text>
    </comment>
    <comment ref="I31" authorId="0">
      <text>
        <t>tmo-20260627.htm | Condensed Consolidated Balance Sheet (Jun 27 2026) | 4,538</t>
      </text>
    </comment>
    <comment ref="C32" authorId="0">
      <text>
        <t>tmo-20250329.htm | Condensed Consolidated Balance Sheet (Mar 29 2025) | 31,370</t>
      </text>
    </comment>
    <comment ref="D32" authorId="0">
      <text>
        <t>tmo-20250628.htm | Condensed Consolidated Balance Sheet (Jun 28 2025) | 33,015</t>
      </text>
    </comment>
    <comment ref="E32" authorId="0">
      <text>
        <t>tmo-20250927.htm | Condensed Consolidated Balance Sheet (Sep 27 2025) | 31,857</t>
      </text>
    </comment>
    <comment ref="F32" authorId="0">
      <text>
        <t>tmo-20251231.htm | Consolidated Balance Sheet (Dec 31 2025) | 35,852</t>
      </text>
    </comment>
    <comment ref="H32" authorId="0">
      <text>
        <t>tmo-20260328.htm | Condensed Consolidated Balance Sheet (Mar 28 2026) | 40,071</t>
      </text>
    </comment>
    <comment ref="I32" authorId="0">
      <text>
        <t>tmo-20260627.htm | Condensed Consolidated Balance Sheet (Jun 27 2026) | 39,181</t>
      </text>
    </comment>
    <comment ref="C34" authorId="0">
      <text>
        <t>tmo-20250329.htm | Condensed Consolidated Balance Sheet (Mar 29 2025) | 128</t>
      </text>
    </comment>
    <comment ref="D34" authorId="0">
      <text>
        <t>tmo-20250628.htm | Condensed Consolidated Balance Sheet (Jun 28 2025) | 126</t>
      </text>
    </comment>
    <comment ref="E34" authorId="0">
      <text>
        <t>tmo-20250927.htm | Condensed Consolidated Balance Sheet (Sep 27 2025) | 129</t>
      </text>
    </comment>
    <comment ref="F34" authorId="0">
      <text>
        <t>tmo-20251231.htm | Consolidated Balance Sheet (Dec 31 2025) | 122</t>
      </text>
    </comment>
    <comment ref="H34" authorId="0">
      <text>
        <t>tmo-20260328.htm | Condensed Consolidated Balance Sheet (Mar 28 2026) | 121</t>
      </text>
    </comment>
    <comment ref="I34" authorId="0">
      <text>
        <t>tmo-20260627.htm | Condensed Consolidated Balance Sheet (Jun 27 2026) | 121</t>
      </text>
    </comment>
    <comment ref="C35" authorId="0">
      <text>
        <t>tmo-20250329.htm | Condensed Consolidated Balance Sheet (Mar 29 2025) | 444</t>
      </text>
    </comment>
    <comment ref="D35" authorId="0">
      <text>
        <t>tmo-20250628.htm | Condensed Consolidated Balance Sheet (Jun 28 2025) | 444</t>
      </text>
    </comment>
    <comment ref="E35" authorId="0">
      <text>
        <t>tmo-20250927.htm | Condensed Consolidated Balance Sheet (Sep 27 2025) | 445</t>
      </text>
    </comment>
    <comment ref="F35" authorId="0">
      <text>
        <t>tmo-20251231.htm | Consolidated Balance Sheet (Dec 31 2025) | 445</t>
      </text>
    </comment>
    <comment ref="H35" authorId="0">
      <text>
        <t>tmo-20260328.htm | Condensed Consolidated Balance Sheet (Mar 28 2026) | 445</t>
      </text>
    </comment>
    <comment ref="I35" authorId="0">
      <text>
        <t>tmo-20260627.htm | Condensed Consolidated Balance Sheet (Jun 27 2026) | 446</t>
      </text>
    </comment>
    <comment ref="C36" authorId="0">
      <text>
        <t>tmo-20250329.htm | Condensed Consolidated Balance Sheet (Mar 29 2025) | 18,111</t>
      </text>
    </comment>
    <comment ref="D36" authorId="0">
      <text>
        <t>tmo-20250628.htm | Condensed Consolidated Balance Sheet (Jun 28 2025) | 18,232</t>
      </text>
    </comment>
    <comment ref="E36" authorId="0">
      <text>
        <t>tmo-20250927.htm | Condensed Consolidated Balance Sheet (Sep 27 2025) | 18,330</t>
      </text>
    </comment>
    <comment ref="F36" authorId="0">
      <text>
        <t>tmo-20251231.htm | Consolidated Balance Sheet (Dec 31 2025) | 18,563</t>
      </text>
    </comment>
    <comment ref="H36" authorId="0">
      <text>
        <t>tmo-20260328.htm | Condensed Consolidated Balance Sheet (Mar 28 2026) | 18,713</t>
      </text>
    </comment>
    <comment ref="I36" authorId="0">
      <text>
        <t>tmo-20260627.htm | Condensed Consolidated Balance Sheet (Jun 27 2026) | 18,870</t>
      </text>
    </comment>
    <comment ref="C37" authorId="0">
      <text>
        <t>tmo-20250329.htm | Condensed Consolidated Balance Sheet (Mar 29 2025) | 54,447</t>
      </text>
    </comment>
    <comment ref="D37" authorId="0">
      <text>
        <t>tmo-20250628.htm | Condensed Consolidated Balance Sheet (Jun 28 2025) | 55,901</t>
      </text>
    </comment>
    <comment ref="E37" authorId="0">
      <text>
        <t>tmo-20250927.htm | Condensed Consolidated Balance Sheet (Sep 27 2025) | 57,354</t>
      </text>
    </comment>
    <comment ref="F37" authorId="0">
      <text>
        <t>tmo-20251231.htm | Consolidated Balance Sheet (Dec 31 2025) | 59,156</t>
      </text>
    </comment>
    <comment ref="H37" authorId="0">
      <text>
        <t>tmo-20260328.htm | Condensed Consolidated Balance Sheet (Mar 28 2026) | 60,632</t>
      </text>
    </comment>
    <comment ref="I37" authorId="0">
      <text>
        <t>tmo-20260627.htm | Condensed Consolidated Balance Sheet (Jun 27 2026) | 62,194</t>
      </text>
    </comment>
    <comment ref="C38" authorId="0">
      <text>
        <t>tmo-20250329.htm | Condensed Consolidated Balance Sheet (Mar 29 2025) | (21,269)</t>
      </text>
    </comment>
    <comment ref="D38" authorId="0">
      <text>
        <t>tmo-20250628.htm | Condensed Consolidated Balance Sheet (Jun 28 2025) | (21,269)</t>
      </text>
    </comment>
    <comment ref="E38" authorId="0">
      <text>
        <t>tmo-20250927.htm | Condensed Consolidated Balance Sheet (Sep 27 2025) | (22,310)</t>
      </text>
    </comment>
    <comment ref="F38" authorId="0">
      <text>
        <t>tmo-20251231.htm | Consolidated Balance Sheet (Dec 31 2025) | (22,309)</t>
      </text>
    </comment>
    <comment ref="H38" authorId="0">
      <text>
        <t>tmo-20260328.htm | Condensed Consolidated Balance Sheet (Mar 28 2026) | (25,360)</t>
      </text>
    </comment>
    <comment ref="I38" authorId="0">
      <text>
        <t>tmo-20260627.htm | Condensed Consolidated Balance Sheet (Jun 27 2026) | (26,370)</t>
      </text>
    </comment>
    <comment ref="C39" authorId="0">
      <text>
        <t>tmo-20250329.htm | Condensed Consolidated Balance Sheet (Mar 29 2025) | (2,343)</t>
      </text>
    </comment>
    <comment ref="D39" authorId="0">
      <text>
        <t>tmo-20250628.htm | Condensed Consolidated Balance Sheet (Jun 28 2025) | (2,797)</t>
      </text>
    </comment>
    <comment ref="E39" authorId="0">
      <text>
        <t>tmo-20250927.htm | Condensed Consolidated Balance Sheet (Sep 27 2025) | (2,801)</t>
      </text>
    </comment>
    <comment ref="F39" authorId="0">
      <text>
        <t>tmo-20251231.htm | Consolidated Balance Sheet (Dec 31 2025) | (2,448)</t>
      </text>
    </comment>
    <comment ref="H39" authorId="0">
      <text>
        <t>tmo-20260328.htm | Condensed Consolidated Balance Sheet (Mar 28 2026) | (2,497)</t>
      </text>
    </comment>
    <comment ref="I39" authorId="0">
      <text>
        <t>tmo-20260627.htm | Condensed Consolidated Balance Sheet (Jun 27 2026) | (2,460)</t>
      </text>
    </comment>
    <comment ref="C41" authorId="0">
      <text>
        <t>tmo-20250329.htm | Condensed Consolidated Balance Sheet (Mar 29 2025) | (33)</t>
      </text>
    </comment>
    <comment ref="D41" authorId="0">
      <text>
        <t>tmo-20250628.htm | Condensed Consolidated Balance Sheet (Jun 28 2025) | (35)</t>
      </text>
    </comment>
    <comment ref="E41" authorId="0">
      <text>
        <t>tmo-20250927.htm | Condensed Consolidated Balance Sheet (Sep 27 2025) | 7</t>
      </text>
    </comment>
    <comment ref="F41" authorId="0">
      <text>
        <t>tmo-20251231.htm | Consolidated Balance Sheet (Dec 31 2025) | 7</t>
      </text>
    </comment>
    <comment ref="H41" authorId="0">
      <text>
        <t>tmo-20260328.htm | Condensed Consolidated Balance Sheet (Mar 28 2026) | 7</t>
      </text>
    </comment>
    <comment ref="I41" authorId="0">
      <text>
        <t>tmo-20260627.htm | Condensed Consolidated Balance Sheet (Jun 27 2026) | 7</t>
      </text>
    </comment>
    <comment ref="C50" authorId="0">
      <text>
        <t>tmo-20250329.htm | Supplemental cash flow: restricted cash (Mar 29 2025) | 16</t>
      </text>
    </comment>
    <comment ref="D50" authorId="0">
      <text>
        <t>tmo-20250628.htm | Supplemental cash flow: restricted cash (Jun 28 2025) | 3</t>
      </text>
    </comment>
    <comment ref="E50" authorId="0">
      <text>
        <t>tmo-20250927.htm | Supplemental cash flow: restricted cash (Sep 27 2025) | 7</t>
      </text>
    </comment>
    <comment ref="F50" authorId="0">
      <text>
        <t>tmo-20260328.htm | Restricted cash (December 31, 2025 column) | 5</t>
      </text>
    </comment>
    <comment ref="H50" authorId="0">
      <text>
        <t>tmo-20260328.htm | Restricted cash (Mar 28 2026) | 4</t>
      </text>
    </comment>
    <comment ref="I50" authorId="0">
      <text>
        <t>tmo-20260627.htm | Restricted cash (Jun 27 2026) | 11</t>
      </text>
    </comment>
    <comment ref="C51" authorId="0">
      <text>
        <t>tmo-20250329.htm | Supplemental cash flow: restricted cash (Mar 29 2025) | 22</t>
      </text>
    </comment>
    <comment ref="D51" authorId="0">
      <text>
        <t>tmo-20250628.htm | Supplemental cash flow: restricted cash (Jun 28 2025) | 24</t>
      </text>
    </comment>
    <comment ref="E51" authorId="0">
      <text>
        <t>tmo-20250927.htm | Supplemental cash flow: restricted cash (Sep 27 2025) | 22</t>
      </text>
    </comment>
    <comment ref="F51" authorId="0">
      <text>
        <t>tmo-20260328.htm | Restricted cash (December 31, 2025 column) | 22</t>
      </text>
    </comment>
    <comment ref="H51" authorId="0">
      <text>
        <t>tmo-20260328.htm | Restricted cash (Mar 28 2026) | 22</t>
      </text>
    </comment>
    <comment ref="I51" authorId="0">
      <text>
        <t>tmo-20260627.htm | Restricted cash (Jun 27 2026) | 22</t>
      </text>
    </comment>
    <comment ref="J67" authorId="0">
      <text>
        <t>tmo-20260627.htm | Note 12 Divestiture: assets and liabilities of the microbiology business at June 27, 2026 | 228</t>
      </text>
    </comment>
    <comment ref="J68" authorId="0">
      <text>
        <t>tmo-20260627.htm | Note 12 Divestiture: assets and liabilities of the microbiology business at June 27, 2026 | 760</t>
      </text>
    </comment>
    <comment ref="J69" authorId="0">
      <text>
        <t>tmo-20260627.htm | Note 12 Divestiture: assets and liabilities of the microbiology business at June 27, 2026 | 71</t>
      </text>
    </comment>
    <comment ref="J70" authorId="0">
      <text>
        <t>tmo-20260627.htm | Note 12 Divestiture: assets and liabilities of the microbiology business at June 27, 2026 | 45</t>
      </text>
    </comment>
    <comment ref="J72" authorId="0">
      <text>
        <t>Thermo Fisher press release 2026-08-12 | Completes Sale of its Microbiology Business to Astorg | approximately $1.075 billion</t>
      </text>
    </comment>
    <comment ref="J73" authorId="0">
      <text>
        <t>Thermo Fisher press release 2026-08-12 | Completes Sale of its Microbiology Business to Astorg | $50 million seller note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78" authorId="0">
      <text>
        <t>q12026earnings8kex99_1.htm | Condensed Consolidated Statements of Cash Flows (prior-year column, 3M Mar 29 2025) | 1,511</t>
      </text>
    </comment>
    <comment ref="D78" authorId="0">
      <text>
        <t>q22026earnings8kex99_1.htm | Condensed Consolidated Statements of Cash Flows (prior-year column, 6M Jun 28 2025) | 3,130</t>
      </text>
    </comment>
    <comment ref="E78" authorId="0">
      <text>
        <t>q32025earnings8kex99_1.htm | Condensed Consolidated Statements of Cash Flows (9M Sep 27 2025) | 4,751</t>
      </text>
    </comment>
    <comment ref="F78" authorId="0">
      <text>
        <t>q42025earnings8kex99_1.htm | Condensed Consolidated Statements of Cash Flows (year ended Dec 31 2025) | 6,721</t>
      </text>
    </comment>
    <comment ref="H78" authorId="0">
      <text>
        <t>q12026earnings8kex99_1.htm | Condensed Consolidated Statements of Cash Flows (3M Mar 28 2026) | 1,656</t>
      </text>
    </comment>
    <comment ref="I78" authorId="0">
      <text>
        <t>q22026earnings8kex99_1.htm | Condensed Consolidated Statements of Cash Flows (6M Jun 27 2026) | 3,397</t>
      </text>
    </comment>
    <comment ref="C79" authorId="0">
      <text>
        <t>q12026earnings8kex99_1.htm | Condensed Consolidated Statements of Cash Flows (prior-year column, 3M Mar 29 2025) | 706</t>
      </text>
    </comment>
    <comment ref="D79" authorId="0">
      <text>
        <t>q22026earnings8kex99_1.htm | Condensed Consolidated Statements of Cash Flows (prior-year column, 6M Jun 28 2025) | 1,391</t>
      </text>
    </comment>
    <comment ref="E79" authorId="0">
      <text>
        <t>q32025earnings8kex99_1.htm | Condensed Consolidated Statements of Cash Flows (9M Sep 27 2025) | 2,053</t>
      </text>
    </comment>
    <comment ref="F79" authorId="0">
      <text>
        <t>q42025earnings8kex99_1.htm | Condensed Consolidated Statements of Cash Flows (year ended Dec 31 2025) | 2,780</t>
      </text>
    </comment>
    <comment ref="H79" authorId="0">
      <text>
        <t>q12026earnings8kex99_1.htm | Condensed Consolidated Statements of Cash Flows (3M Mar 28 2026) | 736</t>
      </text>
    </comment>
    <comment ref="I79" authorId="0">
      <text>
        <t>q22026earnings8kex99_1.htm | Condensed Consolidated Statements of Cash Flows (6M Jun 27 2026) | 1,552</t>
      </text>
    </comment>
    <comment ref="C80" authorId="0">
      <text>
        <t>q12026earnings8kex99_1.htm | Condensed Consolidated Statements of Cash Flows (prior-year column, 3M Mar 29 2025) | (279)</t>
      </text>
    </comment>
    <comment ref="D80" authorId="0">
      <text>
        <t>q22026earnings8kex99_1.htm | Condensed Consolidated Statements of Cash Flows (prior-year column, 6M Jun 28 2025) | (601)</t>
      </text>
    </comment>
    <comment ref="E80" authorId="0">
      <text>
        <t>q32025earnings8kex99_1.htm | Condensed Consolidated Statements of Cash Flows (9M Sep 27 2025) | (728)</t>
      </text>
    </comment>
    <comment ref="F80" authorId="0">
      <text>
        <t>q42025earnings8kex99_1.htm | Condensed Consolidated Statements of Cash Flows (year ended Dec 31 2025) | (639)</t>
      </text>
    </comment>
    <comment ref="H80" authorId="0">
      <text>
        <t>q12026earnings8kex99_1.htm | Condensed Consolidated Statements of Cash Flows (3M Mar 28 2026) | (258)</t>
      </text>
    </comment>
    <comment ref="I80" authorId="0">
      <text>
        <t>q22026earnings8kex99_1.htm | Condensed Consolidated Statements of Cash Flows (6M Jun 27 2026) | (466)</t>
      </text>
    </comment>
    <comment ref="C81" authorId="0">
      <text>
        <t>q12026earnings8kex99_1.htm | Condensed Consolidated Statements of Cash Flows (prior-year column, 3M Mar 29 2025) | 210</t>
      </text>
    </comment>
    <comment ref="D81" authorId="0">
      <text>
        <t>q22026earnings8kex99_1.htm | Condensed Consolidated Statements of Cash Flows (prior-year column, 6M Jun 28 2025) | 354</t>
      </text>
    </comment>
    <comment ref="E81" authorId="0">
      <text>
        <t>q32025earnings8kex99_1.htm | Condensed Consolidated Statements of Cash Flows (9M Sep 27 2025) | 540</t>
      </text>
    </comment>
    <comment ref="F81" authorId="0">
      <text>
        <t>q42025earnings8kex99_1.htm | Condensed Consolidated Statements of Cash Flows (year ended Dec 31 2025) | 765</t>
      </text>
    </comment>
    <comment ref="H81" authorId="0">
      <text>
        <t>q12026earnings8kex99_1.htm | Condensed Consolidated Statements of Cash Flows (3M Mar 28 2026) | 171</t>
      </text>
    </comment>
    <comment ref="I81" authorId="0">
      <text>
        <t>q22026earnings8kex99_1.htm | Condensed Consolidated Statements of Cash Flows (6M Jun 27 2026) | 370</t>
      </text>
    </comment>
    <comment ref="C82" authorId="0">
      <text>
        <t>q12026earnings8kex99_1.htm | Condensed Consolidated Statements of Cash Flows (prior-year column, 3M Mar 29 2025) | 0</t>
      </text>
    </comment>
    <comment ref="D82" authorId="0">
      <text>
        <t>q22026earnings8kex99_1.htm | Condensed Consolidated Statements of Cash Flows (prior-year column, 6M Jun 28 2025) | 0</t>
      </text>
    </comment>
    <comment ref="E82" authorId="0">
      <text>
        <t>q32025earnings8kex99_1.htm | Condensed Consolidated Statements of Cash Flows (9M Sep 27 2025) | 0</t>
      </text>
    </comment>
    <comment ref="F82" authorId="0">
      <text>
        <t>q42025earnings8kex99_1.htm | Condensed Consolidated Statements of Cash Flows (year ended Dec 31 2025) | 0</t>
      </text>
    </comment>
    <comment ref="H82" authorId="0">
      <text>
        <t>q12026earnings8kex99_1.htm | Condensed Consolidated Statements of Cash Flows (3M Mar 28 2026) | 0</t>
      </text>
    </comment>
    <comment ref="I82" authorId="0">
      <text>
        <t>q22026earnings8kex99_1.htm | Condensed Consolidated Statements of Cash Flows (6M Jun 27 2026) | 0</t>
      </text>
    </comment>
    <comment ref="C83" authorId="0">
      <text>
        <t>q12026earnings8kex99_1.htm | Condensed Consolidated Statements of Cash Flows (prior-year column, 3M Mar 29 2025) | (1,425)</t>
      </text>
    </comment>
    <comment ref="D83" authorId="0">
      <text>
        <t>q22026earnings8kex99_1.htm | Condensed Consolidated Statements of Cash Flows (prior-year column, 6M Jun 28 2025) | (2,151)</t>
      </text>
    </comment>
    <comment ref="E83" authorId="0">
      <text>
        <t>q32025earnings8kex99_1.htm | Condensed Consolidated Statements of Cash Flows (9M Sep 27 2025) | (2,255)</t>
      </text>
    </comment>
    <comment ref="F83" authorId="0">
      <text>
        <t>q42025earnings8kex99_1.htm | Condensed Consolidated Statements of Cash Flows (year ended Dec 31 2025) | (1,808)</t>
      </text>
    </comment>
    <comment ref="H83" authorId="0">
      <text>
        <t>q12026earnings8kex99_1.htm | Condensed Consolidated Statements of Cash Flows (3M Mar 28 2026) | (1,112)</t>
      </text>
    </comment>
    <comment ref="I83" authorId="0">
      <text>
        <t>q22026earnings8kex99_1.htm | Condensed Consolidated Statements of Cash Flows (6M Jun 27 2026) | (1,537)</t>
      </text>
    </comment>
    <comment ref="C86" authorId="0">
      <text>
        <t>q12026earnings8kex99_1.htm | Condensed Consolidated Statements of Cash Flows (prior-year column, 3M Mar 29 2025) | (362)</t>
      </text>
    </comment>
    <comment ref="D86" authorId="0">
      <text>
        <t>q22026earnings8kex99_1.htm | Condensed Consolidated Statements of Cash Flows (prior-year column, 6M Jun 28 2025) | (656)</t>
      </text>
    </comment>
    <comment ref="E86" authorId="0">
      <text>
        <t>q32025earnings8kex99_1.htm | Condensed Consolidated Statements of Cash Flows (9M Sep 27 2025) | (1,060)</t>
      </text>
    </comment>
    <comment ref="F86" authorId="0">
      <text>
        <t>q42025earnings8kex99_1.htm | Condensed Consolidated Statements of Cash Flows (year ended Dec 31 2025) | (1,525)</t>
      </text>
    </comment>
    <comment ref="H86" authorId="0">
      <text>
        <t>q12026earnings8kex99_1.htm | Condensed Consolidated Statements of Cash Flows (3M Mar 28 2026) | (376)</t>
      </text>
    </comment>
    <comment ref="I86" authorId="0">
      <text>
        <t>q22026earnings8kex99_1.htm | Condensed Consolidated Statements of Cash Flows (6M Jun 27 2026) | (826)</t>
      </text>
    </comment>
    <comment ref="C87" authorId="0">
      <text>
        <t>q12026earnings8kex99_1.htm | Condensed Consolidated Statements of Cash Flows (prior-year column, 3M Mar 29 2025) | 12</t>
      </text>
    </comment>
    <comment ref="D87" authorId="0">
      <text>
        <t>q22026earnings8kex99_1.htm | Condensed Consolidated Statements of Cash Flows (prior-year column, 6M Jun 28 2025) | 13</t>
      </text>
    </comment>
    <comment ref="E87" authorId="0">
      <text>
        <t>q32025earnings8kex99_1.htm | Condensed Consolidated Statements of Cash Flows (9M Sep 27 2025) | 17</t>
      </text>
    </comment>
    <comment ref="F87" authorId="0">
      <text>
        <t>q42025earnings8kex99_1.htm | Condensed Consolidated Statements of Cash Flows (year ended Dec 31 2025) | 44</t>
      </text>
    </comment>
    <comment ref="H87" authorId="0">
      <text>
        <t>q12026earnings8kex99_1.htm | Condensed Consolidated Statements of Cash Flows (3M Mar 28 2026) | 9</t>
      </text>
    </comment>
    <comment ref="I87" authorId="0">
      <text>
        <t>q22026earnings8kex99_1.htm | Condensed Consolidated Statements of Cash Flows (6M Jun 27 2026) | 13</t>
      </text>
    </comment>
    <comment ref="C88" authorId="0">
      <text>
        <t>q12026earnings8kex99_1.htm | Condensed Consolidated Statements of Cash Flows (prior-year column, 3M Mar 29 2025) | 87</t>
      </text>
    </comment>
    <comment ref="D88" authorId="0">
      <text>
        <t>q22026earnings8kex99_1.htm | Condensed Consolidated Statements of Cash Flows (prior-year column, 6M Jun 28 2025) | 134</t>
      </text>
    </comment>
    <comment ref="E88" authorId="0">
      <text>
        <t>q32025earnings8kex99_1.htm | Condensed Consolidated Statements of Cash Flows (9M Sep 27 2025) | 218</t>
      </text>
    </comment>
    <comment ref="F88" authorId="0">
      <text>
        <t>q42025earnings8kex99_1.htm | Condensed Consolidated Statements of Cash Flows (year ended Dec 31 2025) | 268</t>
      </text>
    </comment>
    <comment ref="H88" authorId="0">
      <text>
        <t>q12026earnings8kex99_1.htm | Condensed Consolidated Statements of Cash Flows (3M Mar 28 2026) | 96</t>
      </text>
    </comment>
    <comment ref="I88" authorId="0">
      <text>
        <t>q22026earnings8kex99_1.htm | Condensed Consolidated Statements of Cash Flows (6M Jun 27 2026) | 187</t>
      </text>
    </comment>
    <comment ref="C89" authorId="0">
      <text>
        <t>q12026earnings8kex99_1.htm | Condensed Consolidated Statements of Cash Flows (prior-year column, 3M Mar 29 2025) | 0</t>
      </text>
    </comment>
    <comment ref="D89" authorId="0">
      <text>
        <t>q22026earnings8kex99_1.htm | Condensed Consolidated Statements of Cash Flows (prior-year column, 6M Jun 28 2025) | 0</t>
      </text>
    </comment>
    <comment ref="E89" authorId="0">
      <text>
        <t>q32025earnings8kex99_1.htm | Condensed Consolidated Statements of Cash Flows (9M Sep 27 2025) | (4,037)</t>
      </text>
    </comment>
    <comment ref="F89" authorId="0">
      <text>
        <t>q42025earnings8kex99_1.htm | Condensed Consolidated Statements of Cash Flows (year ended Dec 31 2025) | (4,037)</t>
      </text>
    </comment>
    <comment ref="H89" authorId="0">
      <text>
        <t>q12026earnings8kex99_1.htm | Condensed Consolidated Statements of Cash Flows (3M Mar 28 2026) | (8,872)</t>
      </text>
    </comment>
    <comment ref="I89" authorId="0">
      <text>
        <t>q22026earnings8kex99_1.htm | Condensed Consolidated Statements of Cash Flows (6M Jun 27 2026) | (8,872)</t>
      </text>
    </comment>
    <comment ref="C90" authorId="0">
      <text>
        <t>q12026earnings8kex99_1.htm | Condensed Consolidated Statements of Cash Flows (prior-year column, 3M Mar 29 2025) | 0</t>
      </text>
    </comment>
    <comment ref="D90" authorId="0">
      <text>
        <t>q22026earnings8kex99_1.htm | Condensed Consolidated Statements of Cash Flows (prior-year column, 6M Jun 28 2025) | 0</t>
      </text>
    </comment>
    <comment ref="E90" authorId="0">
      <text>
        <t>q32025earnings8kex99_1.htm | Condensed Consolidated Statements of Cash Flows (9M Sep 27 2025) | 0</t>
      </text>
    </comment>
    <comment ref="F90" authorId="0">
      <text>
        <t>q42025earnings8kex99_1.htm | Condensed Consolidated Statements of Cash Flows (year ended Dec 31 2025) | 0</t>
      </text>
    </comment>
    <comment ref="H90" authorId="0">
      <text>
        <t>q12026earnings8kex99_1.htm | Condensed Consolidated Statements of Cash Flows (3M Mar 28 2026) | 0</t>
      </text>
    </comment>
    <comment ref="I90" authorId="0">
      <text>
        <t>q22026earnings8kex99_1.htm | Condensed Consolidated Statements of Cash Flows (6M Jun 27 2026) | 0</t>
      </text>
    </comment>
    <comment ref="C91" authorId="0">
      <text>
        <t>q12026earnings8kex99_1.htm | Condensed Consolidated Statements of Cash Flows (prior-year column, 3M Mar 29 2025) | (264)</t>
      </text>
    </comment>
    <comment ref="D91" authorId="0">
      <text>
        <t>q22026earnings8kex99_1.htm | Condensed Consolidated Statements of Cash Flows (prior-year column, 6M Jun 28 2025) | (311)</t>
      </text>
    </comment>
    <comment ref="E91" authorId="0">
      <text>
        <t>q32025earnings8kex99_1.htm | Condensed Consolidated Statements of Cash Flows (9M Sep 27 2025) | (351)</t>
      </text>
    </comment>
    <comment ref="F91" authorId="0">
      <text>
        <t>q42025earnings8kex99_1.htm | Condensed Consolidated Statements of Cash Flows (year ended Dec 31 2025) | (383)</t>
      </text>
    </comment>
    <comment ref="H91" authorId="0">
      <text>
        <t>q12026earnings8kex99_1.htm | Condensed Consolidated Statements of Cash Flows (3M Mar 28 2026) | (14)</t>
      </text>
    </comment>
    <comment ref="I91" authorId="0">
      <text>
        <t>q22026earnings8kex99_1.htm | Condensed Consolidated Statements of Cash Flows (6M Jun 27 2026) | (35)</t>
      </text>
    </comment>
    <comment ref="C92" authorId="0">
      <text>
        <t>q12026earnings8kex99_1.htm | Condensed Consolidated Statements of Cash Flows (prior-year column, 3M Mar 29 2025) | 2</t>
      </text>
    </comment>
    <comment ref="D92" authorId="0">
      <text>
        <t>q22026earnings8kex99_1.htm | Condensed Consolidated Statements of Cash Flows (prior-year column, 6M Jun 28 2025) | 6</t>
      </text>
    </comment>
    <comment ref="E92" authorId="0">
      <text>
        <t>q32025earnings8kex99_1.htm | Condensed Consolidated Statements of Cash Flows (9M Sep 27 2025) | 254</t>
      </text>
    </comment>
    <comment ref="F92" authorId="0">
      <text>
        <t>q42025earnings8kex99_1.htm | Condensed Consolidated Statements of Cash Flows (year ended Dec 31 2025) | 1,565</t>
      </text>
    </comment>
    <comment ref="H92" authorId="0">
      <text>
        <t>q12026earnings8kex99_1.htm | Condensed Consolidated Statements of Cash Flows (3M Mar 28 2026) | 250</t>
      </text>
    </comment>
    <comment ref="I92" authorId="0">
      <text>
        <t>q22026earnings8kex99_1.htm | Condensed Consolidated Statements of Cash Flows (6M Jun 27 2026) | 253</t>
      </text>
    </comment>
    <comment ref="C93" authorId="0">
      <text>
        <t>q12026earnings8kex99_1.htm | Condensed Consolidated Statements of Cash Flows (prior-year column, 3M Mar 29 2025) | 0</t>
      </text>
    </comment>
    <comment ref="D93" authorId="0">
      <text>
        <t>q22026earnings8kex99_1.htm | Condensed Consolidated Statements of Cash Flows (prior-year column, 6M Jun 28 2025) | 0</t>
      </text>
    </comment>
    <comment ref="E93" authorId="0">
      <text>
        <t>q32025earnings8kex99_1.htm | Condensed Consolidated Statements of Cash Flows (9M Sep 27 2025) | 0</t>
      </text>
    </comment>
    <comment ref="F93" authorId="0">
      <text>
        <t>q42025earnings8kex99_1.htm | Condensed Consolidated Statements of Cash Flows (year ended Dec 31 2025) | 0</t>
      </text>
    </comment>
    <comment ref="H93" authorId="0">
      <text>
        <t>q12026earnings8kex99_1.htm | Condensed Consolidated Statements of Cash Flows (3M Mar 28 2026) | 0</t>
      </text>
    </comment>
    <comment ref="I93" authorId="0">
      <text>
        <t>q22026earnings8kex99_1.htm | Condensed Consolidated Statements of Cash Flows (6M Jun 27 2026) | 481</t>
      </text>
    </comment>
    <comment ref="C94" authorId="0">
      <text>
        <t>q12026earnings8kex99_1.htm | Condensed Consolidated Statements of Cash Flows (prior-year column, 3M Mar 29 2025) | (1)</t>
      </text>
    </comment>
    <comment ref="D94" authorId="0">
      <text>
        <t>q22026earnings8kex99_1.htm | Condensed Consolidated Statements of Cash Flows (prior-year column, 6M Jun 28 2025) | 0</t>
      </text>
    </comment>
    <comment ref="E94" authorId="0">
      <text>
        <t>q32025earnings8kex99_1.htm | Condensed Consolidated Statements of Cash Flows (9M Sep 27 2025) | 20</t>
      </text>
    </comment>
    <comment ref="F94" authorId="0">
      <text>
        <t>q42025earnings8kex99_1.htm | Condensed Consolidated Statements of Cash Flows (year ended Dec 31 2025) | 21</t>
      </text>
    </comment>
    <comment ref="H94" authorId="0">
      <text>
        <t>q12026earnings8kex99_1.htm | Condensed Consolidated Statements of Cash Flows (3M Mar 28 2026) | (55)</t>
      </text>
    </comment>
    <comment ref="I94" authorId="0">
      <text>
        <t>q22026earnings8kex99_1.htm | Condensed Consolidated Statements of Cash Flows (6M Jun 27 2026) | 1</t>
      </text>
    </comment>
    <comment ref="C97" authorId="0">
      <text>
        <t>q12026earnings8kex99_1.htm | Condensed Consolidated Statements of Cash Flows (prior-year column, 3M Mar 29 2025) | 2,840</t>
      </text>
    </comment>
    <comment ref="D97" authorId="0">
      <text>
        <t>q22026earnings8kex99_1.htm | Condensed Consolidated Statements of Cash Flows (prior-year column, 6M Jun 28 2025) | 2,840</t>
      </text>
    </comment>
    <comment ref="E97" authorId="0">
      <text>
        <t>q32025earnings8kex99_1.htm | Condensed Consolidated Statements of Cash Flows (9M Sep 27 2025) | 2,840</t>
      </text>
    </comment>
    <comment ref="F97" authorId="0">
      <text>
        <t>q42025earnings8kex99_1.htm | Condensed Consolidated Statements of Cash Flows (year ended Dec 31 2025) | 7,759</t>
      </text>
    </comment>
    <comment ref="H97" authorId="0">
      <text>
        <t>q12026earnings8kex99_1.htm | Condensed Consolidated Statements of Cash Flows (3M Mar 28 2026) | 5,238</t>
      </text>
    </comment>
    <comment ref="I97" authorId="0">
      <text>
        <t>q22026earnings8kex99_1.htm | Condensed Consolidated Statements of Cash Flows (6M Jun 27 2026) | 5,238</t>
      </text>
    </comment>
    <comment ref="C98" authorId="0">
      <text>
        <t>q12026earnings8kex99_1.htm | Condensed Consolidated Statements of Cash Flows (prior-year column, 3M Mar 29 2025) | (838)</t>
      </text>
    </comment>
    <comment ref="D98" authorId="0">
      <text>
        <t>q22026earnings8kex99_1.htm | Condensed Consolidated Statements of Cash Flows (prior-year column, 6M Jun 28 2025) | (1,625)</t>
      </text>
    </comment>
    <comment ref="E98" authorId="0">
      <text>
        <t>q32025earnings8kex99_1.htm | Condensed Consolidated Statements of Cash Flows (9M Sep 27 2025) | (1,625)</t>
      </text>
    </comment>
    <comment ref="F98" authorId="0">
      <text>
        <t>q42025earnings8kex99_1.htm | Condensed Consolidated Statements of Cash Flows (year ended Dec 31 2025) | (2,412)</t>
      </text>
    </comment>
    <comment ref="H98" authorId="0">
      <text>
        <t>q12026earnings8kex99_1.htm | Condensed Consolidated Statements of Cash Flows (3M Mar 28 2026) | (1,412)</t>
      </text>
    </comment>
    <comment ref="I98" authorId="0">
      <text>
        <t>q22026earnings8kex99_1.htm | Condensed Consolidated Statements of Cash Flows (6M Jun 27 2026) | (1,412)</t>
      </text>
    </comment>
    <comment ref="C99" authorId="0">
      <text>
        <t>q12026earnings8kex99_1.htm | Condensed Consolidated Statements of Cash Flows (prior-year column, 3M Mar 29 2025) | 0</t>
      </text>
    </comment>
    <comment ref="D99" authorId="0">
      <text>
        <t>q22026earnings8kex99_1.htm | Condensed Consolidated Statements of Cash Flows (prior-year column, 6M Jun 28 2025) | 0</t>
      </text>
    </comment>
    <comment ref="E99" authorId="0">
      <text>
        <t>q32025earnings8kex99_1.htm | Condensed Consolidated Statements of Cash Flows (9M Sep 27 2025) | 1,095</t>
      </text>
    </comment>
    <comment ref="F99" authorId="0">
      <text>
        <t>q42025earnings8kex99_1.htm | Condensed Consolidated Statements of Cash Flows (year ended Dec 31 2025) | 1,095</t>
      </text>
    </comment>
    <comment ref="H99" authorId="0">
      <text>
        <t>q12026earnings8kex99_1.htm | Condensed Consolidated Statements of Cash Flows (3M Mar 28 2026) | 389</t>
      </text>
    </comment>
    <comment ref="I99" authorId="0">
      <text>
        <t>q22026earnings8kex99_1.htm | Condensed Consolidated Statements of Cash Flows (6M Jun 27 2026) | 389</t>
      </text>
    </comment>
    <comment ref="C100" authorId="0">
      <text>
        <t>q12026earnings8kex99_1.htm | Condensed Consolidated Statements of Cash Flows (prior-year column, 3M Mar 29 2025) | 0</t>
      </text>
    </comment>
    <comment ref="D100" authorId="0">
      <text>
        <t>q22026earnings8kex99_1.htm | Condensed Consolidated Statements of Cash Flows (prior-year column, 6M Jun 28 2025) | 0</t>
      </text>
    </comment>
    <comment ref="E100" authorId="0">
      <text>
        <t>q32025earnings8kex99_1.htm | Condensed Consolidated Statements of Cash Flows (9M Sep 27 2025) | (597)</t>
      </text>
    </comment>
    <comment ref="F100" authorId="0">
      <text>
        <t>q42025earnings8kex99_1.htm | Condensed Consolidated Statements of Cash Flows (year ended Dec 31 2025) | (1,095)</t>
      </text>
    </comment>
    <comment ref="H100" authorId="0">
      <text>
        <t>q12026earnings8kex99_1.htm | Condensed Consolidated Statements of Cash Flows (3M Mar 28 2026) | 0</t>
      </text>
    </comment>
    <comment ref="I100" authorId="0">
      <text>
        <t>q22026earnings8kex99_1.htm | Condensed Consolidated Statements of Cash Flows (6M Jun 27 2026) | (389)</t>
      </text>
    </comment>
    <comment ref="C101" authorId="0">
      <text>
        <t>q12026earnings8kex99_1.htm | Condensed Consolidated Statements of Cash Flows (prior-year column, 3M Mar 29 2025) | (2,000)</t>
      </text>
    </comment>
    <comment ref="D101" authorId="0">
      <text>
        <t>q22026earnings8kex99_1.htm | Condensed Consolidated Statements of Cash Flows (prior-year column, 6M Jun 28 2025) | (2,000)</t>
      </text>
    </comment>
    <comment ref="E101" authorId="0">
      <text>
        <t>q32025earnings8kex99_1.htm | Condensed Consolidated Statements of Cash Flows (9M Sep 27 2025) | (2,963)</t>
      </text>
    </comment>
    <comment ref="F101" authorId="0">
      <text>
        <t>q42025earnings8kex99_1.htm | Condensed Consolidated Statements of Cash Flows (year ended Dec 31 2025) | (3,000)</t>
      </text>
    </comment>
    <comment ref="H101" authorId="0">
      <text>
        <t>q12026earnings8kex99_1.htm | Condensed Consolidated Statements of Cash Flows (3M Mar 28 2026) | (3,000)</t>
      </text>
    </comment>
    <comment ref="I101" authorId="0">
      <text>
        <t>q22026earnings8kex99_1.htm | Condensed Consolidated Statements of Cash Flows (6M Jun 27 2026) | (4,000)</t>
      </text>
    </comment>
    <comment ref="C102" authorId="0">
      <text>
        <t>q12026earnings8kex99_1.htm | Condensed Consolidated Statements of Cash Flows (prior-year column, 3M Mar 29 2025) | (149)</t>
      </text>
    </comment>
    <comment ref="D102" authorId="0">
      <text>
        <t>q22026earnings8kex99_1.htm | Condensed Consolidated Statements of Cash Flows (prior-year column, 6M Jun 28 2025) | (311)</t>
      </text>
    </comment>
    <comment ref="E102" authorId="0">
      <text>
        <t>q32025earnings8kex99_1.htm | Condensed Consolidated Statements of Cash Flows (9M Sep 27 2025) | (474)</t>
      </text>
    </comment>
    <comment ref="F102" authorId="0">
      <text>
        <t>q42025earnings8kex99_1.htm | Condensed Consolidated Statements of Cash Flows (year ended Dec 31 2025) | (636)</t>
      </text>
    </comment>
    <comment ref="H102" authorId="0">
      <text>
        <t>q12026earnings8kex99_1.htm | Condensed Consolidated Statements of Cash Flows (3M Mar 28 2026) | (162)</t>
      </text>
    </comment>
    <comment ref="I102" authorId="0">
      <text>
        <t>q22026earnings8kex99_1.htm | Condensed Consolidated Statements of Cash Flows (6M Jun 27 2026) | (337)</t>
      </text>
    </comment>
    <comment ref="C103" authorId="0">
      <text>
        <t>q12026earnings8kex99_1.htm | Condensed Consolidated Statements of Cash Flows (prior-year column, 3M Mar 29 2025) | 45</t>
      </text>
    </comment>
    <comment ref="D103" authorId="0">
      <text>
        <t>q22026earnings8kex99_1.htm | Condensed Consolidated Statements of Cash Flows (prior-year column, 6M Jun 28 2025) | 3</t>
      </text>
    </comment>
    <comment ref="E103" authorId="0">
      <text>
        <t>q32025earnings8kex99_1.htm | Condensed Consolidated Statements of Cash Flows (9M Sep 27 2025) | (1)</t>
      </text>
    </comment>
    <comment ref="F103" authorId="0">
      <text>
        <t>q42025earnings8kex99_1.htm | Condensed Consolidated Statements of Cash Flows (year ended Dec 31 2025) | 90</t>
      </text>
    </comment>
    <comment ref="H103" authorId="0">
      <text>
        <t>q12026earnings8kex99_1.htm | Condensed Consolidated Statements of Cash Flows (3M Mar 28 2026) | 39</t>
      </text>
    </comment>
    <comment ref="I103" authorId="0">
      <text>
        <t>q22026earnings8kex99_1.htm | Condensed Consolidated Statements of Cash Flows (6M Jun 27 2026) | 33</t>
      </text>
    </comment>
    <comment ref="C105" authorId="0">
      <text>
        <t>q12026earnings8kex99_1.htm | Condensed Consolidated Statements of Cash Flows (prior-year column, 3M Mar 29 2025) | 37</t>
      </text>
    </comment>
    <comment ref="D105" authorId="0">
      <text>
        <t>q22026earnings8kex99_1.htm | Condensed Consolidated Statements of Cash Flows (prior-year column, 6M Jun 28 2025) | 348</t>
      </text>
    </comment>
    <comment ref="E105" authorId="0">
      <text>
        <t>q32025earnings8kex99_1.htm | Condensed Consolidated Statements of Cash Flows (9M Sep 27 2025) | 273</t>
      </text>
    </comment>
    <comment ref="F105" authorId="0">
      <text>
        <t>q42025earnings8kex99_1.htm | Condensed Consolidated Statements of Cash Flows (year ended Dec 31 2025) | 267</t>
      </text>
    </comment>
    <comment ref="H105" authorId="0">
      <text>
        <t>q12026earnings8kex99_1.htm | Condensed Consolidated Statements of Cash Flows (3M Mar 28 2026) | 78</t>
      </text>
    </comment>
    <comment ref="I105" authorId="0">
      <text>
        <t>q22026earnings8kex99_1.htm | Condensed Consolidated Statements of Cash Flows (6M Jun 27 2026) | 176</t>
      </text>
    </comment>
    <comment ref="C107" authorId="0">
      <text>
        <t>q12026earnings8kex99_1.htm | Condensed Consolidated Statements of Cash Flows (prior-year column, 3M Mar 29 2025) | 4,040</t>
      </text>
    </comment>
    <comment ref="D107" authorId="0">
      <text>
        <t>q22026earnings8kex99_1.htm | Condensed Consolidated Statements of Cash Flows (prior-year column, 6M Jun 28 2025) | 4,040</t>
      </text>
    </comment>
    <comment ref="E107" authorId="0">
      <text>
        <t>q32025earnings8kex99_1.htm | Condensed Consolidated Statements of Cash Flows (9M Sep 27 2025) | 4,040</t>
      </text>
    </comment>
    <comment ref="F107" authorId="0">
      <text>
        <t>q42025earnings8kex99_1.htm | Condensed Consolidated Statements of Cash Flows (year ended Dec 31 2025) | 4,040</t>
      </text>
    </comment>
    <comment ref="H107" authorId="0">
      <text>
        <t>q12026earnings8kex99_1.htm | Condensed Consolidated Statements of Cash Flows (3M Mar 28 2026) | 9,879</t>
      </text>
    </comment>
    <comment ref="I107" authorId="0">
      <text>
        <t>q22026earnings8kex99_1.htm | Condensed Consolidated Statements of Cash Flows (6M Jun 27 2026) | 9,879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10" authorId="0">
      <text>
        <t>tmo-20260328.htm | Note: Disaggregated Revenues (Revenues by business) (Mar 29 2025 column) | 5,513</t>
      </text>
    </comment>
    <comment ref="D10" authorId="0">
      <text>
        <t>tmo-20260627.htm | Note: Disaggregated Revenues (Revenues by business) (Jun 28 2025 column) | 5,722</t>
      </text>
    </comment>
    <comment ref="E10" authorId="0">
      <text>
        <t>tmo-20250927.htm | Note: Disaggregated Revenues (Revenues by business) (3M Sep 27 2025) | 5,689</t>
      </text>
    </comment>
    <comment ref="G10" authorId="0">
      <text>
        <t>R64.htm (10-K XBRL) | Schedule of Disaggregated Revenues (Dec. 31, 2025) | 23,033</t>
      </text>
    </comment>
    <comment ref="H10" authorId="0">
      <text>
        <t>tmo-20260328.htm | Note: Disaggregated Revenues (Revenues by business) (Mar 28 2026) | 5,705</t>
      </text>
    </comment>
    <comment ref="I10" authorId="0">
      <text>
        <t>tmo-20260627.htm | Note: Disaggregated Revenues (Revenues by business) (3M Jun 27 2026) | 6,149</t>
      </text>
    </comment>
    <comment ref="C14" authorId="0">
      <text>
        <t>tmo-20250329.htm | Note: Disaggregated Revenues (Revenues by business) (Mar 30 2024 column) | 5,519</t>
      </text>
    </comment>
    <comment ref="D14" authorId="0">
      <text>
        <t>tmo-20250628.htm | Note: Disaggregated Revenues (Revenues by business) (3M Jun 29 2024) | 5,529</t>
      </text>
    </comment>
    <comment ref="E14" authorId="0">
      <text>
        <t>tmo-20250927.htm | Note: Disaggregated Revenues (Revenues by business) (3M Sep 28 2024) | 5,591</t>
      </text>
    </comment>
    <comment ref="G14" authorId="0">
      <text>
        <t>R64.htm (10-K XBRL) | Schedule of Disaggregated Revenues (Dec. 31, 2024) | 22,504</t>
      </text>
    </comment>
    <comment ref="C20" authorId="0">
      <text>
        <t>tmo-20260328.htm | Note: Disaggregated Revenues (Revenues by business) (Mar 29 2025 column) | 2,624</t>
      </text>
    </comment>
    <comment ref="D20" authorId="0">
      <text>
        <t>tmo-20260627.htm | Note: Disaggregated Revenues (Revenues by business) (Jun 28 2025 column) | 2,830</t>
      </text>
    </comment>
    <comment ref="E20" authorId="0">
      <text>
        <t>tmo-20250927.htm | Note: Disaggregated Revenues (Revenues by business) (3M Sep 27 2025) | 3,005</t>
      </text>
    </comment>
    <comment ref="G20" authorId="0">
      <text>
        <t>R64.htm (10-K XBRL) | Schedule of Disaggregated Revenues (Dec. 31, 2025) | 11,826</t>
      </text>
    </comment>
    <comment ref="H20" authorId="0">
      <text>
        <t>tmo-20260328.htm | Note: Disaggregated Revenues (Revenues by business) (Mar 28 2026) | 2,957</t>
      </text>
    </comment>
    <comment ref="I20" authorId="0">
      <text>
        <t>tmo-20260627.htm | Note: Disaggregated Revenues (Revenues by business) (3M Jun 27 2026) | 3,311</t>
      </text>
    </comment>
    <comment ref="C24" authorId="0">
      <text>
        <t>tmo-20250329.htm | Note: Disaggregated Revenues (Revenues by business) (Mar 30 2024 column) | 2,619</t>
      </text>
    </comment>
    <comment ref="D24" authorId="0">
      <text>
        <t>tmo-20250628.htm | Note: Disaggregated Revenues (Revenues by business) (3M Jun 29 2024) | 2,663</t>
      </text>
    </comment>
    <comment ref="E24" authorId="0">
      <text>
        <t>tmo-20250927.htm | Note: Disaggregated Revenues (Revenues by business) (3M Sep 28 2024) | 2,686</t>
      </text>
    </comment>
    <comment ref="G24" authorId="0">
      <text>
        <t>R64.htm (10-K XBRL) | Schedule of Disaggregated Revenues (Dec. 31, 2024) | 10,857</t>
      </text>
    </comment>
    <comment ref="C30" authorId="0">
      <text>
        <t>tmo-20260328.htm | Note: Disaggregated Revenues (Revenues by business) (Mar 29 2025 column) | 1,891</t>
      </text>
    </comment>
    <comment ref="D30" authorId="0">
      <text>
        <t>tmo-20260627.htm | Note: Disaggregated Revenues (Revenues by business) (Jun 28 2025 column) | 1,920</t>
      </text>
    </comment>
    <comment ref="E30" authorId="0">
      <text>
        <t>tmo-20250927.htm | Note: Disaggregated Revenues (Revenues by business) (3M Sep 27 2025) | 2,013</t>
      </text>
    </comment>
    <comment ref="G30" authorId="0">
      <text>
        <t>R64.htm (10-K XBRL) | Schedule of Disaggregated Revenues (Dec. 31, 2025) | 8,101</t>
      </text>
    </comment>
    <comment ref="H30" authorId="0">
      <text>
        <t>tmo-20260328.htm | Note: Disaggregated Revenues (Revenues by business) (Mar 28 2026) | 1,970</t>
      </text>
    </comment>
    <comment ref="I30" authorId="0">
      <text>
        <t>tmo-20260627.htm | Note: Disaggregated Revenues (Revenues by business) (3M Jun 27 2026) | 2,104</t>
      </text>
    </comment>
    <comment ref="C34" authorId="0">
      <text>
        <t>tmo-20250329.htm | Note: Disaggregated Revenues (Revenues by business) (Mar 30 2024 column) | 1,861</t>
      </text>
    </comment>
    <comment ref="D34" authorId="0">
      <text>
        <t>tmo-20250628.htm | Note: Disaggregated Revenues (Revenues by business) (3M Jun 29 2024) | 1,971</t>
      </text>
    </comment>
    <comment ref="E34" authorId="0">
      <text>
        <t>tmo-20250927.htm | Note: Disaggregated Revenues (Revenues by business) (3M Sep 28 2024) | 1,923</t>
      </text>
    </comment>
    <comment ref="G34" authorId="0">
      <text>
        <t>R64.htm (10-K XBRL) | Schedule of Disaggregated Revenues (Dec. 31, 2024) | 7,956</t>
      </text>
    </comment>
    <comment ref="C40" authorId="0">
      <text>
        <t>tmo-20260328.htm | Note: Disaggregated Revenues (Revenues by business) (Mar 29 2025 column) | 337</t>
      </text>
    </comment>
    <comment ref="D40" authorId="0">
      <text>
        <t>tmo-20260627.htm | Note: Disaggregated Revenues (Revenues by business) (Jun 28 2025 column) | 383</t>
      </text>
    </comment>
    <comment ref="E40" authorId="0">
      <text>
        <t>tmo-20250927.htm | Note: Disaggregated Revenues (Revenues by business) (3M Sep 27 2025) | 415</t>
      </text>
    </comment>
    <comment ref="G40" authorId="0">
      <text>
        <t>R64.htm (10-K XBRL) | Schedule of Disaggregated Revenues (Dec. 31, 2025) | 1,597</t>
      </text>
    </comment>
    <comment ref="H40" authorId="0">
      <text>
        <t>tmo-20260328.htm | Note: Disaggregated Revenues (Revenues by business) (Mar 28 2026) | 372</t>
      </text>
    </comment>
    <comment ref="I40" authorId="0">
      <text>
        <t>tmo-20260627.htm | Note: Disaggregated Revenues (Revenues by business) (3M Jun 27 2026) | 430</t>
      </text>
    </comment>
    <comment ref="C44" authorId="0">
      <text>
        <t>tmo-20250329.htm | Note: Disaggregated Revenues (Revenues by business) (Mar 30 2024 column) | 346</t>
      </text>
    </comment>
    <comment ref="D44" authorId="0">
      <text>
        <t>tmo-20250628.htm | Note: Disaggregated Revenues (Revenues by business) (3M Jun 29 2024) | 379</t>
      </text>
    </comment>
    <comment ref="E44" authorId="0">
      <text>
        <t>tmo-20250927.htm | Note: Disaggregated Revenues (Revenues by business) (3M Sep 28 2024) | 397</t>
      </text>
    </comment>
    <comment ref="G44" authorId="0">
      <text>
        <t>R64.htm (10-K XBRL) | Schedule of Disaggregated Revenues (Dec. 31, 2024) | 1,561</t>
      </text>
    </comment>
  </commentList>
</comments>
</file>

<file path=xl/comments11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10" authorId="0">
      <text>
        <t>q12026earnings8kex99_1.htm | Condensed Consolidated Statements of Income weighted average shares (prior-year column) | 378</t>
      </text>
    </comment>
    <comment ref="D10" authorId="0">
      <text>
        <t>q22026earnings8kex99_1.htm | Condensed Consolidated Statements of Income weighted average shares (prior-year column) | 378</t>
      </text>
    </comment>
    <comment ref="E10" authorId="0">
      <text>
        <t>q32025earnings8kex99_1.htm | Condensed Consolidated Statements of Income weighted average shares | 378</t>
      </text>
    </comment>
    <comment ref="F10" authorId="0">
      <text>
        <t>q42025earnings8kex99_1.htm | Condensed Consolidated Statements of Income weighted average shares (3M) | 376</t>
      </text>
    </comment>
    <comment ref="G10" authorId="0">
      <text>
        <t>q42025earnings8kex99_1.htm | Condensed Consolidated Statements of Income weighted average shares (year) | 377</t>
      </text>
    </comment>
    <comment ref="H10" authorId="0">
      <text>
        <t>q12026earnings8kex99_1.htm | Condensed Consolidated Statements of Income weighted average shares | 372</t>
      </text>
    </comment>
    <comment ref="I10" authorId="0">
      <text>
        <t>q22026earnings8kex99_1.htm | Condensed Consolidated Statements of Income weighted average shares | 371</t>
      </text>
    </comment>
    <comment ref="C11" authorId="0">
      <text>
        <t>q12026earnings8kex99_1.htm | Condensed Consolidated Statements of Income weighted average shares (prior-year column) | 379</t>
      </text>
    </comment>
    <comment ref="D11" authorId="0">
      <text>
        <t>q22026earnings8kex99_1.htm | Condensed Consolidated Statements of Income weighted average shares (prior-year column) | 378</t>
      </text>
    </comment>
    <comment ref="E11" authorId="0">
      <text>
        <t>q32025earnings8kex99_1.htm | Condensed Consolidated Statements of Income weighted average shares | 378</t>
      </text>
    </comment>
    <comment ref="F11" authorId="0">
      <text>
        <t>q42025earnings8kex99_1.htm | Condensed Consolidated Statements of Income weighted average shares (3M) | 377</t>
      </text>
    </comment>
    <comment ref="G11" authorId="0">
      <text>
        <t>q42025earnings8kex99_1.htm | Condensed Consolidated Statements of Income weighted average shares (year) | 378</t>
      </text>
    </comment>
    <comment ref="H11" authorId="0">
      <text>
        <t>q12026earnings8kex99_1.htm | Condensed Consolidated Statements of Income weighted average shares | 373</t>
      </text>
    </comment>
    <comment ref="I11" authorId="0">
      <text>
        <t>q22026earnings8kex99_1.htm | Condensed Consolidated Statements of Income weighted average shares | 371</t>
      </text>
    </comment>
    <comment ref="C18" authorId="0">
      <text>
        <t>tmo-20250329.htm | Cover page | 377,493,912</t>
      </text>
    </comment>
    <comment ref="D18" authorId="0">
      <text>
        <t>tmo-20250628.htm | Cover page | 377,612,121</t>
      </text>
    </comment>
    <comment ref="E18" authorId="0">
      <text>
        <t>tmo-20250927.htm | Cover page | 375,708,059</t>
      </text>
    </comment>
    <comment ref="H18" authorId="0">
      <text>
        <t>tmo-20260328.htm | Cover page | 371,621,465</t>
      </text>
    </comment>
    <comment ref="I18" authorId="0">
      <text>
        <t>tmo-20260627.htm | Cover page | 369,747,286</t>
      </text>
    </comment>
    <comment ref="C20" authorId="0">
      <text>
        <t>tmo-20250329.htm | Part II Item 2 Issuer Purchases of Equity Securities | 3,639,158</t>
      </text>
    </comment>
    <comment ref="E20" authorId="0">
      <text>
        <t>tmo-20250927.htm | Part II Item 2 Issuer Purchases | 2,116,219</t>
      </text>
    </comment>
    <comment ref="H20" authorId="0">
      <text>
        <t>tmo-20260328.htm | Part II Item 2 Issuer Purchases | 4,869,851</t>
      </text>
    </comment>
    <comment ref="I20" authorId="0">
      <text>
        <t>tmo-20260627.htm | Part II Item 2 Issuer Purchases | 2,071,838</t>
      </text>
    </comment>
    <comment ref="C21" authorId="0">
      <text>
        <t>tmo-20250329.htm | Issuer Purchases: average price paid | $549.58</t>
      </text>
    </comment>
    <comment ref="E21" authorId="0">
      <text>
        <t>tmo-20250927.htm | Issuer Purchases: average price paid | $472.54</t>
      </text>
    </comment>
    <comment ref="H21" authorId="0">
      <text>
        <t>tmo-20260328.htm | Issuer Purchases: average price paid | $616.04</t>
      </text>
    </comment>
    <comment ref="I21" authorId="0">
      <text>
        <t>tmo-20260627.htm | Issuer Purchases: average price paid | $482.66</t>
      </text>
    </comment>
  </commentList>
</comments>
</file>

<file path=xl/comments12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F17" authorId="0">
      <text>
        <t>Druckfin Q1 2026 call summary (2026-04-23) | CFO remarks | beating guidance by $0.14 per share</t>
      </text>
    </comment>
  </commentList>
</comments>
</file>

<file path=xl/comments13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</commentList>
</comments>
</file>

<file path=xl/comments14.xml><?xml version="1.0" encoding="utf-8"?>
<comments xmlns="http://schemas.openxmlformats.org/spreadsheetml/2006/main">
  <authors>
    <author>Shortcut</author>
  </authors>
  <commentList>
    <comment ref="C6" authorId="0">
      <text>
        <t>q12025earnings8kex99_1.htm | Page 1 | first quarter ended March 29, 2025</t>
      </text>
    </comment>
    <comment ref="J6" authorId="0">
      <text>
        <t>tmo-20260627.htm | Page 1 | quarterly period ended June 27, 2026</t>
      </text>
    </comment>
    <comment ref="C16" authorId="0">
      <text>
        <t>TMO_consensus.json | analyst_count | 22</t>
      </text>
    </comment>
    <comment ref="C17" authorId="0">
      <text>
        <t>TMO_consensus.json | consensus_eps | 6.4</t>
      </text>
    </comment>
    <comment ref="C19" authorId="0">
      <text>
        <t>TMO_consensus.json | consensus_revenue_m | 11933.7</t>
      </text>
    </comment>
    <comment ref="C42" authorId="0">
      <text>
        <t>TMO_consensus.json | summary_row.eps_normalized_estimates | 22</t>
      </text>
    </comment>
    <comment ref="C43" authorId="0">
      <text>
        <t>TMO_consensus.json | summary_row.eps_normalized_contributors | 22</t>
      </text>
    </comment>
    <comment ref="C45" authorId="0">
      <text>
        <t>TMO_consensus.json | summary_row.eps_normalized_mean | 6.4</t>
      </text>
    </comment>
    <comment ref="C46" authorId="0">
      <text>
        <t>TMO_consensus.json | summary_row.eps_normalized_median | 6.4</t>
      </text>
    </comment>
    <comment ref="C47" authorId="0">
      <text>
        <t>TMO_consensus.json | summary_row.eps_normalized_high | 6.47</t>
      </text>
    </comment>
    <comment ref="C48" authorId="0">
      <text>
        <t>TMO_consensus.json | summary_row.eps_normalized_low | 6.33</t>
      </text>
    </comment>
    <comment ref="C49" authorId="0">
      <text>
        <t>TMO_consensus.json | summary_row.eps_normalized_std_dev | 0.03</t>
      </text>
    </comment>
    <comment ref="C50" authorId="0">
      <text>
        <t>TMO_consensus.json | summary_row.eps_normalized_n_est | 22</t>
      </text>
    </comment>
    <comment ref="C52" authorId="0">
      <text>
        <t>TMO_consensus.json | summary_row.eps_normalized_guidance_low | 6.38</t>
      </text>
    </comment>
    <comment ref="C53" authorId="0">
      <text>
        <t>TMO_consensus.json | summary_row.eps_normalized_guidance_high | 6.43</t>
      </text>
    </comment>
    <comment ref="C54" authorId="0">
      <text>
        <t>TMO_consensus.json | summary_row.eps_gaap_mean | 5.03</t>
      </text>
    </comment>
    <comment ref="C55" authorId="0">
      <text>
        <t>TMO_consensus.json | summary_row.eps_gaap_median | 5.04</t>
      </text>
    </comment>
    <comment ref="C56" authorId="0">
      <text>
        <t>TMO_consensus.json | summary_row.eps_gaap_high | 5.35</t>
      </text>
    </comment>
    <comment ref="C57" authorId="0">
      <text>
        <t>TMO_consensus.json | summary_row.eps_gaap_low | 4.83</t>
      </text>
    </comment>
    <comment ref="C58" authorId="0">
      <text>
        <t>TMO_consensus.json | summary_row.eps_gaap_std_dev | 0.17</t>
      </text>
    </comment>
    <comment ref="C59" authorId="0">
      <text>
        <t>TMO_consensus.json | summary_row.eps_gaap_n_est | 6</t>
      </text>
    </comment>
    <comment ref="C63" authorId="0">
      <text>
        <t>TMO_consensus.json | summary_row.revenue_mean | 11933.7</t>
      </text>
    </comment>
    <comment ref="C64" authorId="0">
      <text>
        <t>TMO_consensus.json | summary_row.revenue_median | 11942.06</t>
      </text>
    </comment>
    <comment ref="C65" authorId="0">
      <text>
        <t>TMO_consensus.json | summary_row.revenue_high | 12022.0</t>
      </text>
    </comment>
    <comment ref="C66" authorId="0">
      <text>
        <t>TMO_consensus.json | summary_row.revenue_low | 11714.0</t>
      </text>
    </comment>
    <comment ref="C67" authorId="0">
      <text>
        <t>TMO_consensus.json | summary_row.revenue_std_dev | 70.23</t>
      </text>
    </comment>
    <comment ref="C68" authorId="0">
      <text>
        <t>TMO_consensus.json | summary_row.revenue_n_est | 20</t>
      </text>
    </comment>
    <comment ref="C72" authorId="0">
      <text>
        <t>TMO_consensus.json | summary_row.ebitda | 3182.39</t>
      </text>
    </comment>
    <comment ref="C73" authorId="0">
      <text>
        <t>TMO_consensus.json | summary_row.ebit | 2867.25</t>
      </text>
    </comment>
    <comment ref="C74" authorId="0">
      <text>
        <t>TMO_consensus.json | summary_row.ebt_excl_excep | 2691.29</t>
      </text>
    </comment>
    <comment ref="C75" authorId="0">
      <text>
        <t>TMO_consensus.json | summary_row.ebt_gaap | 2115.0</t>
      </text>
    </comment>
    <comment ref="C76" authorId="0">
      <text>
        <t>TMO_consensus.json | summary_row.net_income_excl_excep | 2375.43</t>
      </text>
    </comment>
    <comment ref="C77" authorId="0">
      <text>
        <t>TMO_consensus.json | summary_row.net_income_gaap | 1870.35</t>
      </text>
    </comment>
    <comment ref="C80" authorId="0">
      <text>
        <t>TMO_consensus.json | summary_row.d_and_a | 575.0</t>
      </text>
    </comment>
    <comment ref="C84" authorId="0">
      <text>
        <t>TMO_consensus.json | summary_row.interest_expense | -384.5</t>
      </text>
    </comment>
    <comment ref="C88" authorId="0">
      <text>
        <t>TMO_consensus.json | summary_row.target_price_mean | 690.62</t>
      </text>
    </comment>
    <comment ref="C89" authorId="0">
      <text>
        <t>TMO_consensus.json | summary_row.target_price_median | 721.5</t>
      </text>
    </comment>
    <comment ref="C90" authorId="0">
      <text>
        <t>TMO_consensus.json | summary_row.target_price_high | 800.0</t>
      </text>
    </comment>
    <comment ref="C91" authorId="0">
      <text>
        <t>TMO_consensus.json | summary_row.target_price_low | 560.0</t>
      </text>
    </comment>
    <comment ref="C92" authorId="0">
      <text>
        <t>TMO_consensus.json | summary_row.target_price_std_dev | 69.41</t>
      </text>
    </comment>
    <comment ref="C93" authorId="0">
      <text>
        <t>TMO_consensus.json | summary_row.target_price_n_est | 26</t>
      </text>
    </comment>
    <comment ref="C95" authorId="0">
      <text>
        <t>TMO_consensus.json | summary_row.recommendation_score | 1.46</t>
      </text>
    </comment>
    <comment ref="C96" authorId="0">
      <text>
        <t>TMO_consensus.json | summary_row.last_close_price | 690.0</t>
      </text>
    </comment>
    <comment ref="D103" authorId="0">
      <text>
        <t>TMO_history.csv | row 2 eps_normalized_consensus | 5.1</t>
      </text>
    </comment>
    <comment ref="E103" authorId="0">
      <text>
        <t>TMO_history.csv | row 2 eps_normalized_actual | 5.15</t>
      </text>
    </comment>
    <comment ref="F103" authorId="0">
      <text>
        <t>TMO_history.csv | row 2 eps_gaap_consensus | 3.77</t>
      </text>
    </comment>
    <comment ref="G103" authorId="0">
      <text>
        <t>TMO_history.csv | row 2 eps_gaap_actual | 3.98</t>
      </text>
    </comment>
    <comment ref="H103" authorId="0">
      <text>
        <t>TMO_history.csv | row 2 revenue_m_consensus | 10233.94</t>
      </text>
    </comment>
    <comment ref="I103" authorId="0">
      <text>
        <t>TMO_history.csv | row 2 revenue_m_actual | 10364.0</t>
      </text>
    </comment>
    <comment ref="D104" authorId="0">
      <text>
        <t>TMO_history.csv | row 3 eps_normalized_consensus | 5.23</t>
      </text>
    </comment>
    <comment ref="E104" authorId="0">
      <text>
        <t>TMO_history.csv | row 3 eps_normalized_actual | 5.36</t>
      </text>
    </comment>
    <comment ref="F104" authorId="0">
      <text>
        <t>TMO_history.csv | row 3 eps_gaap_consensus | 4.0</t>
      </text>
    </comment>
    <comment ref="G104" authorId="0">
      <text>
        <t>TMO_history.csv | row 3 eps_gaap_actual | 4.28</t>
      </text>
    </comment>
    <comment ref="H104" authorId="0">
      <text>
        <t>TMO_history.csv | row 3 revenue_m_consensus | 10681.69</t>
      </text>
    </comment>
    <comment ref="I104" authorId="0">
      <text>
        <t>TMO_history.csv | row 3 revenue_m_actual | 10855.0</t>
      </text>
    </comment>
    <comment ref="D105" authorId="0">
      <text>
        <t>TMO_history.csv | row 4 eps_normalized_consensus | 5.5</t>
      </text>
    </comment>
    <comment ref="E105" authorId="0">
      <text>
        <t>TMO_history.csv | row 4 eps_normalized_actual | 5.79</t>
      </text>
    </comment>
    <comment ref="F105" authorId="0">
      <text>
        <t>TMO_history.csv | row 4 eps_gaap_consensus | 4.29</t>
      </text>
    </comment>
    <comment ref="G105" authorId="0">
      <text>
        <t>TMO_history.csv | row 4 eps_gaap_actual | 4.27</t>
      </text>
    </comment>
    <comment ref="H105" authorId="0">
      <text>
        <t>TMO_history.csv | row 4 revenue_m_consensus | 10914.68</t>
      </text>
    </comment>
    <comment ref="I105" authorId="0">
      <text>
        <t>TMO_history.csv | row 4 revenue_m_actual | 11122.0</t>
      </text>
    </comment>
    <comment ref="D106" authorId="0">
      <text>
        <t>TMO_history.csv | row 5 eps_normalized_consensus | 6.45</t>
      </text>
    </comment>
    <comment ref="E106" authorId="0">
      <text>
        <t>TMO_history.csv | row 5 eps_normalized_actual | 6.57</t>
      </text>
    </comment>
    <comment ref="F106" authorId="0">
      <text>
        <t>TMO_history.csv | row 5 eps_gaap_consensus | 5.2</t>
      </text>
    </comment>
    <comment ref="G106" authorId="0">
      <text>
        <t>TMO_history.csv | row 5 eps_gaap_actual | 5.21</t>
      </text>
    </comment>
    <comment ref="H106" authorId="0">
      <text>
        <t>TMO_history.csv | row 5 revenue_m_consensus | 11894.38</t>
      </text>
    </comment>
    <comment ref="I106" authorId="0">
      <text>
        <t>TMO_history.csv | row 5 revenue_m_actual | 12215.0</t>
      </text>
    </comment>
    <comment ref="D107" authorId="0">
      <text>
        <t>TMO_history.csv | row 6 eps_normalized_consensus | 5.24</t>
      </text>
    </comment>
    <comment ref="E107" authorId="0">
      <text>
        <t>TMO_history.csv | row 6 eps_normalized_actual | 5.44</t>
      </text>
    </comment>
    <comment ref="F107" authorId="0">
      <text>
        <t>TMO_history.csv | row 6 eps_gaap_consensus | 3.95</t>
      </text>
    </comment>
    <comment ref="G107" authorId="0">
      <text>
        <t>TMO_history.csv | row 6 eps_gaap_actual | 4.43</t>
      </text>
    </comment>
    <comment ref="H107" authorId="0">
      <text>
        <t>TMO_history.csv | row 6 revenue_m_consensus | 10860.79</t>
      </text>
    </comment>
    <comment ref="I107" authorId="0">
      <text>
        <t>TMO_history.csv | row 6 revenue_m_actual | 11005.0</t>
      </text>
    </comment>
    <comment ref="D108" authorId="0">
      <text>
        <t>TMO_history.csv | row 7 eps_normalized_consensus | 5.71</t>
      </text>
    </comment>
    <comment ref="E108" authorId="0">
      <text>
        <t>TMO_history.csv | row 7 eps_normalized_actual | 6.03</t>
      </text>
    </comment>
    <comment ref="F108" authorId="0">
      <text>
        <t>TMO_history.csv | row 7 eps_gaap_consensus | 4.44</t>
      </text>
    </comment>
    <comment ref="G108" authorId="0">
      <text>
        <t>TMO_history.csv | row 7 eps_gaap_actual | 4.68</t>
      </text>
    </comment>
    <comment ref="H108" authorId="0">
      <text>
        <t>TMO_history.csv | row 7 revenue_m_consensus | 11699.57</t>
      </text>
    </comment>
    <comment ref="I108" authorId="0">
      <text>
        <t>TMO_history.csv | row 7 revenue_m_actual | 11994.0</t>
      </text>
    </comment>
    <comment ref="C142" authorId="0">
      <text>
        <t>Zacks via Yahoo Finance 2026-10-16 | Key metrics preview | $6.40</t>
      </text>
    </comment>
    <comment ref="C143" authorId="0">
      <text>
        <t>Zacks via Yahoo Finance 2026-10-16 | Key metrics preview | $11.92 billion</t>
      </text>
    </comment>
    <comment ref="C145" authorId="0">
      <text>
        <t>MarketBeat 2026-10-14 | Projected to post quarterly earnings | $11.95 billion</t>
      </text>
    </comment>
  </commentList>
</comments>
</file>

<file path=xl/sharedStrings.xml><?xml version="1.0" encoding="utf-8"?>
<sst xmlns="http://schemas.openxmlformats.org/spreadsheetml/2006/main" count="3850" uniqueCount="1177">
  <si>
    <t>Thermo Fisher Scientific Inc. (NYSE: TMO)</t>
  </si>
  <si>
    <t>Cover</t>
  </si>
  <si>
    <t>$ millions, except per share</t>
  </si>
  <si>
    <t>Non-period table – columns are fields, not fiscal periods</t>
  </si>
  <si>
    <t>Notes</t>
  </si>
  <si>
    <t>Company Model — built by Shortcut</t>
  </si>
  <si>
    <t>Company</t>
  </si>
  <si>
    <t>Thermo Fisher Scientific Inc.</t>
  </si>
  <si>
    <t>Ticker / exchange</t>
  </si>
  <si>
    <t>TMO / New York Stock Exchange (NYSE: TMO)</t>
  </si>
  <si>
    <t>Fiscal year end</t>
  </si>
  <si>
    <t>December 31 (fiscal quarters end on Saturdays; 3Q26 = 13 weeks ended 2026-09-26)</t>
  </si>
  <si>
    <t>Target period</t>
  </si>
  <si>
    <t>3Q26 / FQ3 2026 (CapIQ label "FQ3 2026 - Sep 2026", period end 2026-09-30)</t>
  </si>
  <si>
    <t>Reporting currency</t>
  </si>
  <si>
    <t>USD; $ millions except per-share data</t>
  </si>
  <si>
    <t>EPS basis</t>
  </si>
  <si>
    <t>Adjusted (non-GAAP) diluted EPS = CapIQ "Normalized diluted EPS", USD per diluted common share</t>
  </si>
  <si>
    <t>Information cutoff</t>
  </si>
  <si>
    <t>2026-10-18 21:34 UTC</t>
  </si>
  <si>
    <t>Expected report date</t>
  </si>
  <si>
    <t>2026-10-21, before market open (issuer release 2026-09-28; matches supplied CapIQ date)</t>
  </si>
  <si>
    <t>Author</t>
  </si>
  <si>
    <t>Shortcut</t>
  </si>
  <si>
    <t>Headline estimates – 3Q26E</t>
  </si>
  <si>
    <t>Metric</t>
  </si>
  <si>
    <t>Shortcut estimate</t>
  </si>
  <si>
    <t>Consensus (CapIQ, cutoff)</t>
  </si>
  <si>
    <t>Variance</t>
  </si>
  <si>
    <t>Variance %</t>
  </si>
  <si>
    <t>Guide midpoint</t>
  </si>
  <si>
    <t>Est. less guide</t>
  </si>
  <si>
    <t># estimates</t>
  </si>
  <si>
    <t>Rev. ($m)</t>
  </si>
  <si>
    <t>n/a</t>
  </si>
  <si>
    <t>No quarterly revenue or net income guidance is given; FY26 revenue guide $47.4-48.1bn (Guidance tab)</t>
  </si>
  <si>
    <t>Adj. net income ($m)</t>
  </si>
  <si>
    <t>Adj. diluted EPS ($)</t>
  </si>
  <si>
    <t>Guidance midpoint = 2Q26 actual $6.03 + $0.35-0.40 step (Q2 call)</t>
  </si>
  <si>
    <t>GAAP net income attrib. ($m)</t>
  </si>
  <si>
    <t>GAAP diluted EPS ($)</t>
  </si>
  <si>
    <t>GAAP 3Q26E includes an estimated, unaudited $203m pre-tax microbiology gain (Balance Sheet J75; taxed at 21% adj. rate). Gain size and tax basis unverified (GAAP uncertainty); CapIQ GAAP consensus may exclude it – not like-for-like. Normalized EPS excludes the gain.</t>
  </si>
  <si>
    <t>Adj. operating income ($m)</t>
  </si>
  <si>
    <t>CapIQ "EBIT" consensus used as nearest comparable to issuer adjusted operating income (definitions may differ)</t>
  </si>
  <si>
    <t>Check: Cover ties to statements</t>
  </si>
  <si>
    <t>Structural check result (identities; not forecast validation)</t>
  </si>
  <si>
    <t>Historical columns test reported data. 3Q26E checks are structural identities, several satisfied by residual plugs (segment 'Other segment items', IS adjusted SG&amp;A, intersegment scaling, BS cash, Geo Other). PASS does not independently validate forecast assumptions.</t>
  </si>
  <si>
    <t>P(beat consensus EPS)</t>
  </si>
  <si>
    <t>Confidence</t>
  </si>
  <si>
    <t>Key forecast drivers – 3Q26E</t>
  </si>
  <si>
    <t>Organic revenue growth (additive)</t>
  </si>
  <si>
    <t>Additive basis = organic $ / PY revenue (Revenue summary J56/J52), consistent with the build and issuer reconciliation; multiplicative identity shown separately on Revenue summary row 63 (approximate)</t>
  </si>
  <si>
    <t>M&amp;A / divestitures (% of PY)</t>
  </si>
  <si>
    <t>FX impact (% of PY)</t>
  </si>
  <si>
    <t>Reported revenue growth Y/Y</t>
  </si>
  <si>
    <t>Adjusted operating margin</t>
  </si>
  <si>
    <t>Adjusted tax rate</t>
  </si>
  <si>
    <t>Diluted shares (m)</t>
  </si>
  <si>
    <t>Starting P(beat) – prior</t>
  </si>
  <si>
    <t>Shortcut-built model. Estimates are forecasts from pre-release public information only and may differ materially from reported results.</t>
  </si>
  <si>
    <t>Revenue summary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</si>
  <si>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</si>
  <si>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</si>
  <si>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</si>
  <si>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</si>
  <si>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</si>
  <si>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</si>
  <si>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</si>
  <si>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</si>
  <si>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</si>
  <si>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Period end date</t>
  </si>
  <si>
    <t>Issuer fiscal 3Q26 ends Sat 2026-09-26 (13 weeks after 2026-06-27); supplied CapIQ label 2026-09-30</t>
  </si>
  <si>
    <t>Days in period</t>
  </si>
  <si>
    <t>Revenue by reportable segment (four segments; drivers on Segment tabs)</t>
  </si>
  <si>
    <t>Life Sciences Solutions</t>
  </si>
  <si>
    <t xml:space="preserve">  % Y/Y</t>
  </si>
  <si>
    <t xml:space="preserve">  % Q/Q</t>
  </si>
  <si>
    <t xml:space="preserve">  % of total revenue</t>
  </si>
  <si>
    <t>Analytical Instruments</t>
  </si>
  <si>
    <t>Specialty Diagnostics</t>
  </si>
  <si>
    <t>Lab Products &amp; Biopharma Svcs</t>
  </si>
  <si>
    <t>Full label: Laboratory Products and Biopharma Services</t>
  </si>
  <si>
    <t>Elimination of intersegment revenues (driver ladder)</t>
  </si>
  <si>
    <t>Eliminations (intersegment)</t>
  </si>
  <si>
    <t>Negative = elimination; FY25 = sum of quarters (10-K shows (2,033) – $1m rounding)</t>
  </si>
  <si>
    <t xml:space="preserve">  Q/Q change ($)</t>
  </si>
  <si>
    <t xml:space="preserve">  PY eliminations</t>
  </si>
  <si>
    <t>Full label: Prior-year eliminations (comparative)</t>
  </si>
  <si>
    <t xml:space="preserve">  Organic growth % (assumption)</t>
  </si>
  <si>
    <t>n/d</t>
  </si>
  <si>
    <t>Intersegment sales grow with LPBS channel volumes</t>
  </si>
  <si>
    <t xml:space="preserve">  Organic growth ($)</t>
  </si>
  <si>
    <t>Full label: Organic growth contribution ($)</t>
  </si>
  <si>
    <t xml:space="preserve">  Divestiture effect ($)</t>
  </si>
  <si>
    <t>Microbiology sales via research &amp; safety channel no longer eliminated after 2026-08-12 sale (assumption)</t>
  </si>
  <si>
    <t xml:space="preserve">  FX impact (%)</t>
  </si>
  <si>
    <t xml:space="preserve">  FX impact ($)</t>
  </si>
  <si>
    <t xml:space="preserve">  Organic growth % (identity)</t>
  </si>
  <si>
    <t>Intersegment sales by segment:</t>
  </si>
  <si>
    <t>Full label: Intersegment revenues by selling segment (ASC 280):</t>
  </si>
  <si>
    <t xml:space="preserve">  Life Sciences Solutions</t>
  </si>
  <si>
    <t xml:space="preserve">  Analytical Instruments</t>
  </si>
  <si>
    <t xml:space="preserve">  Specialty Diagnostics</t>
  </si>
  <si>
    <t xml:space="preserve">  Lab Products &amp; Biopharma Svcs</t>
  </si>
  <si>
    <t xml:space="preserve">  Total intersegment revenues</t>
  </si>
  <si>
    <t>Check: interseg. = eliminations</t>
  </si>
  <si>
    <t>3Q26E (col J): structural identity – passes by construction (residual plug); not independent validation of forecast assumptions. | Full label: Check: intersegment revenues offset eliminations</t>
  </si>
  <si>
    <t>Rounding vs reported total</t>
  </si>
  <si>
    <t>Press-release segment lines are rounded to $1m | Full label: Rounding: reported total less (segments + eliminations)</t>
  </si>
  <si>
    <t>Total revenue</t>
  </si>
  <si>
    <t xml:space="preserve">  PY total revenue</t>
  </si>
  <si>
    <t>Full label: Prior-year total revenue (reported comparative)</t>
  </si>
  <si>
    <t>Check: segments tie to total</t>
  </si>
  <si>
    <t>Full label: Check: segments + eliminations tie to reported total (|rounding| &lt;= $2m)</t>
  </si>
  <si>
    <t>Total revenue growth decomposition (issuer non-GAAP; rounded %)</t>
  </si>
  <si>
    <t>Organic growth contribution ($)</t>
  </si>
  <si>
    <t>Acquisitions / divestitures ($)</t>
  </si>
  <si>
    <t>Filtration (Jul-Aug) + Clario less microbiology post-close; FY26 guide: acquisitions +$1.6bn, divestiture -$200m</t>
  </si>
  <si>
    <t>FX impact ($)</t>
  </si>
  <si>
    <t xml:space="preserve">  Y/Y growth – issuer</t>
  </si>
  <si>
    <t>Full label: Total Y/Y growth – issuer reported</t>
  </si>
  <si>
    <t xml:space="preserve">  M&amp;A / divest. – issuer</t>
  </si>
  <si>
    <t>Full label: Acquisitions / divestitures – issuer reported</t>
  </si>
  <si>
    <t xml:space="preserve">  FX translation – issuer</t>
  </si>
  <si>
    <t>Full label: Currency translation – issuer reported</t>
  </si>
  <si>
    <t xml:space="preserve">  Organic growth – issuer</t>
  </si>
  <si>
    <t>3Q26E = additive organic growth: organic $ (J56) / PY revenue (J52), consistent with build (J59 = J60 + J61 + J62) | Full label: Organic growth – issuer reported</t>
  </si>
  <si>
    <t xml:space="preserve">  Organic – identity formula</t>
  </si>
  <si>
    <t>Approximate multiplicative identity; not the tracked 3Q26E organic figure (see row 62, additive). 3Q26E guide: ~4% in 2H26 with 3Q similar to 4Q (Q2 call) | Full label: Organic growth – identity (1+Y/Y)/((1+M&amp;A)*(1+FX))-1</t>
  </si>
  <si>
    <t>FX impact – 3Q26E (% PY)</t>
  </si>
  <si>
    <t>EUR/USD 3Q26 avg ~1.151 (BdF Jul 1.1417/Aug 1.1593/Sep 1.1513) vs ~1.168 in 3Q25; FY26 guide FX +$200m vs ~+$300m in 1H =&gt; 2H headwind; DHR guided 3Q FX -1.0% | Full label: FX impact assumption – 3Q26E (% of prior-year revenue)</t>
  </si>
  <si>
    <t>CapIQ revenue consensus and actuals (linked from Inputs)</t>
  </si>
  <si>
    <t>Revenue – CapIQ consensus</t>
  </si>
  <si>
    <t>Full label: Revenue – CapIQ consensus (at report / cutoff)</t>
  </si>
  <si>
    <t>Revenue – CapIQ actual</t>
  </si>
  <si>
    <t xml:space="preserve">  Revenue surprise ($)</t>
  </si>
  <si>
    <t>Full label: Revenue surprise vs consensus ($); 3Q26E = estimate less consensus</t>
  </si>
  <si>
    <t xml:space="preserve">  Revenue surprise (%)</t>
  </si>
  <si>
    <t>Full label: Revenue surprise vs consensus (%)</t>
  </si>
  <si>
    <t>Check: revenue = CapIQ actual</t>
  </si>
  <si>
    <t>Full label: Check: reported total revenue = CapIQ actual</t>
  </si>
  <si>
    <t>Revenue by type (10-Q/10-K disaggregation)</t>
  </si>
  <si>
    <t>Consumables revenue</t>
  </si>
  <si>
    <t>4Q25 = FY25 (10-K) less 1Q-3Q</t>
  </si>
  <si>
    <t xml:space="preserve">  PY revenue</t>
  </si>
  <si>
    <t>Full label: Prior-year revenue (comparative)</t>
  </si>
  <si>
    <t xml:space="preserve">  Organic growth (%)</t>
  </si>
  <si>
    <t>Organic, M&amp;A and FX are not disclosed by revenue type</t>
  </si>
  <si>
    <t xml:space="preserve">  M&amp;A / divestitures (%)</t>
  </si>
  <si>
    <t>Full label: Acquisitions / divestitures (%)</t>
  </si>
  <si>
    <t xml:space="preserve">  Mix % – 3Q26E assumption</t>
  </si>
  <si>
    <t>3Q26E mix: 3Q25 42.1%, 2Q26 42.3%; bioproduction strength | Full label: Mix % of total – 3Q26E assumption</t>
  </si>
  <si>
    <t>Instruments revenue</t>
  </si>
  <si>
    <t>3Q26E mix: 3Q25 16.3%, 2Q26 14.6%; instrument recovery but Clario/services mix dilutes | Full label: Mix % of total – 3Q26E assumption</t>
  </si>
  <si>
    <t>Services revenue</t>
  </si>
  <si>
    <t xml:space="preserve">  Mix % – 3Q26E (residual)</t>
  </si>
  <si>
    <t>Services = total less consumables and instruments (Clario adds to services) | Full label: Mix % of total – 3Q26E (residual)</t>
  </si>
  <si>
    <t>By type less total revenue</t>
  </si>
  <si>
    <t>Full label: Revenue by type less total revenue</t>
  </si>
  <si>
    <t>Check: by type ties to total</t>
  </si>
  <si>
    <t>Full label: Check: revenue by type ties to total (|diff| &lt;= $2m)</t>
  </si>
  <si>
    <t>End markets: not disclosed (n/d)</t>
  </si>
  <si>
    <t>S15/S21: Q2 2026 call and Morgan Stanley conference 2026-09-15 | Full label: End markets: issuer discloses only qualitatively (pharma &amp; biotech ~60% of revenue; industrial &amp; applied ~15%) – no quarterly $ split; not modelled</t>
  </si>
  <si>
    <t>Segment - Life Sciences Solutions</t>
  </si>
  <si>
    <t>Life Sciences Solutions — revenue build by business line (driver ladder)</t>
  </si>
  <si>
    <t>Biosciences revenue</t>
  </si>
  <si>
    <t>4Q25 = FY25 (10-K) less 1Q-3Q (quarter not separately disclosed); 3Q26E = PY + organic + M&amp;A + FX</t>
  </si>
  <si>
    <t>1Q25 Q/Q vs 4Q24 comparative (prior-year row)</t>
  </si>
  <si>
    <t xml:space="preserve">  % of LSS revenue</t>
  </si>
  <si>
    <t>Full label: % of Life Sciences Solutions revenue</t>
  </si>
  <si>
    <t>2024 comparatives from 2025 10-Qs / 10-K; 4Q24 = FY24 less 1Q-3Q24 | Full label: Prior-year revenue (comparative)</t>
  </si>
  <si>
    <t xml:space="preserve">  Organic % – assumption</t>
  </si>
  <si>
    <t>Flat: biosciences declined in 1H26 (10-Q MD&amp;A); academic/government only stabilising (Q2 call) | Full label: Organic growth % (assumption; not disclosed by business line)</t>
  </si>
  <si>
    <t xml:space="preserve">  M&amp;A / divestitures ($)</t>
  </si>
  <si>
    <t>No acquisition or divestiture affects this line in 3Q26E (explicit assumption) | Full label: Acquisitions / divestitures contribution ($)</t>
  </si>
  <si>
    <t xml:space="preserve">  M&amp;A / divestitures (% PY)</t>
  </si>
  <si>
    <t>Full label: Acquisitions / divestitures (% of PY)</t>
  </si>
  <si>
    <t>Linked to company FX assumption on Revenue summary</t>
  </si>
  <si>
    <t xml:space="preserve">  Organic % – identity formula</t>
  </si>
  <si>
    <t>Full label: Organic growth % (identity: (1+Y/Y)/((1+M&amp;A)*(1+FX))-1)</t>
  </si>
  <si>
    <t>Genetic sciences revenue</t>
  </si>
  <si>
    <t>Low-single-digit; Olink anniversaried (acquired Jul 2024); 2Q26 +3.5% reported | Full label: Organic growth % (assumption; not disclosed by business line)</t>
  </si>
  <si>
    <t>BioProduction revenue</t>
  </si>
  <si>
    <t>"Excellent organic growth" (Q2 call); orders ahead of revenue (MS conf 2026-09-15) | Full label: Organic growth % (assumption; not disclosed by business line)</t>
  </si>
  <si>
    <t>Solventum filtration &amp; separation (closed 2025-09-01): Jul-Aug 2026 still inorganic; ~2/3 of ~$225m/qtr (LSS acq. 9% of 2Q25 base), split ~50/50 with Other | Full label: Acquisitions / divestitures contribution ($)</t>
  </si>
  <si>
    <t>Other (filtration) revenue</t>
  </si>
  <si>
    <t>4Q25 = FY25 (10-K) less 1Q-3Q (quarter not separately disclosed); 3Q26E = PY + organic + M&amp;A + FX | Full label: Other (filtration industrial / membranes) revenue</t>
  </si>
  <si>
    <t>Mid-single-digit initial growth for Solventum filtration (MS conf 2026-09-15) | Full label: Organic growth % (assumption; not disclosed by business line)</t>
  </si>
  <si>
    <t>Filtration Jul-Aug 2026 inorganic months (Sep 2025 already in base: $28m) | Full label: Acquisitions / divestitures contribution ($)</t>
  </si>
  <si>
    <t>Sum of business lines</t>
  </si>
  <si>
    <t xml:space="preserve">  Rounding vs reported total</t>
  </si>
  <si>
    <t>Press-release segment totals vs rounded 10-Q business lines; forecast has no rounding | Full label: Rounding: reported segment total less sum of lines</t>
  </si>
  <si>
    <t>LSS revenue (reported)</t>
  </si>
  <si>
    <t>Segment totals from press releases; FY25 = sum of quarters (ties to 10-K $10,374m) | Full label: Life Sciences Solutions revenue (reported)</t>
  </si>
  <si>
    <t xml:space="preserve">  % of total company revenue</t>
  </si>
  <si>
    <t xml:space="preserve">  PY segment revenue</t>
  </si>
  <si>
    <t>Full label: Prior-year segment revenue (reported comparative)</t>
  </si>
  <si>
    <t>Check: lines tie to segment</t>
  </si>
  <si>
    <t>Full label: Check: business lines tie to reported segment total (|rounding| &lt;= $2m)</t>
  </si>
  <si>
    <t>Growth decomposition (issuer non-GAAP disclosure; rounded %)</t>
  </si>
  <si>
    <t>Organic growth ($) – total</t>
  </si>
  <si>
    <t>Full label: Organic growth contribution ($) – sum of lines</t>
  </si>
  <si>
    <t>M&amp;A / divest. ($) – total</t>
  </si>
  <si>
    <t>Full label: Acquisitions / divestitures ($) – sum of lines</t>
  </si>
  <si>
    <t>FX impact ($) – sum of lines</t>
  </si>
  <si>
    <t>4Q25 segment M&amp;A and FX not disclosed (n/d); call gave reported and organic growth only | Full label: Acquisitions / divestitures – issuer reported</t>
  </si>
  <si>
    <t>Full label: Organic growth – issuer reported</t>
  </si>
  <si>
    <t>Uses unrounded Y/Y with issuer-rounded M&amp;A/FX, so may differ from issuer organic by rounding | Full label: Organic growth – identity (1+Y/Y)/((1+M&amp;A)*(1+FX))-1</t>
  </si>
  <si>
    <t>Segment income (adjusted operating income, issuer segment measure)</t>
  </si>
  <si>
    <t>LSS segment income</t>
  </si>
  <si>
    <t>Full label: Life Sciences Solutions segment income</t>
  </si>
  <si>
    <t xml:space="preserve">  PY segment income</t>
  </si>
  <si>
    <t>Full label: Prior-year segment income (reported comparative)</t>
  </si>
  <si>
    <t>Segment income margin</t>
  </si>
  <si>
    <t xml:space="preserve">  Y/Y change (bps)</t>
  </si>
  <si>
    <t xml:space="preserve">  Q/Q change (bps)</t>
  </si>
  <si>
    <t xml:space="preserve">  PY segment margin</t>
  </si>
  <si>
    <t>Full label: Prior-year segment income margin</t>
  </si>
  <si>
    <t>Segment margin – 3Q26E</t>
  </si>
  <si>
    <t>+40bps Y/Y = avg of 1Q26 (+60) and 2Q26 (+20) Y/Y expansion; productivity offset by filtration dilution | Full label: Segment income margin – 3Q26E assumption</t>
  </si>
  <si>
    <t>Segment P&amp;L detail (ASC 280 segment expense disclosure, 10-Q/10-K)</t>
  </si>
  <si>
    <t>BASIS FLAG (unresolved): 1Q25/2Q25 expense detail as recast in 2026 10-Qs; 3Q25 (col E) and FY25 (col G) as originally filed; 4Q25 (col F) = original FY less recast quarters. 4Q25 ratios and 3Q26E Y/Y change rows vs 3Q25 are non-comparable. Recast 3Q25/FY25 not available in preserved sources. Segment revenue and segment income unaffected.</t>
  </si>
  <si>
    <t>Revenue from external customers</t>
  </si>
  <si>
    <t>4Q25 = FY25 (10-K) less 1Q-3Q; 1Q25/2Q25 as recast in 2026 10-Qs, 3Q25/FY25 as originally filed</t>
  </si>
  <si>
    <t>Intersegment revenues</t>
  </si>
  <si>
    <t>3Q26E = 3Q25 intersegment sales scaled by total elimination growth (ties to Revenue summary eliminations)</t>
  </si>
  <si>
    <t xml:space="preserve">  % of segment revenue</t>
  </si>
  <si>
    <t>Segment revenue (ext. + inter.)</t>
  </si>
  <si>
    <t>Full label: Segment revenue (external + intersegment)</t>
  </si>
  <si>
    <t>Check: ext. + inter. = segment</t>
  </si>
  <si>
    <t>3Q26E (col J): structural identity – passes by construction (residual plug); not independent validation of forecast assumptions. | Full label: Check: external + intersegment = reported segment revenue</t>
  </si>
  <si>
    <t>Cost of revenues</t>
  </si>
  <si>
    <t>SG&amp;A</t>
  </si>
  <si>
    <t>Full label: Selling, general and administrative</t>
  </si>
  <si>
    <t>Research and development</t>
  </si>
  <si>
    <t>Other segment items</t>
  </si>
  <si>
    <t>3Q26E = residual, not independently forecast: segment income (J84) = revenue x margin assumption (J93); the COGS/SG&amp;A/R&amp;D detail above is illustrative and non-driving | Full label: Other segment items (stock comp, corporate allocations, profit eliminations)</t>
  </si>
  <si>
    <t>Segment income (P&amp;L build)</t>
  </si>
  <si>
    <t>Full label: Segment income (revenue less segment expenses)</t>
  </si>
  <si>
    <t>Check: P&amp;L = segment income</t>
  </si>
  <si>
    <t>3Q26E (col J): structural identity – passes by construction (residual plug); not independent validation of forecast assumptions. | Full label: Check: segment P&amp;L = reported segment income</t>
  </si>
  <si>
    <t>Purchases of PP&amp;E (segment)</t>
  </si>
  <si>
    <t>n/f</t>
  </si>
  <si>
    <t>n/f = not forecast by segment (consolidated capex on Cash Flow)</t>
  </si>
  <si>
    <t>Depreciation of PP&amp;E (segment)</t>
  </si>
  <si>
    <t>3Q26E segment expense assumptions (illustrative; non-driving)</t>
  </si>
  <si>
    <t>ILLUSTRATIVE / NON-DRIVING: these ratios feed only the segment expense detail, 'Other segment items' residual (J125) and P&amp;L check rows (rows 107-128). Segment income (J84) is set by the margin assumption (J93). No link to the Income Statement or EPS.</t>
  </si>
  <si>
    <t>COGS % – 3Q26E</t>
  </si>
  <si>
    <t>2Q26 ratios: COGS 38.4%, SG&amp;A 17.8%, R&amp;D $140m | Full label: Cost of revenues % – 3Q26E assumption</t>
  </si>
  <si>
    <t>SG&amp;A % – 3Q26E assumption</t>
  </si>
  <si>
    <t>R&amp;D ($m) – 3Q26E assumption</t>
  </si>
  <si>
    <t>Segment - Analytical Instruments</t>
  </si>
  <si>
    <t>Analytical Instruments — revenue build by business line (driver ladder)</t>
  </si>
  <si>
    <t>Chromatography &amp; mass spec</t>
  </si>
  <si>
    <t>4Q25 = FY25 (10-K) less 1Q-3Q (quarter not separately disclosed); 3Q26E = PY + organic + M&amp;A + FX | Full label: Chromatography and mass spectrometry revenue</t>
  </si>
  <si>
    <t xml:space="preserve">  % of AI revenue</t>
  </si>
  <si>
    <t>Full label: % of Analytical Instruments revenue</t>
  </si>
  <si>
    <t>High-end instrument demand (Orbitrap Astral/Excedion launches); 2Q26 +4.7% reported | Full label: Organic growth % (assumption; not disclosed by business line)</t>
  </si>
  <si>
    <t>Chemical analysis revenue</t>
  </si>
  <si>
    <t>Returned to growth (MS conf: safety/security, commodity prices); 2Q26 +8.9% vs easy comp | Full label: Organic growth % (assumption; not disclosed by business line)</t>
  </si>
  <si>
    <t>Electron microscopy revenue</t>
  </si>
  <si>
    <t>Semiconductor demand; orders "far ahead of revenue" (MS conf); 2Q26 +8.4% reported | Full label: Organic growth % (assumption; not disclosed by business line)</t>
  </si>
  <si>
    <t>AI revenue (reported)</t>
  </si>
  <si>
    <t>Segment totals from press releases; FY25 = sum of quarters (ties to 10-K $7,554m) | Full label: Analytical Instruments revenue (reported)</t>
  </si>
  <si>
    <t>AI segment income</t>
  </si>
  <si>
    <t>Full label: Analytical Instruments segment income</t>
  </si>
  <si>
    <t>+290bps Y/Y: 3Q25 (22.6%) was tariff-depressed (-230bps Y/Y); 2Q26 expanded +420bps on volume/productivity | Full label: Segment income margin – 3Q26E assumption</t>
  </si>
  <si>
    <t>3Q26E = residual, not independently forecast: segment income (J71) = revenue x margin assumption (J80); the COGS/SG&amp;A/R&amp;D detail above is illustrative and non-driving | Full label: Other segment items (stock comp, corporate allocations, profit eliminations)</t>
  </si>
  <si>
    <t>ILLUSTRATIVE / NON-DRIVING: these ratios feed only the segment expense detail, 'Other segment items' residual (J112) and P&amp;L check rows (rows 94-115). Segment income (J71) is set by the margin assumption (J80). No link to the Income Statement or EPS.</t>
  </si>
  <si>
    <t>2Q26 COGS 50.1% / 3Q25 51.5%; volume leverage on higher revenue; SG&amp;A 2Q26 17.1%, 3Q25 16.2% | Full label: Cost of revenues % – 3Q26E assumption</t>
  </si>
  <si>
    <t>Segment - Specialty Diagnostics</t>
  </si>
  <si>
    <t>Specialty Diagnostics — revenue build by business line (driver ladder)</t>
  </si>
  <si>
    <t>Clinical diagnostics revenue</t>
  </si>
  <si>
    <t xml:space="preserve">  % of SD revenue</t>
  </si>
  <si>
    <t>Full label: % of Specialty Diagnostics revenue</t>
  </si>
  <si>
    <t>2Q26 +5.1% reported; FY25 +4.9% | Full label: Organic growth % (assumption; not disclosed by business line)</t>
  </si>
  <si>
    <t>ImmunoDiagnostics revenue</t>
  </si>
  <si>
    <t>2Q26 +6.0% reported; led segment growth (10-Q) | Full label: Organic growth % (assumption; not disclosed by business line)</t>
  </si>
  <si>
    <t>Microbiology (sold Aug-26)</t>
  </si>
  <si>
    <t>4Q25 = FY25 (10-K) less 1Q-3Q (quarter not separately disclosed); 3Q26E = PY + organic + M&amp;A + FX | Full label: Microbiology (divested 2026-08-12) revenue</t>
  </si>
  <si>
    <t>Pre-close organic growth +2% (FY25 +2% per MedTech Dive) | Full label: Organic growth % (assumption; not disclosed by business line)</t>
  </si>
  <si>
    <t>Divestiture: lose post-close share of quarter = (PY+organic) x days after 2026-08-12 close / 91 | Full label: Acquisitions / divestitures contribution ($)</t>
  </si>
  <si>
    <t>Transplant diagnostics revenue</t>
  </si>
  <si>
    <t>Consistent high-single-digit grower (FY25 +8.4%) | Full label: Organic growth % (assumption; not disclosed by business line)</t>
  </si>
  <si>
    <t>Healthcare market channel</t>
  </si>
  <si>
    <t>4Q25 = FY25 (10-K) less 1Q-3Q (quarter not separately disclosed); 3Q26E = PY + organic + M&amp;A + FX | Full label: Healthcare market channel revenue</t>
  </si>
  <si>
    <t>Channel keeps selling microbiology products post-divestiture (Q2 call) | Full label: Organic growth % (assumption; not disclosed by business line)</t>
  </si>
  <si>
    <t>Intrasegment eliminations</t>
  </si>
  <si>
    <t>4Q25 = FY25 (10-K) less 1Q-3Q (quarter not separately disclosed); 3Q26E = PY + organic + M&amp;A + FX | Full label: Elimination of intrasegment revenues revenue</t>
  </si>
  <si>
    <t>Grows with channel volumes | Full label: Organic growth % (assumption; not disclosed by business line)</t>
  </si>
  <si>
    <t>Microbiology sales via healthcare channel no longer eliminated after sale (~1/4 of micro revenue sold via channels, split with LPBS) | Full label: Acquisitions / divestitures contribution ($)</t>
  </si>
  <si>
    <t>SD revenue (reported)</t>
  </si>
  <si>
    <t>Segment totals from press releases; FY25 = sum of quarters (ties to 10-K $4,676m) | Full label: Specialty Diagnostics revenue (reported)</t>
  </si>
  <si>
    <t>SD segment income</t>
  </si>
  <si>
    <t>Full label: Specialty Diagnostics segment income</t>
  </si>
  <si>
    <t>+60bps Y/Y (2Q26 +70bps); microbiology divestiture mix effect assumed neutral | Full label: Segment income margin – 3Q26E assumption</t>
  </si>
  <si>
    <t>3Q26E = 3Q25 intersegment sales scaled by total elimination growth (ties to Revenue summary eliminations). Unresolved simplification: the +$10m microbiology elimination reduction (Revenue summary J35) is not allocated to SD intersegment/external split; scope not verifiable from preserved sources. No effect on segment income or EPS.</t>
  </si>
  <si>
    <t>3Q26E = residual, not independently forecast: segment income (J110) = revenue x margin assumption (J119); the COGS/SG&amp;A/R&amp;D detail above is illustrative and non-driving | Full label: Other segment items (stock comp, corporate allocations, profit eliminations)</t>
  </si>
  <si>
    <t>ILLUSTRATIVE / NON-DRIVING: these ratios feed only the segment expense detail, 'Other segment items' residual (J151) and P&amp;L check rows (rows 133-154). Segment income (J110) is set by the margin assumption (J119). No link to the Income Statement or EPS.</t>
  </si>
  <si>
    <t>2Q26 ratios: COGS 58.0%, SG&amp;A 14.7%, R&amp;D $45m | Full label: Cost of revenues % – 3Q26E assumption</t>
  </si>
  <si>
    <t>Microbiology divestiture timing (3Q26E)</t>
  </si>
  <si>
    <t>Microbiology sale closing date</t>
  </si>
  <si>
    <t>S19: Thermo Fisher press release 2026-08-12 "Completes Sale of its Microbiology Business to Astorg"</t>
  </si>
  <si>
    <t>Days of 3Q26 after closing</t>
  </si>
  <si>
    <t>Segment - Laboratory Products and Biopharma Services</t>
  </si>
  <si>
    <t>Laboratory Products and Biopharma Services — revenue build by business line (driver ladder)</t>
  </si>
  <si>
    <t>Laboratory products revenue</t>
  </si>
  <si>
    <t xml:space="preserve">  % of LPBS revenue</t>
  </si>
  <si>
    <t>Full label: % of Laboratory Products and Biopharma Services revenue</t>
  </si>
  <si>
    <t>Flat-to-down trend (FY25 -4.7%); 2Q26 +1.2% | Full label: Organic growth % (assumption; not disclosed by business line)</t>
  </si>
  <si>
    <t>Research &amp; safety channel</t>
  </si>
  <si>
    <t>4Q25 = FY25 (10-K) less 1Q-3Q (quarter not separately disclosed); 3Q26E = PY + organic + M&amp;A + FX | Full label: Research and safety market channel revenue</t>
  </si>
  <si>
    <t>2Q26 +8.1% reported ("very strong performance", Q2 call) | Full label: Organic growth % (assumption; not disclosed by business line)</t>
  </si>
  <si>
    <t>Pharma services revenue</t>
  </si>
  <si>
    <t>H2 step-up from shipment phasing &amp; sterile fill-finish capacity (Q1/Q2 calls; MS conf) | Full label: Organic growth % (assumption; not disclosed by business line)</t>
  </si>
  <si>
    <t>Clinical research (PPD+Clario)</t>
  </si>
  <si>
    <t>4Q25 = FY25 (10-K) less 1Q-3Q (quarter not separately disclosed); 3Q26E = PY + organic + M&amp;A + FX | Full label: Clinical research (PPD + Clario) revenue</t>
  </si>
  <si>
    <t>Authorizations growing well ahead of revenue (Q2 call, MS conf) | Full label: Organic growth % (assumption; not disclosed by business line)</t>
  </si>
  <si>
    <t>Clario (closed 2026-03-24): inorganic until Mar-2027; 2Q26 company acq. 5% (~$540m) less filtration (~$225m) = ~$315m/qtr | Full label: Acquisitions / divestitures contribution ($)</t>
  </si>
  <si>
    <t>Intrasegment elims &amp; other</t>
  </si>
  <si>
    <t>4Q25 = FY25 (10-K) less 1Q-3Q (quarter not separately disclosed); 3Q26E = PY + organic + M&amp;A + FX | Full label: Elimination of intrasegment revenues and other revenue</t>
  </si>
  <si>
    <t>Grows with segment volumes | Full label: Organic growth % (assumption; not disclosed by business line)</t>
  </si>
  <si>
    <t>LPBS revenue (reported)</t>
  </si>
  <si>
    <t>Segment totals from press releases; FY25 = sum of quarters (ties to 10-K $23,984m) | Full label: Laboratory Products and Biopharma Services revenue (reported)</t>
  </si>
  <si>
    <t>LPBS segment income</t>
  </si>
  <si>
    <t>Full label: Laboratory Products and Biopharma Services segment income</t>
  </si>
  <si>
    <t>+70bps Y/Y: Clario accretion (strong performance, Q2 call) + pharma services H2 step-up; 2Q26 was +20bps | Full label: Segment income margin – 3Q26E assumption</t>
  </si>
  <si>
    <t>3Q26E = residual, not independently forecast: segment income (J97) = revenue x margin assumption (J106); the COGS/SG&amp;A/R&amp;D detail above is illustrative and non-driving | Full label: Other segment items (stock comp, corporate allocations, profit eliminations)</t>
  </si>
  <si>
    <t>ILLUSTRATIVE / NON-DRIVING: these ratios feed only the segment expense detail, 'Other segment items' residual (J138) and P&amp;L check rows (rows 120-141). Segment income (J97) is set by the margin assumption (J106). No link to the Income Statement or EPS.</t>
  </si>
  <si>
    <t>2Q26 COGS 76.9% / 3Q25 77.4%; Clario (higher gross margin) lowers COGS%; SG&amp;A 2Q26 10.1% | Full label: Cost of revenues % – 3Q26E assumption</t>
  </si>
  <si>
    <t>Income Statement (GAAP, with non-GAAP bridge)</t>
  </si>
  <si>
    <t>GAAP income statement (as reported; 3Q26E forecast)</t>
  </si>
  <si>
    <t>Revenues</t>
  </si>
  <si>
    <t>Gross profit</t>
  </si>
  <si>
    <t xml:space="preserve">  Gross margin</t>
  </si>
  <si>
    <t xml:space="preserve">    Y/Y change (bps)</t>
  </si>
  <si>
    <t>SG&amp;A expenses</t>
  </si>
  <si>
    <t>Full label: Selling, general and administrative expenses</t>
  </si>
  <si>
    <t xml:space="preserve">  % of revenue</t>
  </si>
  <si>
    <t>Amortization of intangibles</t>
  </si>
  <si>
    <t>Full label: Amortization of acquisition-related intangible assets</t>
  </si>
  <si>
    <t>R&amp;D expenses</t>
  </si>
  <si>
    <t>Full label: Research and development expenses</t>
  </si>
  <si>
    <t xml:space="preserve">  Restructuring &amp; other, gross</t>
  </si>
  <si>
    <t>Full label: Restructuring and other costs – excl. business-sale gain</t>
  </si>
  <si>
    <t xml:space="preserve">  (Gain) on microbiology sale</t>
  </si>
  <si>
    <t>Historical periods: no business-sale gain (sale closed 2026-08-12). 3Q26E gain = consideration less net assets at 2026-06-27 (Balance Sheet); assumed booked in restructuring and other | Full label: (Gain) on sale of microbiology business</t>
  </si>
  <si>
    <t>Restructuring &amp; other, net</t>
  </si>
  <si>
    <t>Full label: Restructuring and other costs, net</t>
  </si>
  <si>
    <t>Total costs &amp; op. expenses</t>
  </si>
  <si>
    <t>Full label: Total costs and operating expenses</t>
  </si>
  <si>
    <t>Operating income (GAAP)</t>
  </si>
  <si>
    <t>Subtotals are formulas on rounded line items; may differ from reported subtotals by $1-2m</t>
  </si>
  <si>
    <t xml:space="preserve">  Operating margin</t>
  </si>
  <si>
    <t>Interest income</t>
  </si>
  <si>
    <t>Interest expense</t>
  </si>
  <si>
    <t xml:space="preserve">  Memo: net interest expense</t>
  </si>
  <si>
    <t>Other income/(expense)</t>
  </si>
  <si>
    <t>Income before income taxes</t>
  </si>
  <si>
    <t>(Provision)/benefit for taxes</t>
  </si>
  <si>
    <t>Full label: (Provision for)/benefit from income taxes</t>
  </si>
  <si>
    <t xml:space="preserve">  GAAP effective tax rate</t>
  </si>
  <si>
    <t>Equity-method earnings</t>
  </si>
  <si>
    <t>Full label: Equity in earnings/(losses) of unconsolidated entities</t>
  </si>
  <si>
    <t>Net income</t>
  </si>
  <si>
    <t>Less: NCI share of income</t>
  </si>
  <si>
    <t>Full label: Less: net income attributable to noncontrolling interests</t>
  </si>
  <si>
    <t>Net income to TMO (GAAP)</t>
  </si>
  <si>
    <t>Full label: Net income attributable to Thermo Fisher (GAAP)</t>
  </si>
  <si>
    <t xml:space="preserve">  Net margin</t>
  </si>
  <si>
    <t xml:space="preserve">  NI to TMO – as reported</t>
  </si>
  <si>
    <t>Full label: Memo: net income attributable – as reported</t>
  </si>
  <si>
    <t xml:space="preserve">  Rounding vs reported</t>
  </si>
  <si>
    <t>Full label: Memo: rounding (formula less reported)</t>
  </si>
  <si>
    <t>EPS – basic (GAAP)</t>
  </si>
  <si>
    <t>EPS – diluted (GAAP)</t>
  </si>
  <si>
    <t>History = reported (computed on unrounded amounts); 3Q26E = net income attributable / diluted shares</t>
  </si>
  <si>
    <t xml:space="preserve">  Q/Q change ($/share)</t>
  </si>
  <si>
    <t xml:space="preserve">  Diluted EPS – computed</t>
  </si>
  <si>
    <t>Full label: Diluted EPS – computed (net income attributable / diluted shares)</t>
  </si>
  <si>
    <t>Check: EPS = NI / shares</t>
  </si>
  <si>
    <t>Full label: Check: EPS = net income / diluted shares (|diff| &lt;= $0.03, share rounding)</t>
  </si>
  <si>
    <t>Basic shares (m)</t>
  </si>
  <si>
    <t>Full label: Weighted average shares – basic (m)</t>
  </si>
  <si>
    <t>Full label: Weighted average shares – diluted (m)</t>
  </si>
  <si>
    <t>GAAP to adjusted operating income (one row per adjustment)</t>
  </si>
  <si>
    <t>GAAP operating income</t>
  </si>
  <si>
    <t xml:space="preserve">  + COGS adjustments</t>
  </si>
  <si>
    <t>Full label: + Cost of revenues adjustments (accelerated depreciation, inventory step-up, transaction costs)</t>
  </si>
  <si>
    <t xml:space="preserve">  + SG&amp;A adjustments</t>
  </si>
  <si>
    <t>Full label: + SG&amp;A adjustments (transaction/integration costs, contingent consideration)</t>
  </si>
  <si>
    <t xml:space="preserve">  + Restructuring &amp; other, net</t>
  </si>
  <si>
    <t>Full label: + Restructuring and other costs, net (incl. business-sale gain)</t>
  </si>
  <si>
    <t xml:space="preserve">  + Amortization</t>
  </si>
  <si>
    <t>Full label: + Amortization of acquisition-related intangible assets</t>
  </si>
  <si>
    <t>Adj. operating income</t>
  </si>
  <si>
    <t>Full label: Adjusted operating income (non-GAAP)</t>
  </si>
  <si>
    <t xml:space="preserve">  Adjusted operating margin</t>
  </si>
  <si>
    <t>Sum of segment income</t>
  </si>
  <si>
    <t>Full label: Sum of segment income (Segment tabs)</t>
  </si>
  <si>
    <t xml:space="preserve">  Adj. op. inc. less segments</t>
  </si>
  <si>
    <t>Full label: Adjusted operating income less segment income</t>
  </si>
  <si>
    <t>Check: adj. op. inc. = segs</t>
  </si>
  <si>
    <t>3Q26E (col J): structural identity – passes by construction (residual plug); not independent validation of forecast assumptions. (adjusted SG&amp;A J142 is the residual) | Full label: Check: adjusted operating income = sum of segment income (|diff| &lt;= $2m qtr, $5m FY)</t>
  </si>
  <si>
    <t>GAAP to adjusted net income (one row per adjustment)</t>
  </si>
  <si>
    <t>GAAP net income to TMO</t>
  </si>
  <si>
    <t>Full label: GAAP net income attributable to Thermo Fisher</t>
  </si>
  <si>
    <t xml:space="preserve">  + Cost of revenues adjustments</t>
  </si>
  <si>
    <t>Full label: + Restructuring and other costs, net</t>
  </si>
  <si>
    <t xml:space="preserve">  + Other income/expense adj.</t>
  </si>
  <si>
    <t>Full label: + Other income/expense adjustments (investment gains/losses, pension settlements)</t>
  </si>
  <si>
    <t xml:space="preserve">  + Income tax adjustments</t>
  </si>
  <si>
    <t xml:space="preserve">  + Equity-method (earnings)</t>
  </si>
  <si>
    <t>Full label: + Equity in (earnings)/losses of unconsolidated entities</t>
  </si>
  <si>
    <t xml:space="preserve">  + NCI adjustments</t>
  </si>
  <si>
    <t>1Q25, 3Q25, 4Q25, 1Q26, 2Q26 releases show no / "—" NCI adjustment (entered as 0) | Full label: + Noncontrolling interest adjustments</t>
  </si>
  <si>
    <t>Adjusted net income</t>
  </si>
  <si>
    <t>Full label: Adjusted net income (non-GAAP; consensus basis)</t>
  </si>
  <si>
    <t xml:space="preserve">  Adj. NI – as reported</t>
  </si>
  <si>
    <t>FY25 reported $8,642m vs sum of quarters $8,641m (rounding) | Full label: Memo: adjusted net income – as reported</t>
  </si>
  <si>
    <t>Full label: Memo: rounding (bridge less reported)</t>
  </si>
  <si>
    <t>Adjusted diluted EPS</t>
  </si>
  <si>
    <t>Headline forecast metric. History = reported; 3Q26E = adjusted net income / diluted shares | Full label: Adjusted diluted EPS (non-GAAP) = CapIQ normalized EPS basis</t>
  </si>
  <si>
    <t xml:space="preserve">  Adj. EPS – computed</t>
  </si>
  <si>
    <t>Full label: Adjusted EPS – computed (adjusted net income / diluted shares)</t>
  </si>
  <si>
    <t>Check: adj. EPS = NI / shares</t>
  </si>
  <si>
    <t>Full label: Check: adjusted EPS = adjusted net income / diluted shares (|diff| &lt;= $0.03)</t>
  </si>
  <si>
    <t>GAAP to adjusted EPS – per diluted share (one row per adjustment)</t>
  </si>
  <si>
    <t>GAAP diluted EPS (computed)</t>
  </si>
  <si>
    <t>Full label: + Amortization of acquisition-related intangibles</t>
  </si>
  <si>
    <t>Full label: + Other income/expense adjustments</t>
  </si>
  <si>
    <t>Full label: + Equity in earnings/losses of unconsolidated entities</t>
  </si>
  <si>
    <t>Full label: + Noncontrolling interest adjustments</t>
  </si>
  <si>
    <t>Adj. diluted EPS (bridge)</t>
  </si>
  <si>
    <t>Full label: Adjusted diluted EPS (per-share bridge)</t>
  </si>
  <si>
    <t>Adjusted P&amp;L analytics</t>
  </si>
  <si>
    <t>Adjusted cost of revenues</t>
  </si>
  <si>
    <t>3Q26E = revenue x (1 - adjusted gross margin assumption)</t>
  </si>
  <si>
    <t>Adjusted gross profit</t>
  </si>
  <si>
    <t xml:space="preserve">  Adjusted gross margin</t>
  </si>
  <si>
    <t>2024 adjusted cost of revenues not loaded; Y/Y shown for 2026 columns</t>
  </si>
  <si>
    <t>Adjusted SG&amp;A</t>
  </si>
  <si>
    <t>3Q26E = residual: revenue less adjusted COGS, R&amp;D and segment income (segment build drives profit)</t>
  </si>
  <si>
    <t>Adjusted other income/(expense)</t>
  </si>
  <si>
    <t>Adjusted income before taxes</t>
  </si>
  <si>
    <t>Adjusted income tax provision</t>
  </si>
  <si>
    <t xml:space="preserve">  Adjusted tax rate</t>
  </si>
  <si>
    <t>Adj. net income – direct</t>
  </si>
  <si>
    <t>Full label: Adjusted net income – direct (pre-tax + tax - NCI + NCI adj.)</t>
  </si>
  <si>
    <t>Check: adj. NI bridge = direct</t>
  </si>
  <si>
    <t>Full label: Check: bridge adjusted net income = direct build (|diff| &lt;= $2m)</t>
  </si>
  <si>
    <t>3Q26E forecast drivers (assumptions; blue = input)</t>
  </si>
  <si>
    <t>Adjusted gross margin</t>
  </si>
  <si>
    <t>3Q25 41.9%, 2Q26 41.4% (CFO); +40bps Y/Y on Clario (services/software) mix and productivity</t>
  </si>
  <si>
    <t>R&amp;D expense ($m)</t>
  </si>
  <si>
    <t>2Q26 $364m; ~3% of revenue | Full label: Research and development expense ($m)</t>
  </si>
  <si>
    <t>COGS adjustments ($m)</t>
  </si>
  <si>
    <t>1Q26 $14m, 2Q26 $28m; facility-consolidation depreciation | Full label: Cost of revenues adjustments ($m)</t>
  </si>
  <si>
    <t>SG&amp;A adjustments ($m)</t>
  </si>
  <si>
    <t>1Q26 $43m, 2Q26 $36m; Clario integration and microbiology separation costs</t>
  </si>
  <si>
    <t>Restructuring, gross ($m)</t>
  </si>
  <si>
    <t>~$220m of identified actions remaining "primarily in 2026" as of 2026-07-31 (10-Q) | Full label: Restructuring and other costs, excl. gain ($m)</t>
  </si>
  <si>
    <t>Amortization ($m)</t>
  </si>
  <si>
    <t>2Q26 $485m (first full Clario quarter); less microbiology intangibles post-close | Full label: Amortization of acquisition-related intangibles ($m)</t>
  </si>
  <si>
    <t>Interest income ($m)</t>
  </si>
  <si>
    <t>2Q26 $207m; microbiology proceeds (~$1.0bn) and FCF raise cash; swap income</t>
  </si>
  <si>
    <t>Interest expense ($m)</t>
  </si>
  <si>
    <t>2Q26 $(401)m; debt flat at ~$42.5bn</t>
  </si>
  <si>
    <t>Adj. other income ($m)</t>
  </si>
  <si>
    <t>1Q26 $(7)m (6M $(7)m), 2Q26 $0m | Full label: Adjusted other income/(expense) ($m)</t>
  </si>
  <si>
    <t>Investment gains ($m)</t>
  </si>
  <si>
    <t>No investment gains assumed (not forecastable) | Full label: Other income adjustments – investment gains/(losses) ($m)</t>
  </si>
  <si>
    <t>FY26 guide ~11.5% (Q2 call); 2Q26 11.6%</t>
  </si>
  <si>
    <t>Tax rate on adjustments</t>
  </si>
  <si>
    <t>2Q26 implied 20.6% (127/616); 4Q25 22%; 21% US statutory also applied to the gain | Full label: Tax rate applied to non-GAAP adjustments</t>
  </si>
  <si>
    <t>Equity-method earnings ($m)</t>
  </si>
  <si>
    <t>1Q26 $(8)m, 2Q26 $(15)m; excluded from adjusted | Full label: Equity in earnings/(losses) of unconsolidated entities ($m)</t>
  </si>
  <si>
    <t>NCI share of income ($m)</t>
  </si>
  <si>
    <t>$5m in each of the last four quarters | Full label: Net income attributable to noncontrolling interests ($m)</t>
  </si>
  <si>
    <t>NCI adjustments ($m)</t>
  </si>
  <si>
    <t>None in 2026 releases | Full label: Noncontrolling interest adjustments ($m)</t>
  </si>
  <si>
    <t>CapIQ EPS consensus and actuals (linked from Inputs)</t>
  </si>
  <si>
    <t>Adj. EPS – CapIQ consensus</t>
  </si>
  <si>
    <t>Full label: Adjusted EPS – CapIQ normalized consensus</t>
  </si>
  <si>
    <t>Adj. EPS – CapIQ actual</t>
  </si>
  <si>
    <t>Full label: Adjusted EPS – CapIQ normalized actual</t>
  </si>
  <si>
    <t xml:space="preserve">  Surprise vs consensus ($)</t>
  </si>
  <si>
    <t>Full label: Surprise vs consensus ($/share); 3Q26E = estimate less consensus</t>
  </si>
  <si>
    <t>Check: adj. EPS = CapIQ</t>
  </si>
  <si>
    <t>Full label: Check: reported adjusted EPS = CapIQ normalized actual</t>
  </si>
  <si>
    <t>GAAP EPS – CapIQ consensus</t>
  </si>
  <si>
    <t>GAAP EPS – CapIQ actual</t>
  </si>
  <si>
    <t>Check: GAAP EPS = CapIQ</t>
  </si>
  <si>
    <t>Full label: Check: reported GAAP diluted EPS = CapIQ GAAP actual</t>
  </si>
  <si>
    <t>Memo: prior-year comparatives (2024, as reported in 2025 filings)</t>
  </si>
  <si>
    <t>Prior-year cost of revenues</t>
  </si>
  <si>
    <t>Prior-year GAAP operating income</t>
  </si>
  <si>
    <t>PY net income to TMO</t>
  </si>
  <si>
    <t>Full label: Prior-year net income attributable</t>
  </si>
  <si>
    <t>Prior-year GAAP diluted EPS</t>
  </si>
  <si>
    <t>PY adj. operating income</t>
  </si>
  <si>
    <t>Full label: Prior-year adjusted operating income</t>
  </si>
  <si>
    <t>Prior-year adjusted net income</t>
  </si>
  <si>
    <t>Prior-year adjusted diluted EPS</t>
  </si>
  <si>
    <t>Balance Sheet (as reported in 10-Q / 10-K)</t>
  </si>
  <si>
    <t>Assets</t>
  </si>
  <si>
    <t>Cash and cash equivalents</t>
  </si>
  <si>
    <t>3Q26E = Cash Flow ending cash less restricted cash</t>
  </si>
  <si>
    <t>Short-term investments</t>
  </si>
  <si>
    <t>Accounts receivable, net</t>
  </si>
  <si>
    <t>Inventories</t>
  </si>
  <si>
    <t>Contract assets, net</t>
  </si>
  <si>
    <t>3Q26E held flat</t>
  </si>
  <si>
    <t>Other current assets</t>
  </si>
  <si>
    <t>3Q26E: less microbiology current assets sold. Unresolved simplification: held-for-sale current assets taken from other current assets, not AR/inventory (classification not disclosed)</t>
  </si>
  <si>
    <t>Total current assets</t>
  </si>
  <si>
    <t>PP&amp;E, net</t>
  </si>
  <si>
    <t>Full label: Property, plant and equipment, net</t>
  </si>
  <si>
    <t>Acquired intangibles, net</t>
  </si>
  <si>
    <t>Full label: Acquisition-related intangible assets, net</t>
  </si>
  <si>
    <t>Other assets</t>
  </si>
  <si>
    <t>3Q26E: plus $50m seller note received</t>
  </si>
  <si>
    <t>Goodwill</t>
  </si>
  <si>
    <t>3Q26E: microbiology long-term assets assumed derecognised from goodwill/intangibles (allocation not disclosed) – unresolved classification simplification; no EPS effect</t>
  </si>
  <si>
    <t>Total assets</t>
  </si>
  <si>
    <t>Liabilities, redeemable noncontrolling interest and equity</t>
  </si>
  <si>
    <t>Short-term debt</t>
  </si>
  <si>
    <t>3Q26E: debt held flat (no refinancing assumed) | Full label: Short-term obligations and current maturities of long-term obligations</t>
  </si>
  <si>
    <t>Accounts payable</t>
  </si>
  <si>
    <t>Accrued payroll &amp; benefits</t>
  </si>
  <si>
    <t>3Q26E held flat | Full label: Accrued payroll and employee benefits</t>
  </si>
  <si>
    <t>Contract liabilities</t>
  </si>
  <si>
    <t>Other accrued expenses</t>
  </si>
  <si>
    <t>3Q26E: less microbiology current liabilities; plus operating change assumption</t>
  </si>
  <si>
    <t>Total current liabilities</t>
  </si>
  <si>
    <t>Deferred income taxes</t>
  </si>
  <si>
    <t>3Q26E: plus change in deferred income taxes (Cash Flow)</t>
  </si>
  <si>
    <t>Other long-term liabilities</t>
  </si>
  <si>
    <t>3Q26E: less microbiology long-term liabilities</t>
  </si>
  <si>
    <t>Long-term obligations</t>
  </si>
  <si>
    <t>Total liabilities</t>
  </si>
  <si>
    <t>Redeemable NCI</t>
  </si>
  <si>
    <t>Full label: Redeemable noncontrolling interest</t>
  </si>
  <si>
    <t xml:space="preserve">  Common stock</t>
  </si>
  <si>
    <t xml:space="preserve">  Capital in excess of par value</t>
  </si>
  <si>
    <t>3Q26E: plus stock compensation / other non-cash (Cash Flow)</t>
  </si>
  <si>
    <t xml:space="preserve">  Retained earnings</t>
  </si>
  <si>
    <t>3Q26E: plus net income attributable less dividends</t>
  </si>
  <si>
    <t xml:space="preserve">  Treasury stock at cost</t>
  </si>
  <si>
    <t>3Q26E: plus buybacks (none assumed)</t>
  </si>
  <si>
    <t xml:space="preserve">  AOCI</t>
  </si>
  <si>
    <t>3Q26E: OCI assumed nil | Full label: Accum. other comprehensive loss</t>
  </si>
  <si>
    <t>Total TMO shareholders' equity</t>
  </si>
  <si>
    <t>NCI (in equity)</t>
  </si>
  <si>
    <t>3Q26E: plus NCI share of net income | Full label: Noncontrolling interests (equity)</t>
  </si>
  <si>
    <t>Total equity</t>
  </si>
  <si>
    <t>Total liabilities &amp; equity</t>
  </si>
  <si>
    <t>Full label: Total liabilities, redeemable NCI and equity</t>
  </si>
  <si>
    <t>Assets less liab. &amp; equity</t>
  </si>
  <si>
    <t>Historical lines are rounded to $1m in filings; 3Q26E difference equals the 2Q26 rounding carried forward | Full label: Check: assets - liabilities - redeemable NCI - equity</t>
  </si>
  <si>
    <t>Check: balance sheet balances</t>
  </si>
  <si>
    <t>3Q26E test: roll-forward adds zero imbalance – structural identity (cash from CF), not independent validation | Full label: Check: balance sheet balances (|diff| &lt;= $2m rounding)</t>
  </si>
  <si>
    <t>Other curr. liab. (release)</t>
  </si>
  <si>
    <t>Full label: Other current liab. (release basis)</t>
  </si>
  <si>
    <t>Memo items</t>
  </si>
  <si>
    <t xml:space="preserve">  Restricted cash – other CA</t>
  </si>
  <si>
    <t>Full label: Restricted cash included in other current assets</t>
  </si>
  <si>
    <t xml:space="preserve">  Restricted cash – other assets</t>
  </si>
  <si>
    <t>Full label: Restricted cash included in other assets</t>
  </si>
  <si>
    <t>Total restricted cash</t>
  </si>
  <si>
    <t>Total debt</t>
  </si>
  <si>
    <t>Net debt</t>
  </si>
  <si>
    <t>Full label: Net debt (debt less cash and short-term investments)</t>
  </si>
  <si>
    <t>DSO (days)</t>
  </si>
  <si>
    <t>Full label: Days sales outstanding (AR / revenue x days)</t>
  </si>
  <si>
    <t xml:space="preserve">  Q/Q change (days)</t>
  </si>
  <si>
    <t xml:space="preserve">  Y/Y change (days)</t>
  </si>
  <si>
    <t>DIO (days)</t>
  </si>
  <si>
    <t>Full label: Days inventory (inventory / GAAP COGS x days)</t>
  </si>
  <si>
    <t>3Q26E balance sheet drivers (assumptions)</t>
  </si>
  <si>
    <t>DSO – assumption (days)</t>
  </si>
  <si>
    <t>3Q25 72.9 days, 2Q26 71.7 days | Full label: Days sales outstanding – assumption</t>
  </si>
  <si>
    <t>Days inventory – assumption</t>
  </si>
  <si>
    <t>3Q25 80.8, 2Q26 72.6 days (on GAAP COGS)</t>
  </si>
  <si>
    <t>Chg. other accrued – assump.</t>
  </si>
  <si>
    <t>3Q25 working-capital outflow $(104)m (9M less 6M); incentive comp/tax payment timing | Full label: Change in other accrued expenses (operating) – assumption</t>
  </si>
  <si>
    <t>Microbiology divestiture (closed 2026-08-12)</t>
  </si>
  <si>
    <t>Microbiology current assets sold</t>
  </si>
  <si>
    <t>Micro LT assets sold</t>
  </si>
  <si>
    <t>Full label: Microbiology long-term assets sold</t>
  </si>
  <si>
    <t>Micro current liabilities</t>
  </si>
  <si>
    <t>Full label: Microbiology current liabilities transferred</t>
  </si>
  <si>
    <t>Micro LT liabilities</t>
  </si>
  <si>
    <t>Full label: Microbiology long-term liabilities transferred</t>
  </si>
  <si>
    <t>Net assets sold</t>
  </si>
  <si>
    <t>Total consideration</t>
  </si>
  <si>
    <t>Full label: Total consideration (cash + seller note)</t>
  </si>
  <si>
    <t>Seller note received</t>
  </si>
  <si>
    <t>Cash proceeds</t>
  </si>
  <si>
    <t>Est. pre-tax gain on sale</t>
  </si>
  <si>
    <t>Ignores transaction costs, working-capital true-ups and CTA recycling (not disclosed); excluded from adjusted EPS | Full label: Estimated pre-tax gain on sale (consideration less net assets)</t>
  </si>
  <si>
    <t>Cash Flow Statement (discrete quarters derived from reported year-to-date)</t>
  </si>
  <si>
    <t>Discrete quarters (1Q = reported 3M; later quarters = YTD less prior YTD; FY = sum of quarters)</t>
  </si>
  <si>
    <t>Operating activities</t>
  </si>
  <si>
    <t xml:space="preserve">  Net income (incl. NCI)</t>
  </si>
  <si>
    <t>Full label: Net income (incl. noncontrolling interests)</t>
  </si>
  <si>
    <t xml:space="preserve">  Depreciation and amortization</t>
  </si>
  <si>
    <t xml:space="preserve">  Deferred income taxes</t>
  </si>
  <si>
    <t>Full label: Change in deferred income taxes</t>
  </si>
  <si>
    <t xml:space="preserve">  Other non-cash, net</t>
  </si>
  <si>
    <t>Full label: Other non-cash expenses, net (incl. stock compensation)</t>
  </si>
  <si>
    <t xml:space="preserve">  (Gain) on sale of business</t>
  </si>
  <si>
    <t>Historical: no business sales; 3Q26E removes the non-cash gain from operating cash flow</t>
  </si>
  <si>
    <t xml:space="preserve">  Working capital &amp; other</t>
  </si>
  <si>
    <t>3Q26E = -(change in AR) - (change in inventory) + change in other current liabilities (Balance Sheet drivers) | Full label: Changes in assets and liabilities, excl. acquisitions</t>
  </si>
  <si>
    <t>Cash from operations</t>
  </si>
  <si>
    <t>Full label: Net cash provided by operating activities</t>
  </si>
  <si>
    <t>Investing activities</t>
  </si>
  <si>
    <t xml:space="preserve">  Purchases of PP&amp;E</t>
  </si>
  <si>
    <t>Full label: Purchases of property, plant and equipment</t>
  </si>
  <si>
    <t xml:space="preserve">  PP&amp;E sale proceeds</t>
  </si>
  <si>
    <t>3Q26E: assumed none | Full label: Proceeds from sale of property, plant and equipment</t>
  </si>
  <si>
    <t xml:space="preserve">  CCIRS interest received</t>
  </si>
  <si>
    <t>3Q26E: swap settlements not separately forecast (in interest income) | Full label: Proceeds from cross-currency swap interest settlements</t>
  </si>
  <si>
    <t xml:space="preserve">  Acquisitions, net</t>
  </si>
  <si>
    <t>3Q26E: no acquisitions closed in quarter (none announced) | Full label: Acquisitions, net of cash acquired</t>
  </si>
  <si>
    <t xml:space="preserve">  Business sale proceeds</t>
  </si>
  <si>
    <t>Historical: no business sales; 3Q26E = microbiology cash proceeds (consideration less seller note) | Full label: Proceeds from sale of business, net</t>
  </si>
  <si>
    <t xml:space="preserve">  Purchases of investments</t>
  </si>
  <si>
    <t>3Q26E: assumed none</t>
  </si>
  <si>
    <t xml:space="preserve">  Investment sales/maturities</t>
  </si>
  <si>
    <t>3Q26E: assumed none | Full label: Proceeds from sales and maturities of investments</t>
  </si>
  <si>
    <t xml:space="preserve">  CCIRS terminations</t>
  </si>
  <si>
    <t>3Q26E: assumed none | Full label: Net proceeds from terminations of cross-currency swaps</t>
  </si>
  <si>
    <t xml:space="preserve">  Other investing, net</t>
  </si>
  <si>
    <t>3Q26E: assumed none | Full label: Other investing activities, net</t>
  </si>
  <si>
    <t>Cash from investing</t>
  </si>
  <si>
    <t>Full label: Net cash used in investing activities</t>
  </si>
  <si>
    <t>Financing activities</t>
  </si>
  <si>
    <t xml:space="preserve">  Debt issued</t>
  </si>
  <si>
    <t>3Q26E: no issuance assumed | Full label: Net proceeds from issuance of debt</t>
  </si>
  <si>
    <t xml:space="preserve">  Repayment of debt</t>
  </si>
  <si>
    <t>3Q26E: no repayment assumed</t>
  </si>
  <si>
    <t xml:space="preserve">  Commercial paper issued</t>
  </si>
  <si>
    <t>3Q26E: assumed none | Full label: Proceeds from issuance of commercial paper</t>
  </si>
  <si>
    <t xml:space="preserve">  Repayment of commercial paper</t>
  </si>
  <si>
    <t xml:space="preserve">  Share repurchases</t>
  </si>
  <si>
    <t>3Q26E: $4bn FY26 buyback completed in 1H26 (Q2 call); see Share Count | Full label: Purchases of company common stock</t>
  </si>
  <si>
    <t xml:space="preserve">  Dividends paid</t>
  </si>
  <si>
    <t xml:space="preserve">  Other financing, net</t>
  </si>
  <si>
    <t>3Q26E: assumed none | Full label: Other financing activities, net</t>
  </si>
  <si>
    <t>Cash from financing</t>
  </si>
  <si>
    <t>Full label: Net cash provided by/(used in) financing activities</t>
  </si>
  <si>
    <t xml:space="preserve">  Exchange rate effect on cash</t>
  </si>
  <si>
    <t>3Q26E: FX effect on cash not forecast (assumed nil)</t>
  </si>
  <si>
    <t>Net change in cash</t>
  </si>
  <si>
    <t>Full label: Increase/(decrease) in cash, cash equivalents and restricted cash</t>
  </si>
  <si>
    <t>Cash incl. restricted – start</t>
  </si>
  <si>
    <t>3Q26E opening cash = reported 2Q26 balance sheet cash + restricted cash (YTD cash-flow lines carry $1m rounding) | Full label: Cash, cash equivalents and restricted cash – beginning</t>
  </si>
  <si>
    <t>Cash incl. restricted – end</t>
  </si>
  <si>
    <t>Full label: Cash, cash equivalents and restricted cash – ending</t>
  </si>
  <si>
    <t>Free cash flow (issuer def.)</t>
  </si>
  <si>
    <t>Full label: Free cash flow (issuer definition: operating cash flow less net capex)</t>
  </si>
  <si>
    <t xml:space="preserve">  FCF as % of revenue</t>
  </si>
  <si>
    <t xml:space="preserve">  Capex as % of revenue</t>
  </si>
  <si>
    <t>Cash from operations:</t>
  </si>
  <si>
    <t>Full label: Memo: Operating cash flow – change rows</t>
  </si>
  <si>
    <t>Capital expenditures:</t>
  </si>
  <si>
    <t>Full label: Memo: Capital expenditures – change rows</t>
  </si>
  <si>
    <t>Depreciation &amp; amortization:</t>
  </si>
  <si>
    <t>Full label: Memo: Depreciation and amortization – change rows</t>
  </si>
  <si>
    <t>Net income (incl. NCI):</t>
  </si>
  <si>
    <t>Full label: Memo: Net income (incl. NCI) – change rows</t>
  </si>
  <si>
    <t>CF end cash less BS cash</t>
  </si>
  <si>
    <t>Line items rounded to $1m in releases; computed YTD subtotals can differ from reported by $1-2m | Full label: Cash tie: CF ending cash less (BS cash + restricted cash)</t>
  </si>
  <si>
    <t>Check: cash ties to BS</t>
  </si>
  <si>
    <t>3Q26E (col J): structural identity – passes by construction (residual plug); not independent validation of forecast assumptions. (BS cash J10 = CF ending cash less restricted) | Full label: Check: change in cash ties to Balance Sheet (|diff| &lt;= $3m rounding)</t>
  </si>
  <si>
    <t>Check: CF NI = IS NI</t>
  </si>
  <si>
    <t>Full label: Check: CF net income = IS net income (|diff| &lt;= $2m)</t>
  </si>
  <si>
    <t>3Q26E cash flow drivers (assumptions)</t>
  </si>
  <si>
    <t>Depreciation ($m)</t>
  </si>
  <si>
    <t>Consolidated depreciation 1Q26 $306m, 2Q26 $331m (release notes)</t>
  </si>
  <si>
    <t>Deferred taxes ($m)</t>
  </si>
  <si>
    <t>1Q26 $(258)m, 2Q26 $(208)m; non-deductible amortisation | Full label: Change in deferred income taxes ($m)</t>
  </si>
  <si>
    <t>Other non-cash, net ($m)</t>
  </si>
  <si>
    <t>1Q26 $171m, 2Q26 $199m; credited to equity | Full label: Other non-cash expenses, net ($m) – mainly stock compensation</t>
  </si>
  <si>
    <t>Purchases of PP&amp;E ($m)</t>
  </si>
  <si>
    <t>FY26 net capex guide $1.9-2.1bn; 1H26 $813m net =&gt; ~$545-645m per remaining quarter</t>
  </si>
  <si>
    <t>Memo: reported year-to-date cash flows (as filed; 4Q25 column = full year 2025)</t>
  </si>
  <si>
    <t>Full label: Net income (incl. noncontrolling interests) (YTD)</t>
  </si>
  <si>
    <t xml:space="preserve">  Depreciation &amp; amortization</t>
  </si>
  <si>
    <t>Full label: Depreciation and amortization (YTD)</t>
  </si>
  <si>
    <t>Full label: Change in deferred income taxes (YTD)</t>
  </si>
  <si>
    <t>Full label: Other non-cash expenses, net (incl. stock compensation) (YTD)</t>
  </si>
  <si>
    <t>Full label: (Gain) on sale of business (YTD)</t>
  </si>
  <si>
    <t>Full label: Changes in assets and liabilities, excl. acquisitions (YTD)</t>
  </si>
  <si>
    <t>Full label: Net cash provided by operating activities (YTD)</t>
  </si>
  <si>
    <t>Full label: Purchases of property, plant and equipment (YTD)</t>
  </si>
  <si>
    <t>Full label: Proceeds from sale of property, plant and equipment (YTD)</t>
  </si>
  <si>
    <t>Full label: Proceeds from cross-currency swap interest settlements (YTD)</t>
  </si>
  <si>
    <t>Full label: Acquisitions, net of cash acquired (YTD)</t>
  </si>
  <si>
    <t>Full label: Proceeds from sale of business, net (YTD)</t>
  </si>
  <si>
    <t xml:space="preserve">  Purchases of investments (YTD)</t>
  </si>
  <si>
    <t>Full label: Proceeds from sales and maturities of investments (YTD)</t>
  </si>
  <si>
    <t>Full label: Net proceeds from terminations of cross-currency swaps (YTD)</t>
  </si>
  <si>
    <t>Full label: Other investing activities, net (YTD)</t>
  </si>
  <si>
    <t>Full label: Net cash used in investing activities (YTD)</t>
  </si>
  <si>
    <t>Full label: Net proceeds from issuance of debt (YTD)</t>
  </si>
  <si>
    <t xml:space="preserve">  Repayment of debt (YTD)</t>
  </si>
  <si>
    <t>Full label: Proceeds from issuance of commercial paper (YTD)</t>
  </si>
  <si>
    <t xml:space="preserve">  Commercial paper repaid</t>
  </si>
  <si>
    <t>Full label: Repayment of commercial paper (YTD)</t>
  </si>
  <si>
    <t>Full label: Purchases of company common stock (YTD)</t>
  </si>
  <si>
    <t xml:space="preserve">  Dividends paid (YTD)</t>
  </si>
  <si>
    <t>Full label: Other financing activities, net (YTD)</t>
  </si>
  <si>
    <t>Full label: Net cash provided by/(used in) financing activities (YTD)</t>
  </si>
  <si>
    <t xml:space="preserve">  FX effect on cash</t>
  </si>
  <si>
    <t>Full label: Exchange rate effect on cash (YTD)</t>
  </si>
  <si>
    <t>Full label: Increase/(decrease) in cash, cash equivalents and restricted cash (YTD)</t>
  </si>
  <si>
    <t>Cash incl. restricted – Jan 1</t>
  </si>
  <si>
    <t>Full label: Cash, cash equivalents and restricted cash – beginning of year (YTD)</t>
  </si>
  <si>
    <t>Full label: Cash, cash equivalents and restricted cash – ending (YTD)</t>
  </si>
  <si>
    <t>Geo – revenue by customer location</t>
  </si>
  <si>
    <t>Revenue by geographic region (10-Q/10-K disaggregation, customer location)</t>
  </si>
  <si>
    <t>North America</t>
  </si>
  <si>
    <t xml:space="preserve">  Y/Y growth – 3Q26E</t>
  </si>
  <si>
    <t>Clario (US-based) inorganic + low-single-digit organic (Q2 call: NA LSD) | Full label: Reported Y/Y growth – 3Q26E assumption</t>
  </si>
  <si>
    <t>Issuer gives qualitative regional organic growth only: Low single digits (2Q26 call)</t>
  </si>
  <si>
    <t>Not disclosed by region | Full label: Acquisitions / divestitures (%)</t>
  </si>
  <si>
    <t>Not disclosed by region</t>
  </si>
  <si>
    <t>Europe</t>
  </si>
  <si>
    <t>High-single-digit organic (2Q26), EUR/USD 3Q avg ~1.151 vs ~1.168 (FX headwind), microbiology Europe-heavy | Full label: Reported Y/Y growth – 3Q26E assumption</t>
  </si>
  <si>
    <t>Issuer gives qualitative regional organic growth only: High single digits (2Q26 call)</t>
  </si>
  <si>
    <t>Asia-Pacific</t>
  </si>
  <si>
    <t>High-single-digit APAC ex-China; China low-single-digit (2Q26 call) | Full label: Reported Y/Y growth – 3Q26E assumption</t>
  </si>
  <si>
    <t>Issuer gives qualitative regional organic growth only: High single digits; China low single digits (2Q26 call)</t>
  </si>
  <si>
    <t>Other regions</t>
  </si>
  <si>
    <t xml:space="preserve">  Y/Y growth – 3Q26E (resid.)</t>
  </si>
  <si>
    <t>Residual: total revenue less other regions | Full label: Reported Y/Y growth – 3Q26E (residual)</t>
  </si>
  <si>
    <t>Issuer gives qualitative regional organic growth only: n/d</t>
  </si>
  <si>
    <t>Sum of regions</t>
  </si>
  <si>
    <t>Total revenue (Revenue summary)</t>
  </si>
  <si>
    <t>Regions less total revenue</t>
  </si>
  <si>
    <t>Check: regions tie to total</t>
  </si>
  <si>
    <t>3Q26E (col J): structural identity – passes by construction (residual plug); not independent validation of forecast assumptions. (residual Other region) | Full label: Check: regions sum to total revenue (|diff| &lt;= $2m)</t>
  </si>
  <si>
    <t>Share Count (millions of shares)</t>
  </si>
  <si>
    <t>Weighted average shares (reported, rounded to 1m)</t>
  </si>
  <si>
    <t>Weighted average shares – basic</t>
  </si>
  <si>
    <t>FY figures are reported annual weighted averages (not summed)</t>
  </si>
  <si>
    <t>Diluted shares (wtd. avg.)</t>
  </si>
  <si>
    <t>3Q26E diluted shares drive forecast EPS (Income Statement) | Full label: Weighted average shares – diluted</t>
  </si>
  <si>
    <t xml:space="preserve">  Q/Q change (basic)</t>
  </si>
  <si>
    <t xml:space="preserve">  Dilutive options/RSUs</t>
  </si>
  <si>
    <t>Full label: Dilutive effect of stock options/RSUs</t>
  </si>
  <si>
    <t xml:space="preserve">  % Y/Y (diluted)</t>
  </si>
  <si>
    <t xml:space="preserve">  Q/Q change (diluted)</t>
  </si>
  <si>
    <t>Period-end shares, buybacks and issuance</t>
  </si>
  <si>
    <t>Shares outstanding (10-Q cover)</t>
  </si>
  <si>
    <t>10-Q cover counts are stated as of the fiscal period-end date: 3/29/25 377,493,912 (S14); 6/28/25 377,612,121 (S13); 9/27/25 375,708,059 (S12); 3/28/26 371,621,465 (S10); 6/27/26 369,747,286 (S09). Dec-31-2025 count not on 10-K cover (cover shows 371,484,244 at 2026-01-31, S11). Opening 3Q26E shares = 2Q26 cover count; intra-quarter timing of issuance is an assumption</t>
  </si>
  <si>
    <t xml:space="preserve">  Q/Q change in shares</t>
  </si>
  <si>
    <t>Full label: Q/Q change in shares outstanding</t>
  </si>
  <si>
    <t>Shares repurchased</t>
  </si>
  <si>
    <t>2Q25: no repurchases (cash flow shows none); 4Q25 count not extracted from 10-K ($37m cash settled Q3 trades)</t>
  </si>
  <si>
    <t>Average price paid per share ($)</t>
  </si>
  <si>
    <t xml:space="preserve">  Repurchase value ($m)</t>
  </si>
  <si>
    <t>Full label: Repurchase value (shares x price, $m)</t>
  </si>
  <si>
    <t xml:space="preserve">  Repurchase cash ($m)</t>
  </si>
  <si>
    <t>Full label: Repurchase cash paid (Cash Flow, $m)</t>
  </si>
  <si>
    <t xml:space="preserve">  Implied plan issuance</t>
  </si>
  <si>
    <t>Full label: Implied issuance under equity plans (change + repurchased)</t>
  </si>
  <si>
    <t>Dividends paid (Cash Flow, $m)</t>
  </si>
  <si>
    <t xml:space="preserve">  DPS (implied)</t>
  </si>
  <si>
    <t>Full label: Dividends per share (implied: dividends / basic shares)</t>
  </si>
  <si>
    <t>3Q26E share-count ladder (shares behind forecast EPS)</t>
  </si>
  <si>
    <t>Opening shares (2Q26 end)</t>
  </si>
  <si>
    <t>Full label: Opening shares outstanding (2Q26 period end)</t>
  </si>
  <si>
    <t xml:space="preserve">  + Plan issuance – assump.</t>
  </si>
  <si>
    <t>2Q26 implied 0.20m, 3Q25 0.21m; 3Q includes annual grants vesting | Full label: + Issuance under equity plans – assumption</t>
  </si>
  <si>
    <t xml:space="preserve">  - Repurchased – assump.</t>
  </si>
  <si>
    <t>FY26 plan of $4bn completed ($3bn Jan + $1bn 2Q; Q2 call); no 3Q buyback assumed | Full label: - Shares repurchased – assumption</t>
  </si>
  <si>
    <t>Closing shares outstanding</t>
  </si>
  <si>
    <t>Average basic shares</t>
  </si>
  <si>
    <t>Full label: Average basic shares (opening/closing average)</t>
  </si>
  <si>
    <t xml:space="preserve">  + Dilution – assump.</t>
  </si>
  <si>
    <t>Reported dilution ~0-1m (rounded); stock price up ~$200 since 2Q =&gt; higher option dilution | Full label: + Dilutive securities – assumption</t>
  </si>
  <si>
    <t>Diluted shares used in 3Q26E EPS</t>
  </si>
  <si>
    <t>FY26 guide: 370-373m average diluted shares</t>
  </si>
  <si>
    <t>Buyback ($m) – assumption</t>
  </si>
  <si>
    <t>Feeds Cash Flow purchases of company common stock | Full label: Repurchase amount – assumption ($m)</t>
  </si>
  <si>
    <t>DPS ($) – assumption</t>
  </si>
  <si>
    <t>2Q26 dividends $175m / 371m basic = $0.47; 10% increase in 2026 (MS conf) | Full label: Dividend per share – assumption ($)</t>
  </si>
  <si>
    <t>Market capitalisation (for size-cohort prior)</t>
  </si>
  <si>
    <t>Last close – CapIQ ($)</t>
  </si>
  <si>
    <t>Full label: Last close price – CapIQ snapshot ($)</t>
  </si>
  <si>
    <t>Market cap ($bn)</t>
  </si>
  <si>
    <t>Cross-check: $255.13bn at 2026-10-16 close (finhacker.cz / WallStreetZen: 369,747,286 shares x $690.00) | Full label: Market capitalisation ($bn) = 2Q26 period-end shares x last close</t>
  </si>
  <si>
    <t>Guidance – issuer guidance history vs actuals</t>
  </si>
  <si>
    <t>One row per guidance item (low / high as given; midpoint = average; actual linked to model; beat/miss vs midpoint)</t>
  </si>
  <si>
    <t>Guidance item</t>
  </si>
  <si>
    <t>Date given</t>
  </si>
  <si>
    <t>Low</t>
  </si>
  <si>
    <t>High</t>
  </si>
  <si>
    <t>Midpoint</t>
  </si>
  <si>
    <t>Actual</t>
  </si>
  <si>
    <t>Beat/miss</t>
  </si>
  <si>
    <t>Source / note</t>
  </si>
  <si>
    <t>FY25 revenue (raised Oct-25)</t>
  </si>
  <si>
    <t>FY25</t>
  </si>
  <si>
    <t>S18: Q3 2025 call</t>
  </si>
  <si>
    <t>FY25 adj. EPS (raised Oct-25)</t>
  </si>
  <si>
    <t>EPS ($)</t>
  </si>
  <si>
    <t>4Q25 EPS (FY guide less 9M; approx.)</t>
  </si>
  <si>
    <t>4Q25</t>
  </si>
  <si>
    <t>Derived approximation: per-share EPS is not strictly additive across quarters; Q4 call: results "significantly ahead of the midpoint of prior guidance"</t>
  </si>
  <si>
    <t>FY26 revenue (initial)</t>
  </si>
  <si>
    <t>FY26</t>
  </si>
  <si>
    <t>Pending</t>
  </si>
  <si>
    <t>S17: Q4 2025 call</t>
  </si>
  <si>
    <t>FY26 adj. EPS (initial)</t>
  </si>
  <si>
    <t>FY26 organic growth (initial)</t>
  </si>
  <si>
    <t>Organic %</t>
  </si>
  <si>
    <t>S17</t>
  </si>
  <si>
    <t>1Q26 stated beat vs guidance ($)</t>
  </si>
  <si>
    <t>S16: CFO, 2026-04-23: 1Q26 adj. EPS beat prior guidance by $0.14 (low/high not given)</t>
  </si>
  <si>
    <t>1Q26 EPS (derived from stated beat)</t>
  </si>
  <si>
    <t>1Q26</t>
  </si>
  <si>
    <t>Derived, not independent: midpoint = 1Q26 actual less stated $0.14 beat (low/high not given); beat is true by construction</t>
  </si>
  <si>
    <t>FY26 revenue (raised Apr-26)</t>
  </si>
  <si>
    <t>S16</t>
  </si>
  <si>
    <t>FY26 adj. EPS (raised Apr-26)</t>
  </si>
  <si>
    <t>2Q26 EPS step vs 1Q26 (low/high)</t>
  </si>
  <si>
    <t>S16: "Q2 adjusted EPS $0.25 to $0.30 higher than Q1"</t>
  </si>
  <si>
    <t>2Q26 EPS (1Q26 + step)</t>
  </si>
  <si>
    <t>2Q26</t>
  </si>
  <si>
    <t>Q2 call: "$0.30 ahead of our previous guidance"</t>
  </si>
  <si>
    <t>2Q26 organic growth (~3%)</t>
  </si>
  <si>
    <t>FY26 revenue (raised Jul-26)</t>
  </si>
  <si>
    <t>S15: Q2 2026 call</t>
  </si>
  <si>
    <t>FY26 adj. EPS (raised Jul-26)</t>
  </si>
  <si>
    <t>S15</t>
  </si>
  <si>
    <t>FY26 organic growth (~4%)</t>
  </si>
  <si>
    <t>2H26 organic growth (~4%)</t>
  </si>
  <si>
    <t>2H26</t>
  </si>
  <si>
    <t>S15; 3Q26E model organic on Revenue summary</t>
  </si>
  <si>
    <t>3Q26 EPS step vs 2Q26 (low/high)</t>
  </si>
  <si>
    <t>S15: "we expect Q3 adjusted EPS to be $0.35 to $0.40 higher than in Q2"</t>
  </si>
  <si>
    <t>3Q26 EPS – TARGET (2Q26+step)</t>
  </si>
  <si>
    <t>3Q26</t>
  </si>
  <si>
    <t>Report due 2026-10-21. Shortcut 3Q26E on Cover; CapIQ guidance low/high 6.38/6.43 cross-checked below</t>
  </si>
  <si>
    <t>FY26 net interest expense ($m)</t>
  </si>
  <si>
    <t>Net int. ($m)</t>
  </si>
  <si>
    <t>S15 (~$660m)</t>
  </si>
  <si>
    <t>FY26 adjusted tax rate</t>
  </si>
  <si>
    <t>Tax rate</t>
  </si>
  <si>
    <t>S15 (~11.5%)</t>
  </si>
  <si>
    <t>FY26 avg. diluted shares (m)</t>
  </si>
  <si>
    <t>Shares (m)</t>
  </si>
  <si>
    <t>FY26 free cash flow ($m)</t>
  </si>
  <si>
    <t>FCF ($m)</t>
  </si>
  <si>
    <t>FY26 net capex ($m)</t>
  </si>
  <si>
    <t>Capex ($m)</t>
  </si>
  <si>
    <t>FY26 FX revenue tailwind ($m)</t>
  </si>
  <si>
    <t>FX ($m)</t>
  </si>
  <si>
    <t>S15 (lowered from $300m)</t>
  </si>
  <si>
    <t>FY26 acquisition revenue ($m)</t>
  </si>
  <si>
    <t>M&amp;A ($m)</t>
  </si>
  <si>
    <t>S15 (Clario + filtration)</t>
  </si>
  <si>
    <t>FY26 microbiology revenue ($m)</t>
  </si>
  <si>
    <t>Divest. ($m)</t>
  </si>
  <si>
    <t>S15 (net of retained channel sales)</t>
  </si>
  <si>
    <t>Guidance track record and cross-checks</t>
  </si>
  <si>
    <t>EPS beat vs own mid: 4Q25/1Q26/2Q26</t>
  </si>
  <si>
    <t>Qualified average: includes a derived 1Q26 item (G40 = stated $0.14 by construction) and a 4Q25 approximation (FY guide less 9M EPS); not an independent track record. Issuer above own EPS midpoint in each of last three quarters</t>
  </si>
  <si>
    <t>CapIQ 3Q26 EPS guidance low/high</t>
  </si>
  <si>
    <t>Check: CapIQ guidance range equals issuer-derived 3Q26 range (column J)</t>
  </si>
  <si>
    <t>Sources</t>
  </si>
  <si>
    <t>ID – publisher</t>
  </si>
  <si>
    <t>Pub. date</t>
  </si>
  <si>
    <t>What it feeds</t>
  </si>
  <si>
    <t>URL or file</t>
  </si>
  <si>
    <t>S01 – S&amp;P Capital IQ file</t>
  </si>
  <si>
    <t>Inputs A-B; Cover consensus; IS/Revenue summary 3Q26 consensus; Guidance cross-check</t>
  </si>
  <si>
    <t>TMO_consensus.json</t>
  </si>
  <si>
    <t>S02 – S&amp;P Capital IQ file</t>
  </si>
  <si>
    <t>Inputs C-E (six actual/consensus pairs; prior calibration); IS &amp; Revenue summary CapIQ rows</t>
  </si>
  <si>
    <t>TMO_history.csv</t>
  </si>
  <si>
    <t>S03 – TMO 8-K Ex.99.1 (2Q26)</t>
  </si>
  <si>
    <t>2Q26 &amp; 2Q25 IS, segments, non-GAAP bridge, BS, 6M CF, organic table</t>
  </si>
  <si>
    <t>https://www.sec.gov/Archives/edgar/data/97745/000009774526000138/q22026earnings8kex99_1.htm</t>
  </si>
  <si>
    <t>S04 – TMO 8-K Ex.99.1 (1Q26)</t>
  </si>
  <si>
    <t>1Q26 &amp; 1Q25 IS, segments, bridge, BS, 3M CF</t>
  </si>
  <si>
    <t>https://www.sec.gov/Archives/edgar/data/97745/000009774526000086/q12026earnings8kex99_1.htm</t>
  </si>
  <si>
    <t>S05 – TMO 8-K Ex.99.1 (4Q25)</t>
  </si>
  <si>
    <t>4Q25 &amp; FY25 IS, segments, bridge, BS, FY CF; 2024 comparatives</t>
  </si>
  <si>
    <t>https://www.sec.gov/Archives/edgar/data/97745/000009774526000012/q42025earnings8kex99_1.htm</t>
  </si>
  <si>
    <t>S06 – TMO 8-K Ex.99.1 (3Q25)</t>
  </si>
  <si>
    <t>3Q25 IS, segments, bridge, BS, 9M CF; 3Q24 comparatives</t>
  </si>
  <si>
    <t>https://www.sec.gov/Archives/edgar/data/97745/000009774525000150/q32025earnings8kex99_1.htm</t>
  </si>
  <si>
    <t>S07 – TMO 8-K Ex.99.1 (2Q25)</t>
  </si>
  <si>
    <t>2Q25 BS and organic table; 2Q24 comparatives</t>
  </si>
  <si>
    <t>https://www.sec.gov/Archives/edgar/data/97745/000009774525000093/q22025earnings8kex99_1.htm</t>
  </si>
  <si>
    <t>S08 – TMO 8-K Ex.99.1 (1Q25)</t>
  </si>
  <si>
    <t>1Q25 BS and organic table; 1Q24 comparatives</t>
  </si>
  <si>
    <t>https://www.sec.gov/Archives/edgar/data/97745/000009774525000034/q12025earnings8kex99_1.htm</t>
  </si>
  <si>
    <t>S09 – SEC 10-Q (2Q26)</t>
  </si>
  <si>
    <t>Disaggregated revenue (business/type/geo), segment decomposition, microbiology net assets, restricted cash, shares, buybacks, tax/interest guidance</t>
  </si>
  <si>
    <t>https://www.sec.gov/Archives/edgar/data/97745/000009774526000144/tmo-20260627.htm</t>
  </si>
  <si>
    <t>S10 – SEC 10-Q (1Q26)</t>
  </si>
  <si>
    <t>1Q26 and 1Q25 disaggregation; segment decomposition; Dec-25 restricted cash; buybacks</t>
  </si>
  <si>
    <t>https://www.sec.gov/Archives/edgar/data/97745/000009774526000092/tmo-20260328.htm</t>
  </si>
  <si>
    <t>S11 – SEC 10-K FY25 + XBRL</t>
  </si>
  <si>
    <t>FY25 &amp; FY24 disaggregation (business, geo, type); FY25 segment decomposition; Jan-26 share count</t>
  </si>
  <si>
    <t>https://www.sec.gov/Archives/edgar/data/97745/000009774526000018/tmo-20251231.htm ; R64.htm</t>
  </si>
  <si>
    <t>S12 – SEC 10-Q (3Q25)</t>
  </si>
  <si>
    <t>3Q25 &amp; 3Q24 disaggregation; segment decomposition; restricted cash; shares; buybacks</t>
  </si>
  <si>
    <t>https://www.sec.gov/Archives/edgar/data/97745/000009774525000159/tmo-20250927.htm</t>
  </si>
  <si>
    <t>S13 – SEC 10-Q (2Q25)</t>
  </si>
  <si>
    <t>2Q24 disaggregation and segment comparatives; 2Q25 decomposition; restricted cash; shares</t>
  </si>
  <si>
    <t>https://www.sec.gov/Archives/edgar/data/97745/000009774525000101/tmo-20250628.htm</t>
  </si>
  <si>
    <t>S14 – SEC 10-Q (1Q25)</t>
  </si>
  <si>
    <t>1Q24 disaggregation and segment comparatives; 1Q25 decomposition; restricted cash; shares; buybacks</t>
  </si>
  <si>
    <t>https://www.sec.gov/Archives/edgar/data/97745/000009774525000041/tmo-20250329.htm</t>
  </si>
  <si>
    <t>S15 – Motley Fool (Q2 call)</t>
  </si>
  <si>
    <t>FY26 guidance, 3Q26 EPS step ($0.35-0.40), 2H organic ~4%, FX, M&amp;A, divestiture, tax, interest, shares (Guidance; drivers)</t>
  </si>
  <si>
    <t>https://www.fool.com/earnings/call-transcripts/2026/07/23/tmo-q2-2026-earnings-call-transcript/</t>
  </si>
  <si>
    <t>S16 – Druckfin/Biggo (Q1 call)</t>
  </si>
  <si>
    <t>Q1 beat vs guide $0.14; Q2 step $0.25-0.30; Q2 organic ~3%; FY26 raised guide</t>
  </si>
  <si>
    <t>https://www.druckfin.com/en/articles/thermo-fisher-scientific-raises-2026-guidance-on-strong-q1-operational-performan-20260423</t>
  </si>
  <si>
    <t>S17 – Motley Fool (Q4 call)</t>
  </si>
  <si>
    <t>4Q25 segment reported/organic growth; FY26 initial guidance</t>
  </si>
  <si>
    <t>https://www.fool.com/earnings/call-transcripts/2026/01/29/thermo-fisher-tmo-q4-2025-earnings-transcript/</t>
  </si>
  <si>
    <t>S18 – Insider Monkey (Q3 call)</t>
  </si>
  <si>
    <t>FY25 guidance raised to $44.1-44.5bn / $22.60-22.86</t>
  </si>
  <si>
    <t>https://www.insidermonkey.com/blog/thermo-fisher-scientific-inc-nysetmo-q3-2025-earnings-call-transcript-1632319/</t>
  </si>
  <si>
    <t>S19 – TMO press release</t>
  </si>
  <si>
    <t>Microbiology sale closed 2026-08-12; $1.075bn incl. $50m note (SD tab, BS divestiture block)</t>
  </si>
  <si>
    <t>https://ir.thermofisher.com/investors/news-events/news/news-details/2026/Thermo-Fisher-Scientific-Completes-Sale-of-its-Microbiology-Business-to-Astorg/default.aspx</t>
  </si>
  <si>
    <t>S20 – TMO press release</t>
  </si>
  <si>
    <t>Report date 2026-10-21 before market open (Cover); confirms results not released before cutoff</t>
  </si>
  <si>
    <t>https://ir.thermofisher.com/investors/news-events/news/news-details/2026/Thermo-Fisher-Scientific-to-Hold-Earnings-Conference-Call-on-Wednesday-October-21-2026/default.aspx</t>
  </si>
  <si>
    <t>S21 – Investing.com (MS conf.)</t>
  </si>
  <si>
    <t>End-market trends, orders ahead of revenue, pharma services 2H step-up, filtration growth (segment organic assumptions)</t>
  </si>
  <si>
    <t>https://za.investing.com/news/stock-market-news/thermo-fisher-at-morgan-stanley-healthcare-conference-growth-gathers-pace-93CH-4465523</t>
  </si>
  <si>
    <t>S22 – Zacks via Yahoo</t>
  </si>
  <si>
    <t>Newer consensus (Inputs F) – not used for scoring</t>
  </si>
  <si>
    <t>https://finance.yahoo.com/markets/stocks/articles/analyst-projections-key-metrics-reveal-121526181.html</t>
  </si>
  <si>
    <t>S23 – Alphastreet</t>
  </si>
  <si>
    <t>Consensus range; 30/90-day revisions (Inputs F)</t>
  </si>
  <si>
    <t>https://news.alphastreet.com/thermo-fisher-scientific-tmo-q3-2026-preview-eps-est-6-40-reports-october-21/</t>
  </si>
  <si>
    <t>S24 – MarketBeat</t>
  </si>
  <si>
    <t>Revenue consensus $11.95bn (Inputs F)</t>
  </si>
  <si>
    <t>https://www.marketbeat.com/instant-alerts/upcoming-thermo-fisher-scientific-tmo-projected-to-post-quarterly-earnings-on-wednesday-2026-10-14/</t>
  </si>
  <si>
    <t>S25 – Banque de France</t>
  </si>
  <si>
    <t>EUR/USD monthly averages Jul-Sep 2026 (FX assumption)</t>
  </si>
  <si>
    <t>https://www.banque-france.fr/en/statistics/rates-and-prices/exchange-rates-average-month-2026-09</t>
  </si>
  <si>
    <t>S26 – Danaher press release</t>
  </si>
  <si>
    <t>Peer: 3Q26 FX -1.0% and core +2-3% guide (FX and demand cross-check)</t>
  </si>
  <si>
    <t>https://investors.danaher.com/2026-07-21-Danaher-Reports-Second-Quarter-2026-Results</t>
  </si>
  <si>
    <t>S27 – Lonza (FT.com)</t>
  </si>
  <si>
    <t>Peer: 3Q26 in line with expectations (pharma services read-across)</t>
  </si>
  <si>
    <t>https://markets.ft.com/data/announce/detail?dockey=600-202610140030DGAP____ADHOC____adhoc_2415306_en-1</t>
  </si>
  <si>
    <t>S28 – BiopharmIQ</t>
  </si>
  <si>
    <t>Biotech funding rebound in 3Q26 (demand context)</t>
  </si>
  <si>
    <t>https://www.biopharmiq.com/post/q3-2026-private-bio-pharma-funding-activity-rebounds</t>
  </si>
  <si>
    <t>S29 – finhacker.cz/WallStreetZen</t>
  </si>
  <si>
    <t>Market cap $255.13bn at 2026-10-16 close (prior calibration)</t>
  </si>
  <si>
    <t>https://www.finhacker.cz/en/stocks/thermo-fisher-scientific-market-cap/</t>
  </si>
  <si>
    <t>S30 – whichindex.com</t>
  </si>
  <si>
    <t>S&amp;P 500 membership as of 2026-10-16 (prior calibration)</t>
  </si>
  <si>
    <t>https://whichindex.com/indexes/sp-500/</t>
  </si>
  <si>
    <t>S31 – TipRanks/TheFly</t>
  </si>
  <si>
    <t>Sell-side tone: Barclays PT raise (context only)</t>
  </si>
  <si>
    <t>https://www.tipranks.com/news/the-fly/thermo-fisher-price-target-raised-to-750-from-650-at-barclays-thefly-news</t>
  </si>
  <si>
    <t>S32 – Investing.com (KeyBanc)</t>
  </si>
  <si>
    <t>Sector preview: data suggest accelerating growth (context)</t>
  </si>
  <si>
    <t>https://ca.investing.com/news/stock-market-news/keybanc-previews-life-sciences-tools-earnings-sees-accelerating-growth-93CH-4866127</t>
  </si>
  <si>
    <t>S33 – SEC EDGAR index</t>
  </si>
  <si>
    <t>Checked: no 3Q26 results 8-K before cutoff</t>
  </si>
  <si>
    <t>https://www.sec.gov/cgi-bin/browse-edgar?action=getcompany&amp;CIK=0000097745&amp;type=8-K</t>
  </si>
  <si>
    <t>Tab coverage and notes</t>
  </si>
  <si>
    <t>No tabs omitted: four reportable segments (S09 10-Q, Business Segment Information) -&gt; four Segment tabs; four regions disclosed (S09 Disaggregated Revenues) -&gt; Geo tab.</t>
  </si>
  <si>
    <t>No Dates, Consensus or Checks tab by design: period labels/dates/days sit in each tab header; consensus at cutoff is on Cover; check summary is artifacts/checks.md.</t>
  </si>
  <si>
    <t>Timeline adds 1Q25A and 2Q25A so FY25A reconciles to its four quarters (flows) and 1Q26/2Q26 Y/Y use in-timeline comparatives.</t>
  </si>
  <si>
    <t>All sources published before the 2026-10-18 21:34 UTC cutoff; retrieved 2026-10-19 via web_fetch / web search. Retrieval timestamps per page and archival snapshots were not recorded, so later edits to non-SEC web pages cannot be excluded; scored consensus is the frozen CapIQ file (S01). No 3Q26 actual results were seen.</t>
  </si>
  <si>
    <t>Blank or undisclosed evidence is shown as "n/d" (not disclosed) or "n/a", never as zero. Explicit zeros are labelled assumptions or factual absences.</t>
  </si>
  <si>
    <t>Inputs – S&amp;P Capital IQ files (verbatim) and calibration</t>
  </si>
  <si>
    <t>A. TMO_consensus.json – top-level fields (frozen scoring baseline, captured 2026-10-18)</t>
  </si>
  <si>
    <t>source</t>
  </si>
  <si>
    <t>S&amp;P Capital IQ</t>
  </si>
  <si>
    <t>ticker</t>
  </si>
  <si>
    <t>TMO</t>
  </si>
  <si>
    <t>company</t>
  </si>
  <si>
    <t>fiscal_period</t>
  </si>
  <si>
    <t>FQ3 2026 - Sep 2026</t>
  </si>
  <si>
    <t>period_end_date</t>
  </si>
  <si>
    <t>2026-09-30</t>
  </si>
  <si>
    <t>as_of_date</t>
  </si>
  <si>
    <t>2026-10-18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</si>
  <si>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</si>
  <si>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</si>
  <si>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</si>
  <si>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</si>
  <si>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</si>
  <si>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</si>
  <si>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</si>
  <si>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</si>
  <si>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</si>
  <si>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</si>
  <si>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</si>
  <si>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</si>
  <si>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</si>
  <si>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</si>
  <si>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</si>
  <si>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</si>
  <si>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metric_units.amount_scale</t>
  </si>
  <si>
    <t>millions</t>
  </si>
  <si>
    <t>Full label: metric_units.financial_amount_scale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</si>
  <si>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</si>
  <si>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</si>
  <si>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Coverage: all targets mapped to model cells except issuer_defined_ebitda = unavailable (TMO releases S03-S08 contain no EBITDA measure; calls cite only a leverage ratio on adjusted EBITDA without a quarterly figure or reconciliation)</t>
  </si>
  <si>
    <t>target_manifest.policy</t>
  </si>
  <si>
    <t>Track applicable disclosed lines; record unavailable/not applicable with a reason. Only normalized EPS is scored.</t>
  </si>
  <si>
    <t>B. summary_row – complete raw CapIQ summary row (blank source values preserved as blank cells)</t>
  </si>
  <si>
    <t>company_name</t>
  </si>
  <si>
    <t>exchange_ticker</t>
  </si>
  <si>
    <t>NYSE:TMO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</si>
  <si>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</si>
  <si>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</si>
  <si>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</si>
  <si>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</si>
  <si>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</si>
  <si>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</si>
  <si>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</si>
  <si>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2026-10-21</t>
  </si>
  <si>
    <t>normalized diluted and GAAP diluted, as labelled</t>
  </si>
  <si>
    <t>eps_normalized_estimates</t>
  </si>
  <si>
    <t>eps_normalized_contributors</t>
  </si>
  <si>
    <t>detail_tab_total_contributors</t>
  </si>
  <si>
    <t>Blank in source file (unavailable)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</si>
  <si>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</si>
  <si>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</si>
  <si>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</si>
  <si>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</si>
  <si>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</si>
  <si>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</si>
  <si>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</si>
  <si>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</si>
  <si>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</si>
  <si>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</si>
  <si>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</si>
  <si>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</si>
  <si>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</si>
  <si>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</si>
  <si>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</si>
  <si>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</si>
  <si>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</si>
  <si>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</si>
  <si>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</si>
  <si>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</si>
  <si>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</si>
  <si>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</si>
  <si>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</si>
  <si>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</si>
  <si>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</si>
  <si>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</si>
  <si>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</si>
  <si>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</si>
  <si>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CapIQ EBITDA consensus – not issuer-defined; not relabelled or tracked as issuer_defined_ebitda (unavailable)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</si>
  <si>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</si>
  <si>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</si>
  <si>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</si>
  <si>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</si>
  <si>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</si>
  <si>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</si>
  <si>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</si>
  <si>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</si>
  <si>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</si>
  <si>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</si>
  <si>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</si>
  <si>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</si>
  <si>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</si>
  <si>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</si>
  <si>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</si>
  <si>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</si>
  <si>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</si>
  <si>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</si>
  <si>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</si>
  <si>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</si>
  <si>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</si>
  <si>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</si>
  <si>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</si>
  <si>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</si>
  <si>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</si>
  <si>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</si>
  <si>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704.00/435.27</t>
  </si>
  <si>
    <t>estimates_captured_at</t>
  </si>
  <si>
    <t>notes</t>
  </si>
  <si>
    <t>C. TMO_history.csv – all six rows verbatim (columns B-I = file columns in order)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</si>
  <si>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</si>
  <si>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</si>
  <si>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</si>
  <si>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</si>
  <si>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</si>
  <si>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</si>
  <si>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</si>
  <si>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2025-03-31</t>
  </si>
  <si>
    <t>2025-04-23</t>
  </si>
  <si>
    <t>2025-06-30</t>
  </si>
  <si>
    <t>2025-07-23</t>
  </si>
  <si>
    <t>2025-09-30</t>
  </si>
  <si>
    <t>2025-10-22</t>
  </si>
  <si>
    <t>2025-12-31</t>
  </si>
  <si>
    <t>2026-01-29</t>
  </si>
  <si>
    <t>2026-03-31</t>
  </si>
  <si>
    <t>2026-04-23</t>
  </si>
  <si>
    <t>2026-06-30</t>
  </si>
  <si>
    <t>2026-07-23</t>
  </si>
  <si>
    <t>D. History-derived surprise analysis (columns aligned to model timeline: C-F = 1Q25-4Q25, H-I = 1Q26-2Q26)</t>
  </si>
  <si>
    <t>Period end (CapIQ label)</t>
  </si>
  <si>
    <t>Normalized EPS surprise ($)</t>
  </si>
  <si>
    <t>Full label: Normalized EPS surprise ($/share) = actual - consensus</t>
  </si>
  <si>
    <t>Strict beat (actual &gt; consensus)</t>
  </si>
  <si>
    <t>Normalized EPS surprise (%)</t>
  </si>
  <si>
    <t>GAAP EPS surprise ($/share)</t>
  </si>
  <si>
    <t>Revenue surprise (%)</t>
  </si>
  <si>
    <t>E. Size-aware starting probability (playbook v2) – P(reported normalized EPS &gt; frozen consensus)</t>
  </si>
  <si>
    <t>Market capitalisation ($bn)</t>
  </si>
  <si>
    <t>Share Count tab; cross-check $255.13bn at 2026-10-16 close (S29)</t>
  </si>
  <si>
    <t>Market-cap date / source</t>
  </si>
  <si>
    <t>2026-10-16 close; finhacker.cz &amp; WallStreetZen (S29)</t>
  </si>
  <si>
    <t>Large-cap threshold ($bn)</t>
  </si>
  <si>
    <t>Playbook v2: large includes mega above $10bn</t>
  </si>
  <si>
    <t>Mid-cap lower threshold ($bn)</t>
  </si>
  <si>
    <t>Playbook v2: mid $2-10bn</t>
  </si>
  <si>
    <t>Small-cap lower threshold ($bn)</t>
  </si>
  <si>
    <t>Playbook v2: small $0.3-2bn</t>
  </si>
  <si>
    <t>Size bucket</t>
  </si>
  <si>
    <t>Full label: Size bucket (small $0.3-2bn, mid $2-10bn, large &gt; $10bn)</t>
  </si>
  <si>
    <t>S&amp;P 500 member</t>
  </si>
  <si>
    <t>S30: whichindex.com S&amp;P 500 constituents as of 2026-10-16 (TMO, weight 0.39%)</t>
  </si>
  <si>
    <t>Prior – large cap or S&amp;P 500</t>
  </si>
  <si>
    <t>Playbook v2 cohort prior</t>
  </si>
  <si>
    <t>Prior – mid cap</t>
  </si>
  <si>
    <t>Playbook v2 cohort prior (interpolation)</t>
  </si>
  <si>
    <t>Prior – small cap</t>
  </si>
  <si>
    <t>Cohort prior</t>
  </si>
  <si>
    <t>Full label: Cohort prior (large or S&amp;P 500 rule applied once)</t>
  </si>
  <si>
    <t>b = strict beats (of 6)</t>
  </si>
  <si>
    <t>Full label: b = strict beats in six CapIQ pairs</t>
  </si>
  <si>
    <t>n = valid pairs</t>
  </si>
  <si>
    <t>Full label: n = valid pairs (same normalized basis; none excluded)</t>
  </si>
  <si>
    <t>Pseudo-observation weight</t>
  </si>
  <si>
    <t>Fixed experimental regularisation weight (playbook)</t>
  </si>
  <si>
    <t>Starting p = (8p0 + b)/(8 + n)</t>
  </si>
  <si>
    <t>Full label: Starting probability = (pseudo x prior + b) / (pseudo + n)</t>
  </si>
  <si>
    <t>Evidence adjustment</t>
  </si>
  <si>
    <t>Down: consensus $6.40 already at guide midpoint $6.405; tight dispersion ($0.03 sd); EUR fell into Sep-end; microbiology dilution. Up (limits cut): beat own guide by $0.14/$0.14/$0.31 last 3 qtrs; orders &gt; revenue (Sep-15) | Full label: Quarter-specific evidence adjustment</t>
  </si>
  <si>
    <t>Final P(beat consensus EPS)</t>
  </si>
  <si>
    <t>Avg. EPS surprise ($)</t>
  </si>
  <si>
    <t>Full label: Average normalized surprise, six quarters ($/share)</t>
  </si>
  <si>
    <t>Median EPS surprise ($)</t>
  </si>
  <si>
    <t>Full label: Median normalized surprise ($/share)</t>
  </si>
  <si>
    <t>Smallest EPS surprise ($)</t>
  </si>
  <si>
    <t>Full label: Smallest normalized surprise ($/share)</t>
  </si>
  <si>
    <t>Forecast confidence</t>
  </si>
  <si>
    <t>medium</t>
  </si>
  <si>
    <t>Full label: Forecast confidence (low / medium / high)</t>
  </si>
  <si>
    <t>F. Newer / other consensus observed before cutoff (recorded separately; NOT used for scoring)</t>
  </si>
  <si>
    <t>Zacks (Yahoo, 2026-10-16): EPS</t>
  </si>
  <si>
    <t>Zacks 10-16: revenue ($m)</t>
  </si>
  <si>
    <t>Full label: Zacks (Yahoo, 2026-10-16): revenue ($m)</t>
  </si>
  <si>
    <t>Zacks LSS/AI/SD/LPBS ($m)</t>
  </si>
  <si>
    <t>Zacks 2026-10-16; organic growth consensus 4.2% | Full label: Zacks segment consensus – LSS / AI / SD / LPBS revenue ($m)</t>
  </si>
  <si>
    <t>MarketBeat 10-14: rev. ($m)</t>
  </si>
  <si>
    <t>Full label: MarketBeat (2026-10-14): revenue ($m)</t>
  </si>
  <si>
    <t>Alphastreet EPS low / high</t>
  </si>
  <si>
    <t>22 analysts; revenue range $11.71-12.02bn (matches CapIQ) | Full label: Alphastreet (2026-10-16): EPS range low / high</t>
  </si>
</sst>
</file>

<file path=xl/styles.xml><?xml version="1.0" encoding="utf-8"?>
<styleSheet xmlns="http://schemas.openxmlformats.org/spreadsheetml/2006/main">
  <numFmts count="10">
    <numFmt numFmtId="164" formatCode="#,##0.0_);(#,##0.0);&quot;–&quot;_)"/>
    <numFmt numFmtId="165" formatCode="#,##0_);(#,##0);&quot;–&quot;_)"/>
    <numFmt numFmtId="166" formatCode="0.0%_);(0.0%);&quot;–&quot;_)"/>
    <numFmt numFmtId="167" formatCode="yyyy-mm-dd"/>
    <numFmt numFmtId="168" formatCode="$0.00_);($0.00);&quot;–&quot;_)"/>
    <numFmt numFmtId="169" formatCode="$#,##0.00_);($#,##0.00);&quot;–&quot;_)"/>
    <numFmt numFmtId="170" formatCode="General"/>
    <numFmt numFmtId="171" formatCode="0.0%"/>
    <numFmt numFmtId="172" formatCode="#,##0.00_);(#,##0.00);&quot;–&quot;_)"/>
    <numFmt numFmtId="173" formatCode="0.0%_);(0.0%);0.0%_)"/>
  </numFmts>
  <fonts count="26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0000FF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000000"/>
      <name val="Arial"/>
    </font>
    <font>
      <b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 val="0"/>
      <strike val="0"/>
      <sz val="14"/>
      <color rgb="FF000000"/>
      <name val="Arial"/>
    </font>
    <font>
      <b/>
      <i/>
      <strike val="0"/>
      <sz val="10"/>
      <color rgb="FF006100"/>
      <name val="Arial"/>
    </font>
    <font>
      <b val="0"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006100"/>
      <name val="Arial"/>
      <family val="2"/>
      <scheme val="minor"/>
    </font>
    <font>
      <b val="0"/>
      <i/>
      <strike val="0"/>
      <sz val="10"/>
      <color rgb="FF0000FF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/>
      <strike val="0"/>
      <sz val="10"/>
      <color rgb="FF0061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</patternFill>
    </fill>
    <fill>
      <patternFill patternType="solid">
        <fgColor rgb="FFEAF1FB"/>
      </patternFill>
    </fill>
    <fill>
      <patternFill patternType="solid">
        <fgColor rgb="FFDCE6F2"/>
      </patternFill>
    </fill>
  </fills>
  <borders count="4">
    <border/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23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Border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165" fontId="2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6" fontId="3" fillId="2" borderId="0" xfId="0" applyNumberFormat="1" applyFont="1" applyFill="1" applyAlignment="1" applyProtection="1">
      <alignment horizontal="right" vertical="bottom"/>
      <protection locked="1" hidden="0"/>
    </xf>
    <xf numFmtId="164" fontId="1" fillId="4" borderId="0" xfId="0" applyNumberFormat="1" applyFont="1" applyFill="1" applyAlignment="1" applyProtection="1">
      <alignment horizontal="right" vertical="bottom"/>
      <protection locked="1" hidden="0"/>
    </xf>
    <xf numFmtId="0" fontId="4" fillId="3" borderId="1" xfId="0" applyFont="1" applyFill="1" applyBorder="1" applyAlignment="1" applyProtection="1">
      <alignment horizontal="general" vertical="bottom"/>
      <protection locked="1" hidden="0"/>
    </xf>
    <xf numFmtId="0" fontId="4" fillId="3" borderId="2" xfId="0" applyFont="1" applyFill="1" applyBorder="1" applyAlignment="1" applyProtection="1">
      <alignment horizontal="right" vertical="bottom" wrapText="1"/>
      <protection locked="1" hidden="0"/>
    </xf>
    <xf numFmtId="165" fontId="1" fillId="3" borderId="3" xfId="0" applyNumberFormat="1" applyFont="1" applyFill="1" applyBorder="1" applyAlignment="1" applyProtection="1">
      <alignment horizontal="right" vertical="bottom"/>
      <protection locked="1" hidden="0"/>
    </xf>
    <xf numFmtId="164" fontId="5" fillId="2" borderId="1" xfId="0" applyNumberFormat="1" applyFont="1" applyFill="1" applyBorder="1" applyAlignment="1" applyProtection="1">
      <alignment horizontal="right" vertical="bottom"/>
      <protection locked="1" hidden="0"/>
    </xf>
    <xf numFmtId="0" fontId="6" fillId="2" borderId="0" xfId="0" applyFont="1" applyFill="1" applyAlignment="1" applyProtection="1">
      <alignment horizontal="general" vertical="bottom"/>
      <protection locked="1" hidden="0"/>
    </xf>
    <xf numFmtId="167" fontId="7" fillId="3" borderId="0" xfId="0" applyNumberFormat="1" applyFont="1" applyFill="1" applyAlignment="1" applyProtection="1">
      <alignment horizontal="right" vertical="bottom"/>
      <protection locked="1" hidden="0"/>
    </xf>
    <xf numFmtId="164" fontId="1" fillId="2" borderId="1" xfId="0" applyNumberFormat="1" applyFont="1" applyFill="1" applyBorder="1" applyAlignment="1" applyProtection="1">
      <alignment horizontal="general" vertical="bottom"/>
      <protection locked="1" hidden="0"/>
    </xf>
    <xf numFmtId="0" fontId="4" fillId="3" borderId="1" xfId="0" applyFont="1" applyFill="1" applyBorder="1" applyAlignment="1" applyProtection="1">
      <alignment horizontal="right" vertical="bottom"/>
      <protection locked="1" hidden="0"/>
    </xf>
    <xf numFmtId="168" fontId="1" fillId="2" borderId="0" xfId="0" applyNumberFormat="1" applyFont="1" applyFill="1" applyAlignment="1" applyProtection="1">
      <alignment horizontal="right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0" fontId="8" fillId="2" borderId="0" xfId="0" applyFont="1" applyFill="1" applyAlignment="1" applyProtection="1">
      <alignment horizontal="general" vertical="bottom"/>
      <protection locked="1" hidden="0"/>
    </xf>
    <xf numFmtId="164" fontId="1" fillId="4" borderId="1" xfId="0" applyNumberFormat="1" applyFont="1" applyFill="1" applyBorder="1" applyAlignment="1" applyProtection="1">
      <alignment horizontal="right" vertical="bottom"/>
      <protection locked="1" hidden="0"/>
    </xf>
    <xf numFmtId="164" fontId="9" fillId="2" borderId="0" xfId="0" applyNumberFormat="1" applyFont="1" applyFill="1" applyAlignment="1" applyProtection="1">
      <alignment horizontal="right" vertical="bottom"/>
      <protection locked="1" hidden="0"/>
    </xf>
    <xf numFmtId="165" fontId="7" fillId="3" borderId="3" xfId="0" applyNumberFormat="1" applyFont="1" applyFill="1" applyBorder="1" applyAlignment="1" applyProtection="1">
      <alignment horizontal="right" vertical="bottom"/>
      <protection locked="1" hidden="0"/>
    </xf>
    <xf numFmtId="164" fontId="7" fillId="2" borderId="0" xfId="0" applyNumberFormat="1" applyFont="1" applyFill="1" applyAlignment="1" applyProtection="1">
      <alignment horizontal="right" vertical="bottom"/>
      <protection locked="1" hidden="0"/>
    </xf>
    <xf numFmtId="0" fontId="4" fillId="3" borderId="2" xfId="0" applyFont="1" applyFill="1" applyBorder="1" applyAlignment="1" applyProtection="1">
      <alignment horizontal="general" vertical="bottom"/>
      <protection locked="1" hidden="0"/>
    </xf>
    <xf numFmtId="0" fontId="7" fillId="2" borderId="0" xfId="0" applyFont="1" applyFill="1" applyAlignment="1" applyProtection="1">
      <alignment horizontal="right" vertical="bottom"/>
      <protection locked="1" hidden="0"/>
    </xf>
    <xf numFmtId="0" fontId="9" fillId="2" borderId="0" xfId="0" applyFont="1" applyFill="1" applyAlignment="1" applyProtection="1">
      <alignment horizontal="general" vertical="bottom"/>
      <protection locked="1" hidden="0"/>
    </xf>
    <xf numFmtId="169" fontId="7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3" xfId="0" applyFont="1" applyFill="1" applyBorder="1" applyAlignment="1" applyProtection="1">
      <alignment horizontal="general" vertical="bottom"/>
      <protection locked="1" hidden="0"/>
    </xf>
    <xf numFmtId="167" fontId="7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166" fontId="9" fillId="2" borderId="0" xfId="0" applyNumberFormat="1" applyFont="1" applyFill="1" applyAlignment="1" applyProtection="1">
      <alignment horizontal="right" vertical="bottom"/>
      <protection locked="1" hidden="0"/>
    </xf>
    <xf numFmtId="168" fontId="7" fillId="2" borderId="0" xfId="0" applyNumberFormat="1" applyFont="1" applyFill="1" applyAlignment="1" applyProtection="1">
      <alignment horizontal="right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0" fontId="10" fillId="2" borderId="1" xfId="0" applyFont="1" applyFill="1" applyBorder="1" applyAlignment="1" applyProtection="1">
      <alignment horizontal="general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165" fontId="1" fillId="5" borderId="3" xfId="0" applyNumberFormat="1" applyFont="1" applyFill="1" applyBorder="1" applyAlignment="1" applyProtection="1">
      <alignment horizontal="right" vertical="bottom"/>
      <protection locked="1" hidden="0"/>
    </xf>
    <xf numFmtId="166" fontId="1" fillId="2" borderId="0" xfId="0" applyNumberFormat="1" applyFont="1" applyFill="1" applyAlignment="1" applyProtection="1">
      <alignment horizontal="right" vertical="bottom"/>
      <protection locked="1" hidden="0"/>
    </xf>
    <xf numFmtId="170" fontId="11" fillId="2" borderId="1" xfId="0" applyNumberFormat="1" applyFont="1" applyFill="1" applyBorder="1" applyAlignment="1" applyProtection="1">
      <alignment horizontal="right" vertical="bottom"/>
      <protection locked="1" hidden="0"/>
    </xf>
    <xf numFmtId="168" fontId="2" fillId="2" borderId="0" xfId="0" applyNumberFormat="1" applyFont="1" applyFill="1" applyAlignment="1" applyProtection="1">
      <alignment horizontal="right" vertical="bottom"/>
      <protection locked="1" hidden="0"/>
    </xf>
    <xf numFmtId="170" fontId="1" fillId="2" borderId="0" xfId="0" applyNumberFormat="1" applyFont="1" applyFill="1" applyAlignment="1" applyProtection="1">
      <alignment horizontal="right" vertical="bottom"/>
      <protection locked="1" hidden="0"/>
    </xf>
    <xf numFmtId="166" fontId="12" fillId="2" borderId="0" xfId="0" applyNumberFormat="1" applyFont="1" applyFill="1" applyAlignment="1" applyProtection="1">
      <alignment horizontal="right" vertical="bottom"/>
      <protection locked="1" hidden="0"/>
    </xf>
    <xf numFmtId="0" fontId="4" fillId="3" borderId="2" xfId="0" applyFont="1" applyFill="1" applyBorder="1" applyAlignment="1" applyProtection="1">
      <alignment horizontal="right" vertical="bottom"/>
      <protection locked="1" hidden="0"/>
    </xf>
    <xf numFmtId="0" fontId="4" fillId="5" borderId="1" xfId="0" applyFont="1" applyFill="1" applyBorder="1" applyAlignment="1" applyProtection="1">
      <alignment horizontal="right" vertical="bottom"/>
      <protection locked="1" hidden="0"/>
    </xf>
    <xf numFmtId="0" fontId="11" fillId="2" borderId="1" xfId="0" applyFont="1" applyFill="1" applyBorder="1" applyAlignment="1" applyProtection="1">
      <alignment horizontal="right" vertical="bottom"/>
      <protection locked="1" hidden="0"/>
    </xf>
    <xf numFmtId="167" fontId="7" fillId="5" borderId="0" xfId="0" applyNumberFormat="1" applyFont="1" applyFill="1" applyAlignment="1" applyProtection="1">
      <alignment horizontal="right" vertical="bottom"/>
      <protection locked="1" hidden="0"/>
    </xf>
    <xf numFmtId="164" fontId="11" fillId="2" borderId="0" xfId="0" applyNumberFormat="1" applyFont="1" applyFill="1" applyAlignment="1" applyProtection="1">
      <alignment horizontal="right" vertical="bottom"/>
      <protection locked="1" hidden="0"/>
    </xf>
    <xf numFmtId="0" fontId="13" fillId="2" borderId="0" xfId="0" applyFont="1" applyFill="1" applyAlignment="1" applyProtection="1">
      <alignment horizontal="general" vertical="bottom"/>
      <protection locked="1" hidden="0"/>
    </xf>
    <xf numFmtId="0" fontId="4" fillId="2" borderId="1" xfId="0" applyFont="1" applyFill="1" applyBorder="1" applyAlignment="1" applyProtection="1">
      <alignment horizontal="general" vertical="bottom"/>
      <protection locked="1" hidden="0"/>
    </xf>
    <xf numFmtId="168" fontId="11" fillId="2" borderId="0" xfId="0" applyNumberFormat="1" applyFont="1" applyFill="1" applyAlignment="1" applyProtection="1">
      <alignment horizontal="right" vertical="bottom"/>
      <protection locked="1" hidden="0"/>
    </xf>
    <xf numFmtId="164" fontId="2" fillId="4" borderId="0" xfId="0" applyNumberFormat="1" applyFont="1" applyFill="1" applyAlignment="1" applyProtection="1">
      <alignment horizontal="right" vertical="bottom"/>
      <protection locked="1" hidden="0"/>
    </xf>
    <xf numFmtId="169" fontId="7" fillId="4" borderId="0" xfId="0" applyNumberFormat="1" applyFont="1" applyFill="1" applyAlignment="1" applyProtection="1">
      <alignment horizontal="right" vertical="bottom"/>
      <protection locked="1" hidden="0"/>
    </xf>
    <xf numFmtId="170" fontId="2" fillId="2" borderId="0" xfId="0" applyNumberFormat="1" applyFont="1" applyFill="1" applyAlignment="1" applyProtection="1">
      <alignment horizontal="right" vertical="bottom"/>
      <protection locked="1" hidden="0"/>
    </xf>
    <xf numFmtId="164" fontId="4" fillId="4" borderId="1" xfId="0" applyNumberFormat="1" applyFont="1" applyFill="1" applyBorder="1" applyAlignment="1" applyProtection="1">
      <alignment horizontal="right" vertical="bottom"/>
      <protection locked="1" hidden="0"/>
    </xf>
    <xf numFmtId="164" fontId="1" fillId="4" borderId="0" xfId="0" applyNumberFormat="1" applyFont="1" applyFill="1" applyAlignment="1" applyProtection="1">
      <alignment horizontal="general" vertical="bottom"/>
      <protection locked="1" hidden="0"/>
    </xf>
    <xf numFmtId="164" fontId="4" fillId="2" borderId="1" xfId="0" applyNumberFormat="1" applyFont="1" applyFill="1" applyBorder="1" applyAlignment="1" applyProtection="1">
      <alignment horizontal="right" vertical="bottom"/>
      <protection locked="1" hidden="0"/>
    </xf>
    <xf numFmtId="168" fontId="1" fillId="4" borderId="0" xfId="0" applyNumberFormat="1" applyFont="1" applyFill="1" applyAlignment="1" applyProtection="1">
      <alignment horizontal="right" vertical="bottom"/>
      <protection locked="1" hidden="0"/>
    </xf>
    <xf numFmtId="164" fontId="7" fillId="4" borderId="0" xfId="0" applyNumberFormat="1" applyFont="1" applyFill="1" applyAlignment="1" applyProtection="1">
      <alignment horizontal="right" vertical="bottom"/>
      <protection locked="1" hidden="0"/>
    </xf>
    <xf numFmtId="164" fontId="12" fillId="2" borderId="0" xfId="0" applyNumberFormat="1" applyFont="1" applyFill="1" applyAlignment="1" applyProtection="1">
      <alignment horizontal="right" vertical="bottom"/>
      <protection locked="1" hidden="0"/>
    </xf>
    <xf numFmtId="171" fontId="14" fillId="2" borderId="1" xfId="0" applyNumberFormat="1" applyFont="1" applyFill="1" applyBorder="1" applyAlignment="1" applyProtection="1">
      <alignment horizontal="right" vertical="bottom"/>
      <protection locked="1" hidden="0"/>
    </xf>
    <xf numFmtId="164" fontId="9" fillId="4" borderId="0" xfId="0" applyNumberFormat="1" applyFont="1" applyFill="1" applyAlignment="1" applyProtection="1">
      <alignment horizontal="right" vertical="bottom"/>
      <protection locked="1" hidden="0"/>
    </xf>
    <xf numFmtId="169" fontId="2" fillId="4" borderId="0" xfId="0" applyNumberFormat="1" applyFont="1" applyFill="1" applyAlignment="1" applyProtection="1">
      <alignment horizontal="right" vertical="bottom"/>
      <protection locked="1" hidden="0"/>
    </xf>
    <xf numFmtId="0" fontId="4" fillId="2" borderId="0" xfId="0" applyFont="1" applyFill="1" applyBorder="1" applyAlignment="1" applyProtection="1">
      <alignment horizontal="general" vertical="bottom"/>
      <protection locked="1" hidden="0"/>
    </xf>
    <xf numFmtId="166" fontId="9" fillId="4" borderId="0" xfId="0" applyNumberFormat="1" applyFont="1" applyFill="1" applyAlignment="1" applyProtection="1">
      <alignment horizontal="right" vertical="bottom"/>
      <protection locked="1" hidden="0"/>
    </xf>
    <xf numFmtId="168" fontId="7" fillId="4" borderId="0" xfId="0" applyNumberFormat="1" applyFont="1" applyFill="1" applyAlignment="1" applyProtection="1">
      <alignment horizontal="right" vertical="bottom"/>
      <protection locked="1" hidden="0"/>
    </xf>
    <xf numFmtId="165" fontId="12" fillId="2" borderId="0" xfId="0" applyNumberFormat="1" applyFont="1" applyFill="1" applyAlignment="1" applyProtection="1">
      <alignment horizontal="right" vertical="bottom"/>
      <protection locked="1" hidden="0"/>
    </xf>
    <xf numFmtId="164" fontId="3" fillId="2" borderId="0" xfId="0" applyNumberFormat="1" applyFont="1" applyFill="1" applyAlignment="1" applyProtection="1">
      <alignment horizontal="right" vertical="bottom"/>
      <protection locked="1" hidden="0"/>
    </xf>
    <xf numFmtId="172" fontId="7" fillId="2" borderId="0" xfId="0" applyNumberFormat="1" applyFont="1" applyFill="1" applyAlignment="1" applyProtection="1">
      <alignment horizontal="right" vertical="bottom"/>
      <protection locked="1" hidden="0"/>
    </xf>
    <xf numFmtId="170" fontId="1" fillId="4" borderId="0" xfId="0" applyNumberFormat="1" applyFont="1" applyFill="1" applyAlignment="1" applyProtection="1">
      <alignment horizontal="general" vertical="bottom"/>
      <protection locked="1" hidden="0"/>
    </xf>
    <xf numFmtId="165" fontId="9" fillId="4" borderId="0" xfId="0" applyNumberFormat="1" applyFont="1" applyFill="1" applyAlignment="1" applyProtection="1">
      <alignment horizontal="right" vertical="bottom"/>
      <protection locked="1" hidden="0"/>
    </xf>
    <xf numFmtId="165" fontId="9" fillId="2" borderId="0" xfId="0" applyNumberFormat="1" applyFont="1" applyFill="1" applyAlignment="1" applyProtection="1">
      <alignment horizontal="right" vertical="bottom"/>
      <protection locked="1" hidden="0"/>
    </xf>
    <xf numFmtId="170" fontId="7" fillId="2" borderId="0" xfId="0" applyNumberFormat="1" applyFont="1" applyFill="1" applyAlignment="1" applyProtection="1">
      <alignment horizontal="right" vertical="bottom"/>
      <protection locked="1" hidden="0"/>
    </xf>
    <xf numFmtId="166" fontId="1" fillId="2" borderId="1" xfId="0" applyNumberFormat="1" applyFont="1" applyFill="1" applyBorder="1" applyAlignment="1" applyProtection="1">
      <alignment horizontal="general" vertical="bottom"/>
      <protection locked="1" hidden="0"/>
    </xf>
    <xf numFmtId="166" fontId="12" fillId="4" borderId="0" xfId="0" applyNumberFormat="1" applyFont="1" applyFill="1" applyAlignment="1" applyProtection="1">
      <alignment horizontal="right" vertical="bottom"/>
      <protection locked="1" hidden="0"/>
    </xf>
    <xf numFmtId="170" fontId="7" fillId="2" borderId="0" xfId="0" applyNumberFormat="1" applyFont="1" applyFill="1" applyAlignment="1" applyProtection="1">
      <alignment horizontal="left" vertical="bottom"/>
      <protection locked="1" hidden="0"/>
    </xf>
    <xf numFmtId="164" fontId="12" fillId="4" borderId="0" xfId="0" applyNumberFormat="1" applyFont="1" applyFill="1" applyAlignment="1" applyProtection="1">
      <alignment horizontal="right" vertical="bottom"/>
      <protection locked="1" hidden="0"/>
    </xf>
    <xf numFmtId="170" fontId="1" fillId="4" borderId="0" xfId="0" applyNumberFormat="1" applyFont="1" applyFill="1" applyAlignment="1" applyProtection="1">
      <alignment horizontal="right" vertical="bottom"/>
      <protection locked="1" hidden="0"/>
    </xf>
    <xf numFmtId="166" fontId="3" fillId="4" borderId="0" xfId="0" applyNumberFormat="1" applyFont="1" applyFill="1" applyAlignment="1" applyProtection="1">
      <alignment horizontal="right" vertical="bottom"/>
      <protection locked="1" hidden="0"/>
    </xf>
    <xf numFmtId="164" fontId="3" fillId="4" borderId="0" xfId="0" applyNumberFormat="1" applyFont="1" applyFill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general" vertical="bottom"/>
      <protection locked="1" hidden="0"/>
    </xf>
    <xf numFmtId="0" fontId="4" fillId="3" borderId="0" xfId="0" applyFont="1" applyFill="1" applyAlignment="1" applyProtection="1">
      <alignment horizontal="right" vertical="bottom" wrapText="1"/>
      <protection locked="1" hidden="0"/>
    </xf>
    <xf numFmtId="0" fontId="10" fillId="2" borderId="0" xfId="0" applyFont="1" applyFill="1" applyAlignment="1" applyProtection="1">
      <alignment horizontal="general" vertical="bottom"/>
      <protection locked="1" hidden="0"/>
    </xf>
    <xf numFmtId="164" fontId="4" fillId="4" borderId="1" xfId="0" applyNumberFormat="1" applyFont="1" applyFill="1" applyBorder="1" applyAlignment="1" applyProtection="1">
      <alignment horizontal="general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0" fontId="4" fillId="3" borderId="0" xfId="0" applyFont="1" applyFill="1" applyAlignment="1" applyProtection="1">
      <alignment horizontal="general" vertical="bottom" wrapText="1"/>
      <protection locked="1" hidden="0"/>
    </xf>
    <xf numFmtId="170" fontId="2" fillId="4" borderId="0" xfId="0" applyNumberFormat="1" applyFont="1" applyFill="1" applyAlignment="1" applyProtection="1">
      <alignment horizontal="right" vertical="bottom"/>
      <protection locked="1" hidden="0"/>
    </xf>
    <xf numFmtId="164" fontId="11" fillId="4" borderId="1" xfId="0" applyNumberFormat="1" applyFont="1" applyFill="1" applyBorder="1" applyAlignment="1" applyProtection="1">
      <alignment horizontal="right" vertical="bottom"/>
      <protection locked="1" hidden="0"/>
    </xf>
    <xf numFmtId="168" fontId="4" fillId="2" borderId="1" xfId="0" applyNumberFormat="1" applyFont="1" applyFill="1" applyBorder="1" applyAlignment="1" applyProtection="1">
      <alignment horizontal="right" vertical="bottom"/>
      <protection locked="1" hidden="0"/>
    </xf>
    <xf numFmtId="168" fontId="9" fillId="2" borderId="0" xfId="0" applyNumberFormat="1" applyFont="1" applyFill="1" applyAlignment="1" applyProtection="1">
      <alignment horizontal="right" vertical="bottom"/>
      <protection locked="1" hidden="0"/>
    </xf>
    <xf numFmtId="164" fontId="11" fillId="2" borderId="1" xfId="0" applyNumberFormat="1" applyFont="1" applyFill="1" applyBorder="1" applyAlignment="1" applyProtection="1">
      <alignment horizontal="right" vertical="bottom"/>
      <protection locked="1" hidden="0"/>
    </xf>
    <xf numFmtId="168" fontId="1" fillId="4" borderId="0" xfId="0" applyNumberFormat="1" applyFont="1" applyFill="1" applyAlignment="1" applyProtection="1">
      <alignment horizontal="general" vertical="bottom"/>
      <protection locked="1" hidden="0"/>
    </xf>
    <xf numFmtId="168" fontId="2" fillId="4" borderId="0" xfId="0" applyNumberFormat="1" applyFont="1" applyFill="1" applyAlignment="1" applyProtection="1">
      <alignment horizontal="right" vertical="bottom"/>
      <protection locked="1" hidden="0"/>
    </xf>
    <xf numFmtId="168" fontId="5" fillId="2" borderId="1" xfId="0" applyNumberFormat="1" applyFont="1" applyFill="1" applyBorder="1" applyAlignment="1" applyProtection="1">
      <alignment horizontal="right" vertical="bottom"/>
      <protection locked="1" hidden="0"/>
    </xf>
    <xf numFmtId="165" fontId="7" fillId="2" borderId="0" xfId="0" applyNumberFormat="1" applyFont="1" applyFill="1" applyAlignment="1" applyProtection="1">
      <alignment horizontal="right" vertical="bottom"/>
      <protection locked="1" hidden="0"/>
    </xf>
    <xf numFmtId="0" fontId="10" fillId="2" borderId="0" xfId="0" applyFont="1" applyFill="1" applyBorder="1" applyAlignment="1" applyProtection="1">
      <alignment horizontal="general" vertical="bottom"/>
      <protection locked="1" hidden="0"/>
    </xf>
    <xf numFmtId="165" fontId="1" fillId="4" borderId="0" xfId="0" applyNumberFormat="1" applyFont="1" applyFill="1" applyAlignment="1" applyProtection="1">
      <alignment horizontal="right" vertical="bottom"/>
      <protection locked="1" hidden="0"/>
    </xf>
    <xf numFmtId="167" fontId="7" fillId="4" borderId="0" xfId="0" applyNumberFormat="1" applyFont="1" applyFill="1" applyAlignment="1" applyProtection="1">
      <alignment horizontal="right" vertical="bottom"/>
      <protection locked="1" hidden="0"/>
    </xf>
    <xf numFmtId="168" fontId="4" fillId="4" borderId="1" xfId="0" applyNumberFormat="1" applyFont="1" applyFill="1" applyBorder="1" applyAlignment="1" applyProtection="1">
      <alignment horizontal="right" vertical="bottom"/>
      <protection locked="1" hidden="0"/>
    </xf>
    <xf numFmtId="168" fontId="9" fillId="4" borderId="0" xfId="0" applyNumberFormat="1" applyFont="1" applyFill="1" applyAlignment="1" applyProtection="1">
      <alignment horizontal="right" vertical="bottom"/>
      <protection locked="1" hidden="0"/>
    </xf>
    <xf numFmtId="166" fontId="10" fillId="2" borderId="1" xfId="0" applyNumberFormat="1" applyFont="1" applyFill="1" applyBorder="1" applyAlignment="1" applyProtection="1">
      <alignment horizontal="right" vertical="bottom"/>
      <protection locked="1" hidden="0"/>
    </xf>
    <xf numFmtId="164" fontId="9" fillId="4" borderId="0" xfId="0" applyNumberFormat="1" applyFont="1" applyFill="1" applyAlignment="1" applyProtection="1">
      <alignment horizontal="general" vertical="bottom"/>
      <protection locked="1" hidden="0"/>
    </xf>
    <xf numFmtId="165" fontId="3" fillId="4" borderId="0" xfId="0" applyNumberFormat="1" applyFont="1" applyFill="1" applyAlignment="1" applyProtection="1">
      <alignment horizontal="right" vertical="bottom"/>
      <protection locked="1" hidden="0"/>
    </xf>
    <xf numFmtId="165" fontId="3" fillId="2" borderId="0" xfId="0" applyNumberFormat="1" applyFont="1" applyFill="1" applyAlignment="1" applyProtection="1">
      <alignment horizontal="right" vertical="bottom"/>
      <protection locked="1" hidden="0"/>
    </xf>
    <xf numFmtId="173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6" fillId="3" borderId="0" xfId="0" applyNumberFormat="1" applyFont="1" applyFill="1" applyAlignment="1" applyProtection="1">
      <alignment horizontal="general" vertical="bottom"/>
      <protection locked="1" hidden="0"/>
    </xf>
    <xf numFmtId="170" fontId="16" fillId="0" borderId="0" xfId="0" applyNumberFormat="1" applyFont="1" applyFill="1" applyAlignment="1" applyProtection="1">
      <alignment horizontal="general" vertical="bottom"/>
      <protection locked="1" hidden="0"/>
    </xf>
    <xf numFmtId="173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6" fillId="3" borderId="3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3" fontId="15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9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3" fontId="18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7" fillId="4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6" fillId="0" borderId="1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73" fontId="20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2" fillId="0" borderId="1" xfId="0" applyNumberFormat="1" applyFont="1" applyFill="1" applyBorder="1" applyAlignment="1" applyProtection="1">
      <alignment horizontal="general" vertical="bottom" textRotation="0" wrapText="1" indent="0" readingOrder="0"/>
      <protection locked="1" hidden="0"/>
    </xf>
    <xf numFmtId="170" fontId="23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70" fontId="2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0" fontId="23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0" fontId="24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3" fontId="2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28575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vmlDrawing" Target="../drawings/vmlDrawing14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showGridLines="0" tabSelected="1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 ht="49.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1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3</v>
      </c>
      <c r="C5" s="104"/>
      <c r="D5" s="104"/>
      <c r="E5" s="104"/>
      <c r="F5" s="104"/>
      <c r="G5" s="104"/>
      <c r="H5" s="104"/>
      <c r="I5" s="104"/>
      <c r="J5" s="104"/>
      <c r="K5" s="9" t="s">
        <v>4</v>
      </c>
    </row>
    <row r="6">
      <c r="A6" s="1"/>
      <c r="B6" s="105"/>
      <c r="C6" s="105"/>
      <c r="D6" s="105"/>
      <c r="E6" s="105"/>
      <c r="F6" s="105"/>
      <c r="G6" s="105"/>
      <c r="H6" s="105"/>
      <c r="I6" s="105"/>
      <c r="J6" s="105"/>
      <c r="K6" s="105"/>
    </row>
    <row r="7">
      <c r="A7" s="1"/>
      <c r="B7" s="105"/>
      <c r="C7" s="105"/>
      <c r="D7" s="105"/>
      <c r="E7" s="105"/>
      <c r="F7" s="105"/>
      <c r="G7" s="105"/>
      <c r="H7" s="105"/>
      <c r="I7" s="105"/>
      <c r="J7" s="105"/>
      <c r="K7" s="107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47" t="s">
        <v>5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2" t="s">
        <v>6</v>
      </c>
      <c r="C11" s="2" t="s">
        <v>7</v>
      </c>
      <c r="D11" s="1"/>
      <c r="E11" s="1"/>
      <c r="F11" s="1"/>
      <c r="G11" s="1"/>
      <c r="H11" s="1"/>
      <c r="I11" s="1"/>
      <c r="J11" s="1"/>
      <c r="K11" s="1"/>
    </row>
    <row r="12">
      <c r="A12" s="1"/>
      <c r="B12" s="2" t="s">
        <v>8</v>
      </c>
      <c r="C12" s="2" t="s">
        <v>9</v>
      </c>
      <c r="D12" s="1"/>
      <c r="E12" s="1"/>
      <c r="F12" s="1"/>
      <c r="G12" s="1"/>
      <c r="H12" s="1"/>
      <c r="I12" s="1"/>
      <c r="J12" s="1"/>
      <c r="K12" s="1"/>
    </row>
    <row r="13">
      <c r="A13" s="1"/>
      <c r="B13" s="2" t="s">
        <v>10</v>
      </c>
      <c r="C13" s="2" t="s">
        <v>11</v>
      </c>
      <c r="D13" s="1"/>
      <c r="E13" s="1"/>
      <c r="F13" s="1"/>
      <c r="G13" s="1"/>
      <c r="H13" s="1"/>
      <c r="I13" s="1"/>
      <c r="J13" s="1"/>
      <c r="K13" s="1"/>
    </row>
    <row r="14">
      <c r="A14" s="1"/>
      <c r="B14" s="2" t="s">
        <v>12</v>
      </c>
      <c r="C14" s="2" t="s">
        <v>13</v>
      </c>
      <c r="D14" s="1"/>
      <c r="E14" s="1"/>
      <c r="F14" s="1"/>
      <c r="G14" s="1"/>
      <c r="H14" s="1"/>
      <c r="I14" s="1"/>
      <c r="J14" s="1"/>
      <c r="K14" s="1"/>
    </row>
    <row r="15">
      <c r="A15" s="1"/>
      <c r="B15" s="2" t="s">
        <v>14</v>
      </c>
      <c r="C15" s="2" t="s">
        <v>15</v>
      </c>
      <c r="D15" s="1"/>
      <c r="E15" s="1"/>
      <c r="F15" s="1"/>
      <c r="G15" s="1"/>
      <c r="H15" s="1"/>
      <c r="I15" s="1"/>
      <c r="J15" s="1"/>
      <c r="K15" s="1"/>
    </row>
    <row r="16">
      <c r="A16" s="1"/>
      <c r="B16" s="2" t="s">
        <v>16</v>
      </c>
      <c r="C16" s="2" t="s">
        <v>17</v>
      </c>
      <c r="D16" s="1"/>
      <c r="E16" s="1"/>
      <c r="F16" s="1"/>
      <c r="G16" s="1"/>
      <c r="H16" s="1"/>
      <c r="I16" s="1"/>
      <c r="J16" s="1"/>
      <c r="K16" s="1"/>
    </row>
    <row r="17">
      <c r="A17" s="1"/>
      <c r="B17" s="2" t="s">
        <v>18</v>
      </c>
      <c r="C17" s="2" t="s">
        <v>19</v>
      </c>
      <c r="D17" s="1"/>
      <c r="E17" s="1"/>
      <c r="F17" s="1"/>
      <c r="G17" s="1"/>
      <c r="H17" s="1"/>
      <c r="I17" s="1"/>
      <c r="J17" s="1"/>
      <c r="K17" s="1"/>
    </row>
    <row r="18">
      <c r="A18" s="1"/>
      <c r="B18" s="2" t="s">
        <v>20</v>
      </c>
      <c r="C18" s="2" t="s">
        <v>21</v>
      </c>
      <c r="D18" s="1"/>
      <c r="E18" s="1"/>
      <c r="F18" s="1"/>
      <c r="G18" s="1"/>
      <c r="H18" s="1"/>
      <c r="I18" s="1"/>
      <c r="J18" s="1"/>
      <c r="K18" s="1"/>
    </row>
    <row r="19">
      <c r="A19" s="1"/>
      <c r="B19" s="2" t="s">
        <v>22</v>
      </c>
      <c r="C19" s="2" t="s">
        <v>23</v>
      </c>
      <c r="D19" s="1"/>
      <c r="E19" s="1"/>
      <c r="F19" s="1"/>
      <c r="G19" s="1"/>
      <c r="H19" s="1"/>
      <c r="I19" s="1"/>
      <c r="J19" s="1"/>
      <c r="K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>
      <c r="A21" s="1"/>
      <c r="B21" s="13" t="s">
        <v>24</v>
      </c>
      <c r="C21" s="1"/>
      <c r="D21" s="1"/>
      <c r="E21" s="1"/>
      <c r="F21" s="1"/>
      <c r="G21" s="1"/>
      <c r="H21" s="1"/>
      <c r="I21" s="1"/>
      <c r="J21" s="1"/>
      <c r="K21" s="1"/>
    </row>
    <row r="22" ht="36">
      <c r="A22" s="1"/>
      <c r="B22" s="24" t="s">
        <v>25</v>
      </c>
      <c r="C22" s="10" t="s">
        <v>26</v>
      </c>
      <c r="D22" s="10" t="s">
        <v>27</v>
      </c>
      <c r="E22" s="10" t="s">
        <v>28</v>
      </c>
      <c r="F22" s="10" t="s">
        <v>29</v>
      </c>
      <c r="G22" s="10" t="s">
        <v>30</v>
      </c>
      <c r="H22" s="10" t="s">
        <v>31</v>
      </c>
      <c r="I22" s="10" t="s">
        <v>32</v>
      </c>
      <c r="J22" s="1"/>
      <c r="K22" s="1"/>
    </row>
    <row r="23">
      <c r="A23" s="1"/>
      <c r="B23" s="1" t="s">
        <v>33</v>
      </c>
      <c r="C23" s="46">
        <f>'Income Statement'!J10</f>
        <v>11965.85797252747</v>
      </c>
      <c r="D23" s="18">
        <f>Inputs!C63</f>
        <v>11933.7</v>
      </c>
      <c r="E23" s="3">
        <f>C23-D23</f>
        <v>32.15797252746961</v>
      </c>
      <c r="F23" s="103">
        <f>C23/D23-1</f>
        <v>0.002694719368466547</v>
      </c>
      <c r="G23" s="25" t="s">
        <v>34</v>
      </c>
      <c r="H23" s="25" t="s">
        <v>34</v>
      </c>
      <c r="I23" s="5">
        <f>Inputs!C68</f>
        <v>20</v>
      </c>
      <c r="J23" s="1"/>
      <c r="K23" s="1" t="s">
        <v>35</v>
      </c>
    </row>
    <row r="24">
      <c r="A24" s="1"/>
      <c r="B24" s="1" t="s">
        <v>36</v>
      </c>
      <c r="C24" s="46">
        <f>'Income Statement'!J113</f>
        <v>2384.8550460325573</v>
      </c>
      <c r="D24" s="18">
        <f>Inputs!C76</f>
        <v>2375.43</v>
      </c>
      <c r="E24" s="3">
        <f>C24-D24</f>
        <v>9.425046032557475</v>
      </c>
      <c r="F24" s="103">
        <f>C24/D24-1</f>
        <v>0.0039677220682392544</v>
      </c>
      <c r="G24" s="25" t="s">
        <v>34</v>
      </c>
      <c r="H24" s="25" t="s">
        <v>34</v>
      </c>
      <c r="I24" s="1"/>
      <c r="J24" s="1"/>
      <c r="K24" s="1"/>
    </row>
    <row r="25">
      <c r="A25" s="1"/>
      <c r="B25" s="1" t="s">
        <v>37</v>
      </c>
      <c r="C25" s="49">
        <f>'Income Statement'!J118</f>
        <v>6.436034309619953</v>
      </c>
      <c r="D25" s="39">
        <f>Inputs!C45</f>
        <v>6.4</v>
      </c>
      <c r="E25" s="17">
        <f>C25-D25</f>
        <v>0.03603430961995269</v>
      </c>
      <c r="F25" s="103">
        <f>C25/D25-1</f>
        <v>0.005630360878117635</v>
      </c>
      <c r="G25" s="39">
        <f>Guidance!H29</f>
        <v>6.405</v>
      </c>
      <c r="H25" s="17">
        <f>C25-G25</f>
        <v>0.031034309619952793</v>
      </c>
      <c r="I25" s="5">
        <f>Inputs!C50</f>
        <v>22</v>
      </c>
      <c r="J25" s="1"/>
      <c r="K25" s="1" t="s">
        <v>38</v>
      </c>
    </row>
    <row r="26">
      <c r="A26" s="1"/>
      <c r="B26" s="1" t="s">
        <v>39</v>
      </c>
      <c r="C26" s="46">
        <f>'Income Statement'!J70</f>
        <v>2033.575046032557</v>
      </c>
      <c r="D26" s="18">
        <f>Inputs!C77</f>
        <v>1870.35</v>
      </c>
      <c r="E26" s="3">
        <f>C26-D26</f>
        <v>163.2250460325572</v>
      </c>
      <c r="F26" s="103">
        <f>C26/D26-1</f>
        <v>0.08726978695568066</v>
      </c>
      <c r="G26" s="25" t="s">
        <v>34</v>
      </c>
      <c r="H26" s="25" t="s">
        <v>34</v>
      </c>
      <c r="I26" s="1"/>
      <c r="J26" s="1"/>
      <c r="K26" s="1"/>
    </row>
    <row r="27">
      <c r="A27" s="1"/>
      <c r="B27" s="1" t="s">
        <v>40</v>
      </c>
      <c r="C27" s="49">
        <f>'Income Statement'!J79</f>
        <v>5.488031144377501</v>
      </c>
      <c r="D27" s="39">
        <f>Inputs!C54</f>
        <v>5.03</v>
      </c>
      <c r="E27" s="17">
        <f>C27-D27</f>
        <v>0.45803114437750114</v>
      </c>
      <c r="F27" s="103">
        <f>C27/D27-1</f>
        <v>0.09105986965755486</v>
      </c>
      <c r="G27" s="25" t="s">
        <v>34</v>
      </c>
      <c r="H27" s="25" t="s">
        <v>34</v>
      </c>
      <c r="I27" s="5">
        <f>Inputs!C59</f>
        <v>6</v>
      </c>
      <c r="J27" s="1"/>
      <c r="K27" s="1" t="s">
        <v>41</v>
      </c>
    </row>
    <row r="28">
      <c r="A28" s="1"/>
      <c r="B28" s="1" t="s">
        <v>42</v>
      </c>
      <c r="C28" s="46">
        <f>'Income Statement'!J93</f>
        <v>2885.4011819576917</v>
      </c>
      <c r="D28" s="18">
        <f>Inputs!C73</f>
        <v>2867.25</v>
      </c>
      <c r="E28" s="3">
        <f>C28-D28</f>
        <v>18.151181957691733</v>
      </c>
      <c r="F28" s="103">
        <f>C28/D28-1</f>
        <v>0.006330519472558027</v>
      </c>
      <c r="G28" s="25" t="s">
        <v>34</v>
      </c>
      <c r="H28" s="25" t="s">
        <v>34</v>
      </c>
      <c r="I28" s="1"/>
      <c r="J28" s="1"/>
      <c r="K28" s="1" t="s">
        <v>43</v>
      </c>
    </row>
    <row r="29">
      <c r="A29" s="1"/>
      <c r="B29" s="1" t="s">
        <v>44</v>
      </c>
      <c r="C29" s="52" t="b">
        <f>AND(C23='Income Statement'!J10,C24='Income Statement'!J113,C25='Income Statement'!J118,C26='Income Statement'!J70,C27='Income Statement'!J79,C28='Income Statement'!J93)</f>
        <v>1</v>
      </c>
      <c r="D29" s="1"/>
      <c r="E29" s="1"/>
      <c r="F29" s="1"/>
      <c r="G29" s="1"/>
      <c r="H29" s="1"/>
      <c r="I29" s="1"/>
      <c r="J29" s="1"/>
      <c r="K29" s="1"/>
    </row>
    <row r="30" ht="25.5">
      <c r="A30" s="1"/>
      <c r="B30" s="117" t="s">
        <v>45</v>
      </c>
      <c r="C30" s="38" t="str">
        <f>IF(AND('Revenue summary'!C45:J45,'Revenue summary'!C53:J53,'Revenue summary'!C71:J71,'Revenue summary'!C105:J105,'Segment - Life Sciences'!C71:J71,'Segment - Life Sciences'!C106:J106,'Segment - Life Sciences'!C128:J128,'Segment - Analytical Instr'!C58:J58,'Segment - Analytical Instr'!C93:J93,'Segment - Analytical Instr'!C115:J115,'Segment - Specialty Dx'!C97:J97,'Segment - Specialty Dx'!C132:J132,'Segment - Specialty Dx'!C154:J154,'Segment - Lab Products &amp; BPS'!C84:J84,'Segment - Lab Products &amp; BPS'!C119:J119,'Segment - Lab Products &amp; BPS'!C141:J141,'Income Statement'!C83:J83,'Income Statement'!C101:J101,'Income Statement'!C122:J122,'Income Statement'!C153:J153,'Income Statement'!C176:J176,'Income Statement'!C180:J180,'Balance Sheet'!C46:J46,'Cash Flow Statement'!C66:J66,'Cash Flow Statement'!C67:J67,Geo!C53:J53,Guidance!J41,C29),"PASS","FAIL")</f>
        <v>PASS</v>
      </c>
      <c r="D30" s="4"/>
      <c r="E30" s="4"/>
      <c r="F30" s="4"/>
      <c r="G30" s="4"/>
      <c r="H30" s="4"/>
      <c r="I30" s="4"/>
      <c r="J30" s="1"/>
      <c r="K30" s="1" t="s">
        <v>46</v>
      </c>
    </row>
    <row r="31">
      <c r="A31" s="1"/>
      <c r="B31" s="34" t="s">
        <v>47</v>
      </c>
      <c r="C31" s="59">
        <f>Inputs!C135</f>
        <v>0.8042857142857143</v>
      </c>
      <c r="D31" s="1"/>
      <c r="E31" s="1"/>
      <c r="F31" s="1"/>
      <c r="G31" s="1"/>
      <c r="H31" s="1"/>
      <c r="I31" s="1"/>
      <c r="J31" s="1"/>
      <c r="K31" s="1"/>
    </row>
    <row r="32">
      <c r="A32" s="1"/>
      <c r="B32" s="48" t="s">
        <v>48</v>
      </c>
      <c r="C32" s="44" t="str">
        <f>Inputs!C139</f>
        <v>medium</v>
      </c>
      <c r="D32" s="1"/>
      <c r="E32" s="1"/>
      <c r="F32" s="1"/>
      <c r="G32" s="1"/>
      <c r="H32" s="1"/>
      <c r="I32" s="1"/>
      <c r="J32" s="1"/>
      <c r="K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>
      <c r="A34" s="1"/>
      <c r="B34" s="13" t="s">
        <v>49</v>
      </c>
      <c r="C34" s="1"/>
      <c r="D34" s="1"/>
      <c r="E34" s="1"/>
      <c r="F34" s="1"/>
      <c r="G34" s="1"/>
      <c r="H34" s="1"/>
      <c r="I34" s="1"/>
      <c r="J34" s="1"/>
      <c r="K34" s="1"/>
    </row>
    <row r="35">
      <c r="A35" s="1"/>
      <c r="B35" s="26" t="s">
        <v>50</v>
      </c>
      <c r="C35" s="106">
        <f>'Revenue summary'!J62</f>
        <v>0.04546844092789067</v>
      </c>
      <c r="D35" s="1"/>
      <c r="E35" s="1"/>
      <c r="F35" s="1"/>
      <c r="G35" s="1"/>
      <c r="H35" s="1"/>
      <c r="I35" s="1"/>
      <c r="J35" s="1"/>
      <c r="K35" s="1" t="s">
        <v>51</v>
      </c>
    </row>
    <row r="36">
      <c r="A36" s="1"/>
      <c r="B36" s="26" t="s">
        <v>52</v>
      </c>
      <c r="C36" s="106">
        <f>'Revenue summary'!J60</f>
        <v>0.03581081748677505</v>
      </c>
      <c r="D36" s="1"/>
      <c r="E36" s="1"/>
      <c r="F36" s="1"/>
      <c r="G36" s="1"/>
      <c r="H36" s="1"/>
      <c r="I36" s="1"/>
      <c r="J36" s="1"/>
      <c r="K36" s="1"/>
    </row>
    <row r="37">
      <c r="A37" s="1"/>
      <c r="B37" s="26" t="s">
        <v>53</v>
      </c>
      <c r="C37" s="106">
        <f>'Revenue summary'!J61</f>
        <v>-0.005406396292073329</v>
      </c>
      <c r="D37" s="1"/>
      <c r="E37" s="1"/>
      <c r="F37" s="1"/>
      <c r="G37" s="1"/>
      <c r="H37" s="1"/>
      <c r="I37" s="1"/>
      <c r="J37" s="1"/>
      <c r="K37" s="1"/>
    </row>
    <row r="38">
      <c r="A38" s="1"/>
      <c r="B38" s="26" t="s">
        <v>54</v>
      </c>
      <c r="C38" s="106">
        <f>'Revenue summary'!J49</f>
        <v>0.07587286212259214</v>
      </c>
      <c r="D38" s="1"/>
      <c r="E38" s="1"/>
      <c r="F38" s="1"/>
      <c r="G38" s="1"/>
      <c r="H38" s="1"/>
      <c r="I38" s="1"/>
      <c r="J38" s="1"/>
      <c r="K38" s="1"/>
    </row>
    <row r="39">
      <c r="A39" s="1"/>
      <c r="B39" s="26" t="s">
        <v>55</v>
      </c>
      <c r="C39" s="106">
        <f>'Income Statement'!J94</f>
        <v>0.24113617164622148</v>
      </c>
      <c r="D39" s="1"/>
      <c r="E39" s="1"/>
      <c r="F39" s="1"/>
      <c r="G39" s="1"/>
      <c r="H39" s="1"/>
      <c r="I39" s="1"/>
      <c r="J39" s="1"/>
      <c r="K39" s="1"/>
    </row>
    <row r="40">
      <c r="A40" s="1"/>
      <c r="B40" s="26" t="s">
        <v>56</v>
      </c>
      <c r="C40" s="106">
        <f>'Income Statement'!J166</f>
        <v>0.115</v>
      </c>
      <c r="D40" s="1"/>
      <c r="E40" s="1"/>
      <c r="F40" s="1"/>
      <c r="G40" s="1"/>
      <c r="H40" s="1"/>
      <c r="I40" s="1"/>
      <c r="J40" s="1"/>
      <c r="K40" s="1"/>
    </row>
    <row r="41">
      <c r="A41" s="1"/>
      <c r="B41" s="1" t="s">
        <v>57</v>
      </c>
      <c r="C41" s="18">
        <f>'Share Count'!J11</f>
        <v>370.547286</v>
      </c>
      <c r="D41" s="1"/>
      <c r="E41" s="1"/>
      <c r="F41" s="1"/>
      <c r="G41" s="1"/>
      <c r="H41" s="1"/>
      <c r="I41" s="1"/>
      <c r="J41" s="1"/>
      <c r="K41" s="1"/>
    </row>
    <row r="42">
      <c r="A42" s="1"/>
      <c r="B42" s="26" t="s">
        <v>58</v>
      </c>
      <c r="C42" s="106">
        <f>Inputs!C133</f>
        <v>0.8742857142857143</v>
      </c>
      <c r="D42" s="1"/>
      <c r="E42" s="1"/>
      <c r="F42" s="1"/>
      <c r="G42" s="1"/>
      <c r="H42" s="1"/>
      <c r="I42" s="1"/>
      <c r="J42" s="1"/>
      <c r="K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>
      <c r="A44" s="1"/>
      <c r="B44" s="26" t="s">
        <v>59</v>
      </c>
      <c r="C44" s="1"/>
      <c r="D44" s="1"/>
      <c r="E44" s="1"/>
      <c r="F44" s="1"/>
      <c r="G44" s="1"/>
      <c r="H44" s="1"/>
      <c r="I44" s="1"/>
      <c r="J44" s="1"/>
      <c r="K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60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61</v>
      </c>
      <c r="C5" s="16" t="s">
        <v>62</v>
      </c>
      <c r="D5" s="16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6" t="s">
        <v>68</v>
      </c>
      <c r="J5" s="43" t="s">
        <v>69</v>
      </c>
      <c r="K5" s="9" t="s">
        <v>4</v>
      </c>
    </row>
    <row r="6">
      <c r="A6" s="1"/>
      <c r="B6" s="6" t="s">
        <v>70</v>
      </c>
      <c r="C6" s="14">
        <v>45745</v>
      </c>
      <c r="D6" s="14">
        <v>45836</v>
      </c>
      <c r="E6" s="14">
        <v>45927</v>
      </c>
      <c r="F6" s="14">
        <v>46022</v>
      </c>
      <c r="G6" s="14">
        <v>46022</v>
      </c>
      <c r="H6" s="14">
        <v>46109</v>
      </c>
      <c r="I6" s="14">
        <v>46200</v>
      </c>
      <c r="J6" s="45">
        <v>46291</v>
      </c>
      <c r="K6" s="6" t="s">
        <v>71</v>
      </c>
    </row>
    <row r="7">
      <c r="A7" s="1"/>
      <c r="B7" s="28" t="s">
        <v>72</v>
      </c>
      <c r="C7" s="22">
        <v>88</v>
      </c>
      <c r="D7" s="11">
        <f>D6-C6</f>
        <v>91</v>
      </c>
      <c r="E7" s="11">
        <f>E6-D6</f>
        <v>91</v>
      </c>
      <c r="F7" s="11">
        <f>F6-E6</f>
        <v>95</v>
      </c>
      <c r="G7" s="22">
        <v>365</v>
      </c>
      <c r="H7" s="11">
        <f>H6-F6</f>
        <v>87</v>
      </c>
      <c r="I7" s="11">
        <f>I6-H6</f>
        <v>91</v>
      </c>
      <c r="J7" s="36">
        <f>J6-I6</f>
        <v>91</v>
      </c>
      <c r="K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73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 t="s">
        <v>74</v>
      </c>
      <c r="C10" s="18">
        <f>'Segment - Life Sciences'!C65</f>
        <v>2341</v>
      </c>
      <c r="D10" s="18">
        <f>'Segment - Life Sciences'!D65</f>
        <v>2499</v>
      </c>
      <c r="E10" s="18">
        <f>'Segment - Life Sciences'!E65</f>
        <v>2588</v>
      </c>
      <c r="F10" s="18">
        <f>'Segment - Life Sciences'!F65</f>
        <v>2946</v>
      </c>
      <c r="G10" s="18">
        <f>'Segment - Life Sciences'!G65</f>
        <v>10374</v>
      </c>
      <c r="H10" s="18">
        <f>'Segment - Life Sciences'!H65</f>
        <v>2636</v>
      </c>
      <c r="I10" s="18">
        <f>'Segment - Life Sciences'!I65</f>
        <v>2815</v>
      </c>
      <c r="J10" s="50">
        <f>'Segment - Life Sciences'!J65</f>
        <v>2821.3224999999998</v>
      </c>
      <c r="K10" s="1"/>
    </row>
    <row r="11">
      <c r="A11" s="1"/>
      <c r="B11" s="26" t="s">
        <v>75</v>
      </c>
      <c r="C11" s="106">
        <f>'Segment - Life Sciences'!C66</f>
        <v>0.024507658643325936</v>
      </c>
      <c r="D11" s="106">
        <f>'Segment - Life Sciences'!D66</f>
        <v>0.06114649681528661</v>
      </c>
      <c r="E11" s="106">
        <f>'Segment - Life Sciences'!E66</f>
        <v>0.08420611646418097</v>
      </c>
      <c r="F11" s="106">
        <f>'Segment - Life Sciences'!F66</f>
        <v>0.13133640552995396</v>
      </c>
      <c r="G11" s="106">
        <f>'Segment - Life Sciences'!G66</f>
        <v>0.0771467137368913</v>
      </c>
      <c r="H11" s="106">
        <f>'Segment - Life Sciences'!H66</f>
        <v>0.12601452370781718</v>
      </c>
      <c r="I11" s="106">
        <f>'Segment - Life Sciences'!I66</f>
        <v>0.12645058023209277</v>
      </c>
      <c r="J11" s="113">
        <f>'Segment - Life Sciences'!J66</f>
        <v>0.09015552550231831</v>
      </c>
      <c r="K11" s="1"/>
    </row>
    <row r="12">
      <c r="A12" s="1"/>
      <c r="B12" s="26" t="s">
        <v>76</v>
      </c>
      <c r="C12" s="106">
        <f>'Segment - Life Sciences'!C68</f>
        <v>-0.10099846390168976</v>
      </c>
      <c r="D12" s="106">
        <f>'Segment - Life Sciences'!D68</f>
        <v>0.06749252456215293</v>
      </c>
      <c r="E12" s="106">
        <f>'Segment - Life Sciences'!E68</f>
        <v>0.03561424569827931</v>
      </c>
      <c r="F12" s="106">
        <f>'Segment - Life Sciences'!F68</f>
        <v>0.1383307573415764</v>
      </c>
      <c r="G12" s="106"/>
      <c r="H12" s="106">
        <f>'Segment - Life Sciences'!H68</f>
        <v>-0.10522742701968768</v>
      </c>
      <c r="I12" s="106">
        <f>'Segment - Life Sciences'!I68</f>
        <v>0.0679059180576631</v>
      </c>
      <c r="J12" s="113">
        <f>'Segment - Life Sciences'!J68</f>
        <v>0.0022460035523976796</v>
      </c>
      <c r="K12" s="1"/>
    </row>
    <row r="13">
      <c r="A13" s="1"/>
      <c r="B13" s="26" t="s">
        <v>77</v>
      </c>
      <c r="C13" s="103">
        <f>C10/C48</f>
        <v>0.22587803936703976</v>
      </c>
      <c r="D13" s="103">
        <f>D10/D48</f>
        <v>0.23021649009672962</v>
      </c>
      <c r="E13" s="103">
        <f>E10/E48</f>
        <v>0.2326919618773602</v>
      </c>
      <c r="F13" s="103">
        <f>F10/F48</f>
        <v>0.2411788784281621</v>
      </c>
      <c r="G13" s="103">
        <f>G10/G48</f>
        <v>0.23283059520603286</v>
      </c>
      <c r="H13" s="103">
        <f>H10/H48</f>
        <v>0.23952748750567923</v>
      </c>
      <c r="I13" s="103">
        <f>I10/I48</f>
        <v>0.2347006836751709</v>
      </c>
      <c r="J13" s="108">
        <f>J10/J48</f>
        <v>0.2357810452436843</v>
      </c>
      <c r="K13" s="1"/>
    </row>
    <row r="14">
      <c r="A14" s="1"/>
      <c r="B14" s="1" t="s">
        <v>78</v>
      </c>
      <c r="C14" s="18">
        <f>'Segment - Analytical Instr'!C52</f>
        <v>1718</v>
      </c>
      <c r="D14" s="18">
        <f>'Segment - Analytical Instr'!D52</f>
        <v>1728</v>
      </c>
      <c r="E14" s="18">
        <f>'Segment - Analytical Instr'!E52</f>
        <v>1893</v>
      </c>
      <c r="F14" s="18">
        <f>'Segment - Analytical Instr'!F52</f>
        <v>2215</v>
      </c>
      <c r="G14" s="18">
        <f>'Segment - Analytical Instr'!G52</f>
        <v>7554</v>
      </c>
      <c r="H14" s="18">
        <f>'Segment - Analytical Instr'!H52</f>
        <v>1716</v>
      </c>
      <c r="I14" s="18">
        <f>'Segment - Analytical Instr'!I52</f>
        <v>1847</v>
      </c>
      <c r="J14" s="50">
        <f>'Segment - Analytical Instr'!J52</f>
        <v>1989.0945499999998</v>
      </c>
      <c r="K14" s="1"/>
    </row>
    <row r="15">
      <c r="A15" s="1"/>
      <c r="B15" s="26" t="s">
        <v>75</v>
      </c>
      <c r="C15" s="106">
        <f>'Segment - Analytical Instr'!C53</f>
        <v>0.018375815056312916</v>
      </c>
      <c r="D15" s="106">
        <f>'Segment - Analytical Instr'!D53</f>
        <v>-0.030303030303030276</v>
      </c>
      <c r="E15" s="106">
        <f>'Segment - Analytical Instr'!E53</f>
        <v>0.04701327433628322</v>
      </c>
      <c r="F15" s="106">
        <f>'Segment - Analytical Instr'!F53</f>
        <v>0.013266239707227845</v>
      </c>
      <c r="G15" s="106">
        <f>'Segment - Analytical Instr'!G53</f>
        <v>0.012193487873509268</v>
      </c>
      <c r="H15" s="106">
        <f>'Segment - Analytical Instr'!H53</f>
        <v>-0.0011641443538998875</v>
      </c>
      <c r="I15" s="106">
        <f>'Segment - Analytical Instr'!I53</f>
        <v>0.0688657407407407</v>
      </c>
      <c r="J15" s="113">
        <f>'Segment - Analytical Instr'!J53</f>
        <v>0.050763100898045366</v>
      </c>
      <c r="K15" s="1"/>
    </row>
    <row r="16">
      <c r="A16" s="1"/>
      <c r="B16" s="26" t="s">
        <v>76</v>
      </c>
      <c r="C16" s="106">
        <f>'Segment - Analytical Instr'!C55</f>
        <v>-0.21408966148215924</v>
      </c>
      <c r="D16" s="106">
        <f>'Segment - Analytical Instr'!D55</f>
        <v>0.005820721769499437</v>
      </c>
      <c r="E16" s="106">
        <f>'Segment - Analytical Instr'!E55</f>
        <v>0.09548611111111116</v>
      </c>
      <c r="F16" s="106">
        <f>'Segment - Analytical Instr'!F55</f>
        <v>0.17010036978341248</v>
      </c>
      <c r="G16" s="106"/>
      <c r="H16" s="106">
        <f>'Segment - Analytical Instr'!H55</f>
        <v>-0.2252821670428894</v>
      </c>
      <c r="I16" s="106">
        <f>'Segment - Analytical Instr'!I55</f>
        <v>0.07634032634032639</v>
      </c>
      <c r="J16" s="113">
        <f>'Segment - Analytical Instr'!J55</f>
        <v>0.07693262046561977</v>
      </c>
      <c r="K16" s="1"/>
    </row>
    <row r="17">
      <c r="A17" s="1"/>
      <c r="B17" s="26" t="s">
        <v>77</v>
      </c>
      <c r="C17" s="103">
        <f>C14/C48</f>
        <v>0.16576611346970282</v>
      </c>
      <c r="D17" s="103">
        <f>D14/D48</f>
        <v>0.15918931368033165</v>
      </c>
      <c r="E17" s="103">
        <f>E14/E48</f>
        <v>0.1702032008631541</v>
      </c>
      <c r="F17" s="103">
        <f>F14/F48</f>
        <v>0.18133442488743348</v>
      </c>
      <c r="G17" s="103">
        <f>G14/G48</f>
        <v>0.16953945596552653</v>
      </c>
      <c r="H17" s="103">
        <f>H14/H48</f>
        <v>0.1559291231258519</v>
      </c>
      <c r="I17" s="103">
        <f>I14/I48</f>
        <v>0.15399366349841587</v>
      </c>
      <c r="J17" s="108">
        <f>J14/J48</f>
        <v>0.16623083397502972</v>
      </c>
      <c r="K17" s="1"/>
    </row>
    <row r="18">
      <c r="A18" s="1"/>
      <c r="B18" s="1" t="s">
        <v>79</v>
      </c>
      <c r="C18" s="18">
        <f>'Segment - Specialty Dx'!C91</f>
        <v>1148</v>
      </c>
      <c r="D18" s="18">
        <f>'Segment - Specialty Dx'!D91</f>
        <v>1134</v>
      </c>
      <c r="E18" s="18">
        <f>'Segment - Specialty Dx'!E91</f>
        <v>1174</v>
      </c>
      <c r="F18" s="18">
        <f>'Segment - Specialty Dx'!F91</f>
        <v>1220</v>
      </c>
      <c r="G18" s="18">
        <f>'Segment - Specialty Dx'!G91</f>
        <v>4676</v>
      </c>
      <c r="H18" s="18">
        <f>'Segment - Specialty Dx'!H91</f>
        <v>1142</v>
      </c>
      <c r="I18" s="18">
        <f>'Segment - Specialty Dx'!I91</f>
        <v>1205</v>
      </c>
      <c r="J18" s="50">
        <f>'Segment - Specialty Dx'!J91</f>
        <v>1138.5167225274724</v>
      </c>
      <c r="K18" s="1"/>
    </row>
    <row r="19">
      <c r="A19" s="1"/>
      <c r="B19" s="26" t="s">
        <v>75</v>
      </c>
      <c r="C19" s="106">
        <f>'Segment - Specialty Dx'!C92</f>
        <v>0.035166816952209246</v>
      </c>
      <c r="D19" s="106">
        <f>'Segment - Specialty Dx'!D92</f>
        <v>0.015219337511190645</v>
      </c>
      <c r="E19" s="106">
        <f>'Segment - Specialty Dx'!E92</f>
        <v>0.039858281665190454</v>
      </c>
      <c r="F19" s="106">
        <f>'Segment - Specialty Dx'!F92</f>
        <v>0.054451166810717266</v>
      </c>
      <c r="G19" s="106">
        <f>'Segment - Specialty Dx'!G92</f>
        <v>0.03634751773049638</v>
      </c>
      <c r="H19" s="106">
        <f>'Segment - Specialty Dx'!H92</f>
        <v>-0.005226480836236891</v>
      </c>
      <c r="I19" s="106">
        <f>'Segment - Specialty Dx'!I92</f>
        <v>0.06261022927689597</v>
      </c>
      <c r="J19" s="113">
        <f>'Segment - Specialty Dx'!J92</f>
        <v>-0.030224256790909343</v>
      </c>
      <c r="K19" s="1"/>
    </row>
    <row r="20">
      <c r="A20" s="1"/>
      <c r="B20" s="26" t="s">
        <v>76</v>
      </c>
      <c r="C20" s="106">
        <f>'Segment - Specialty Dx'!C94</f>
        <v>-0.007778738115816752</v>
      </c>
      <c r="D20" s="106">
        <f>'Segment - Specialty Dx'!D94</f>
        <v>-0.012195121951219523</v>
      </c>
      <c r="E20" s="106">
        <f>'Segment - Specialty Dx'!E94</f>
        <v>0.03527336860670194</v>
      </c>
      <c r="F20" s="106">
        <f>'Segment - Specialty Dx'!F94</f>
        <v>0.03918228279386704</v>
      </c>
      <c r="G20" s="106"/>
      <c r="H20" s="106">
        <f>'Segment - Specialty Dx'!H94</f>
        <v>-0.06393442622950818</v>
      </c>
      <c r="I20" s="106">
        <f>'Segment - Specialty Dx'!I94</f>
        <v>0.05516637478108577</v>
      </c>
      <c r="J20" s="113">
        <f>'Segment - Specialty Dx'!J94</f>
        <v>-0.055172844375541596</v>
      </c>
      <c r="K20" s="1"/>
    </row>
    <row r="21">
      <c r="A21" s="1"/>
      <c r="B21" s="26" t="s">
        <v>77</v>
      </c>
      <c r="C21" s="103">
        <f>C18/C48</f>
        <v>0.11076804322655345</v>
      </c>
      <c r="D21" s="103">
        <f>D18/D48</f>
        <v>0.10446798710271764</v>
      </c>
      <c r="E21" s="103">
        <f>E18/E48</f>
        <v>0.10555655457651501</v>
      </c>
      <c r="F21" s="103">
        <f>F18/F48</f>
        <v>0.09987720016373311</v>
      </c>
      <c r="G21" s="103">
        <f>G18/G48</f>
        <v>0.10494658407397432</v>
      </c>
      <c r="H21" s="103">
        <f>H18/H48</f>
        <v>0.10377101317582917</v>
      </c>
      <c r="I21" s="103">
        <f>I18/I48</f>
        <v>0.10046690011672503</v>
      </c>
      <c r="J21" s="108">
        <f>J18/J48</f>
        <v>0.09514710312803344</v>
      </c>
      <c r="K21" s="1"/>
    </row>
    <row r="22">
      <c r="A22" s="1"/>
      <c r="B22" s="1" t="s">
        <v>80</v>
      </c>
      <c r="C22" s="18">
        <f>'Segment - Lab Products &amp; BPS'!C78</f>
        <v>5640</v>
      </c>
      <c r="D22" s="18">
        <f>'Segment - Lab Products &amp; BPS'!D78</f>
        <v>5995</v>
      </c>
      <c r="E22" s="18">
        <f>'Segment - Lab Products &amp; BPS'!E78</f>
        <v>5970</v>
      </c>
      <c r="F22" s="18">
        <f>'Segment - Lab Products &amp; BPS'!F78</f>
        <v>6379</v>
      </c>
      <c r="G22" s="18">
        <f>'Segment - Lab Products &amp; BPS'!G78</f>
        <v>23984</v>
      </c>
      <c r="H22" s="18">
        <f>'Segment - Lab Products &amp; BPS'!H78</f>
        <v>6036</v>
      </c>
      <c r="I22" s="18">
        <f>'Segment - Lab Products &amp; BPS'!I78</f>
        <v>6693</v>
      </c>
      <c r="J22" s="50">
        <f>'Segment - Lab Products &amp; BPS'!J78</f>
        <v>6532.483449999999</v>
      </c>
      <c r="K22" s="1" t="s">
        <v>81</v>
      </c>
    </row>
    <row r="23">
      <c r="A23" s="1"/>
      <c r="B23" s="26" t="s">
        <v>75</v>
      </c>
      <c r="C23" s="106">
        <f>'Segment - Lab Products &amp; BPS'!C79</f>
        <v>-0.014502883103267528</v>
      </c>
      <c r="D23" s="106">
        <f>'Segment - Lab Products &amp; BPS'!D79</f>
        <v>0.04116012504341793</v>
      </c>
      <c r="E23" s="106">
        <f>'Segment - Lab Products &amp; BPS'!E79</f>
        <v>0.04006968641114983</v>
      </c>
      <c r="F23" s="106">
        <f>'Segment - Lab Products &amp; BPS'!F79</f>
        <v>0.0746293800539084</v>
      </c>
      <c r="G23" s="106">
        <f>'Segment - Lab Products &amp; BPS'!G79</f>
        <v>0.035712743446906</v>
      </c>
      <c r="H23" s="106">
        <f>'Segment - Lab Products &amp; BPS'!H79</f>
        <v>0.07021276595744674</v>
      </c>
      <c r="I23" s="106">
        <f>'Segment - Lab Products &amp; BPS'!I79</f>
        <v>0.11643035863219353</v>
      </c>
      <c r="J23" s="113">
        <f>'Segment - Lab Products &amp; BPS'!J79</f>
        <v>0.09421833333333307</v>
      </c>
      <c r="K23" s="1"/>
    </row>
    <row r="24">
      <c r="A24" s="1"/>
      <c r="B24" s="26" t="s">
        <v>76</v>
      </c>
      <c r="C24" s="106">
        <f>'Segment - Lab Products &amp; BPS'!C81</f>
        <v>-0.049865229110512166</v>
      </c>
      <c r="D24" s="106">
        <f>'Segment - Lab Products &amp; BPS'!D81</f>
        <v>0.06294326241134751</v>
      </c>
      <c r="E24" s="106">
        <f>'Segment - Lab Products &amp; BPS'!E81</f>
        <v>-0.004170141784820669</v>
      </c>
      <c r="F24" s="106">
        <f>'Segment - Lab Products &amp; BPS'!F81</f>
        <v>0.06850921273031818</v>
      </c>
      <c r="G24" s="106"/>
      <c r="H24" s="106">
        <f>'Segment - Lab Products &amp; BPS'!H81</f>
        <v>-0.053770183414328265</v>
      </c>
      <c r="I24" s="106">
        <f>'Segment - Lab Products &amp; BPS'!I81</f>
        <v>0.10884691848906569</v>
      </c>
      <c r="J24" s="113">
        <f>'Segment - Lab Products &amp; BPS'!J81</f>
        <v>-0.023982750634992</v>
      </c>
      <c r="K24" s="1"/>
    </row>
    <row r="25">
      <c r="A25" s="1"/>
      <c r="B25" s="26" t="s">
        <v>77</v>
      </c>
      <c r="C25" s="103">
        <f>C22/C48</f>
        <v>0.5441914318795832</v>
      </c>
      <c r="D25" s="103">
        <f>D22/D48</f>
        <v>0.5522800552740672</v>
      </c>
      <c r="E25" s="103">
        <f>E22/E48</f>
        <v>0.5367739615177126</v>
      </c>
      <c r="F25" s="103">
        <f>F22/F48</f>
        <v>0.5222267703643062</v>
      </c>
      <c r="G25" s="103">
        <f>G22/G48</f>
        <v>0.5382888948738666</v>
      </c>
      <c r="H25" s="103">
        <f>H22/H48</f>
        <v>0.548477964561563</v>
      </c>
      <c r="I25" s="103">
        <f>I22/I48</f>
        <v>0.5580290145072536</v>
      </c>
      <c r="J25" s="108">
        <f>J22/J48</f>
        <v>0.54592687503044</v>
      </c>
      <c r="K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>
      <c r="A27" s="1"/>
      <c r="B27" s="13" t="s">
        <v>82</v>
      </c>
      <c r="C27" s="1"/>
      <c r="D27" s="1"/>
      <c r="E27" s="1"/>
      <c r="F27" s="1"/>
      <c r="G27" s="1"/>
      <c r="H27" s="1"/>
      <c r="I27" s="1"/>
      <c r="J27" s="1"/>
      <c r="K27" s="1"/>
    </row>
    <row r="28">
      <c r="A28" s="1"/>
      <c r="B28" s="1" t="s">
        <v>83</v>
      </c>
      <c r="C28" s="23">
        <v>-482</v>
      </c>
      <c r="D28" s="23">
        <v>-501</v>
      </c>
      <c r="E28" s="23">
        <v>-503</v>
      </c>
      <c r="F28" s="23">
        <v>-546</v>
      </c>
      <c r="G28" s="3">
        <f>SUM(C28:F28)</f>
        <v>-2032</v>
      </c>
      <c r="H28" s="23">
        <v>-524</v>
      </c>
      <c r="I28" s="23">
        <v>-565</v>
      </c>
      <c r="J28" s="8">
        <f>J32+J34+J35+J37</f>
        <v>-515.55925</v>
      </c>
      <c r="K28" s="1" t="s">
        <v>84</v>
      </c>
    </row>
    <row r="29">
      <c r="A29" s="1"/>
      <c r="B29" s="26" t="s">
        <v>75</v>
      </c>
      <c r="C29" s="103">
        <f>C28/C32-1</f>
        <v>0.047826086956521685</v>
      </c>
      <c r="D29" s="103">
        <f>D28/D32-1</f>
        <v>0.06595744680851068</v>
      </c>
      <c r="E29" s="103">
        <f>E28/E32-1</f>
        <v>0.0770877944325481</v>
      </c>
      <c r="F29" s="103">
        <f>F28/F32-1</f>
        <v>0.12114989733059556</v>
      </c>
      <c r="G29" s="103">
        <f>G28/G32-1</f>
        <v>0.07798408488063657</v>
      </c>
      <c r="H29" s="103">
        <f>H28/H32-1</f>
        <v>0.08713692946058083</v>
      </c>
      <c r="I29" s="103">
        <f>I28/I32-1</f>
        <v>0.12774451097804396</v>
      </c>
      <c r="J29" s="108">
        <f>J28/J32-1</f>
        <v>0.024968687872763518</v>
      </c>
      <c r="K29" s="1"/>
    </row>
    <row r="30">
      <c r="A30" s="1"/>
      <c r="B30" s="26" t="s">
        <v>85</v>
      </c>
      <c r="C30" s="21">
        <f>C28-F32</f>
        <v>5</v>
      </c>
      <c r="D30" s="21">
        <f>D28-C28</f>
        <v>-19</v>
      </c>
      <c r="E30" s="21">
        <f>E28-D28</f>
        <v>-2</v>
      </c>
      <c r="F30" s="21">
        <f>F28-E28</f>
        <v>-43</v>
      </c>
      <c r="G30" s="1"/>
      <c r="H30" s="21">
        <f>H28-F28</f>
        <v>22</v>
      </c>
      <c r="I30" s="21">
        <f>I28-H28</f>
        <v>-41</v>
      </c>
      <c r="J30" s="60">
        <f>J28-I28</f>
        <v>49.44074999999998</v>
      </c>
      <c r="K30" s="1"/>
    </row>
    <row r="31">
      <c r="A31" s="1"/>
      <c r="B31" s="26" t="s">
        <v>77</v>
      </c>
      <c r="C31" s="103">
        <f>C28/C48</f>
        <v>-0.04650714010034736</v>
      </c>
      <c r="D31" s="103">
        <f>D28/D48</f>
        <v>-0.046153846153846156</v>
      </c>
      <c r="E31" s="103">
        <f>E28/E48</f>
        <v>-0.045225678834741954</v>
      </c>
      <c r="F31" s="103">
        <f>F28/F48</f>
        <v>-0.04469914040114613</v>
      </c>
      <c r="G31" s="103">
        <f>G28/G48</f>
        <v>-0.04560553011940031</v>
      </c>
      <c r="H31" s="103">
        <f>H28/H48</f>
        <v>-0.04761472058155384</v>
      </c>
      <c r="I31" s="103">
        <f>I28/I48</f>
        <v>-0.047106886776721694</v>
      </c>
      <c r="J31" s="108">
        <f>J28/J48</f>
        <v>-0.04308585737718745</v>
      </c>
      <c r="K31" s="1"/>
    </row>
    <row r="32">
      <c r="A32" s="1"/>
      <c r="B32" s="1" t="s">
        <v>86</v>
      </c>
      <c r="C32" s="23">
        <v>-460</v>
      </c>
      <c r="D32" s="23">
        <v>-470</v>
      </c>
      <c r="E32" s="23">
        <v>-467</v>
      </c>
      <c r="F32" s="23">
        <v>-487</v>
      </c>
      <c r="G32" s="23">
        <v>-1885</v>
      </c>
      <c r="H32" s="3">
        <f>C28</f>
        <v>-482</v>
      </c>
      <c r="I32" s="3">
        <f>D28</f>
        <v>-501</v>
      </c>
      <c r="J32" s="8">
        <f>E28</f>
        <v>-503</v>
      </c>
      <c r="K32" s="1" t="s">
        <v>87</v>
      </c>
    </row>
    <row r="33">
      <c r="A33" s="1"/>
      <c r="B33" s="26" t="s">
        <v>88</v>
      </c>
      <c r="C33" s="109" t="s">
        <v>89</v>
      </c>
      <c r="D33" s="109" t="s">
        <v>89</v>
      </c>
      <c r="E33" s="109" t="s">
        <v>89</v>
      </c>
      <c r="F33" s="109" t="s">
        <v>89</v>
      </c>
      <c r="G33" s="109" t="s">
        <v>89</v>
      </c>
      <c r="H33" s="109" t="s">
        <v>89</v>
      </c>
      <c r="I33" s="109" t="s">
        <v>89</v>
      </c>
      <c r="J33" s="112">
        <v>0.05</v>
      </c>
      <c r="K33" s="1" t="s">
        <v>90</v>
      </c>
    </row>
    <row r="34">
      <c r="A34" s="1"/>
      <c r="B34" s="26" t="s">
        <v>91</v>
      </c>
      <c r="C34" s="58" t="s">
        <v>89</v>
      </c>
      <c r="D34" s="58" t="s">
        <v>89</v>
      </c>
      <c r="E34" s="58" t="s">
        <v>89</v>
      </c>
      <c r="F34" s="58" t="s">
        <v>89</v>
      </c>
      <c r="G34" s="58" t="s">
        <v>89</v>
      </c>
      <c r="H34" s="58" t="s">
        <v>89</v>
      </c>
      <c r="I34" s="58" t="s">
        <v>89</v>
      </c>
      <c r="J34" s="60">
        <f>J32*J33</f>
        <v>-25.150000000000002</v>
      </c>
      <c r="K34" s="1" t="s">
        <v>92</v>
      </c>
    </row>
    <row r="35">
      <c r="A35" s="1"/>
      <c r="B35" s="26" t="s">
        <v>93</v>
      </c>
      <c r="C35" s="58" t="s">
        <v>89</v>
      </c>
      <c r="D35" s="58" t="s">
        <v>89</v>
      </c>
      <c r="E35" s="58" t="s">
        <v>89</v>
      </c>
      <c r="F35" s="58" t="s">
        <v>89</v>
      </c>
      <c r="G35" s="58" t="s">
        <v>89</v>
      </c>
      <c r="H35" s="58" t="s">
        <v>89</v>
      </c>
      <c r="I35" s="58" t="s">
        <v>89</v>
      </c>
      <c r="J35" s="75">
        <v>10</v>
      </c>
      <c r="K35" s="1" t="s">
        <v>94</v>
      </c>
    </row>
    <row r="36">
      <c r="A36" s="1"/>
      <c r="B36" s="26" t="s">
        <v>95</v>
      </c>
      <c r="C36" s="109" t="s">
        <v>89</v>
      </c>
      <c r="D36" s="109" t="s">
        <v>89</v>
      </c>
      <c r="E36" s="109" t="s">
        <v>89</v>
      </c>
      <c r="F36" s="109" t="s">
        <v>89</v>
      </c>
      <c r="G36" s="109" t="s">
        <v>89</v>
      </c>
      <c r="H36" s="109" t="s">
        <v>89</v>
      </c>
      <c r="I36" s="109" t="s">
        <v>89</v>
      </c>
      <c r="J36" s="108">
        <f>J64</f>
        <v>-0.005</v>
      </c>
      <c r="K36" s="1"/>
    </row>
    <row r="37">
      <c r="A37" s="1"/>
      <c r="B37" s="26" t="s">
        <v>96</v>
      </c>
      <c r="C37" s="58" t="s">
        <v>89</v>
      </c>
      <c r="D37" s="58" t="s">
        <v>89</v>
      </c>
      <c r="E37" s="58" t="s">
        <v>89</v>
      </c>
      <c r="F37" s="58" t="s">
        <v>89</v>
      </c>
      <c r="G37" s="58" t="s">
        <v>89</v>
      </c>
      <c r="H37" s="58" t="s">
        <v>89</v>
      </c>
      <c r="I37" s="58" t="s">
        <v>89</v>
      </c>
      <c r="J37" s="60">
        <f>(J32+J34+J35)*J36</f>
        <v>2.59075</v>
      </c>
      <c r="K37" s="1"/>
    </row>
    <row r="38">
      <c r="A38" s="1"/>
      <c r="B38" s="26" t="s">
        <v>97</v>
      </c>
      <c r="C38" s="109" t="s">
        <v>89</v>
      </c>
      <c r="D38" s="109" t="s">
        <v>89</v>
      </c>
      <c r="E38" s="109" t="s">
        <v>89</v>
      </c>
      <c r="F38" s="109" t="s">
        <v>89</v>
      </c>
      <c r="G38" s="109" t="s">
        <v>89</v>
      </c>
      <c r="H38" s="109" t="s">
        <v>89</v>
      </c>
      <c r="I38" s="109" t="s">
        <v>89</v>
      </c>
      <c r="J38" s="108">
        <f>(1+J29)/((1+J35/J32)*(1+J36))-1</f>
        <v>0.05101419878296176</v>
      </c>
      <c r="K38" s="1"/>
    </row>
    <row r="39">
      <c r="A39" s="1"/>
      <c r="B39" s="26" t="s">
        <v>98</v>
      </c>
      <c r="C39" s="1"/>
      <c r="D39" s="1"/>
      <c r="E39" s="1"/>
      <c r="F39" s="1"/>
      <c r="G39" s="1"/>
      <c r="H39" s="1"/>
      <c r="I39" s="1"/>
      <c r="J39" s="68"/>
      <c r="K39" s="1" t="s">
        <v>99</v>
      </c>
    </row>
    <row r="40">
      <c r="A40" s="1"/>
      <c r="B40" s="1" t="s">
        <v>100</v>
      </c>
      <c r="C40" s="18">
        <f>'Segment - Life Sciences'!C99</f>
        <v>387</v>
      </c>
      <c r="D40" s="18">
        <f>'Segment - Life Sciences'!D99</f>
        <v>385</v>
      </c>
      <c r="E40" s="18">
        <f>'Segment - Life Sciences'!E99</f>
        <v>394</v>
      </c>
      <c r="F40" s="18">
        <f>'Segment - Life Sciences'!F99</f>
        <v>427</v>
      </c>
      <c r="G40" s="18">
        <f>'Segment - Life Sciences'!G99</f>
        <v>1593</v>
      </c>
      <c r="H40" s="18">
        <f>'Segment - Life Sciences'!H99</f>
        <v>417</v>
      </c>
      <c r="I40" s="18">
        <f>'Segment - Life Sciences'!I99</f>
        <v>460</v>
      </c>
      <c r="J40" s="50">
        <f>'Segment - Life Sciences'!J99</f>
        <v>403.8376630218688</v>
      </c>
      <c r="K40" s="1"/>
    </row>
    <row r="41">
      <c r="A41" s="1"/>
      <c r="B41" s="1" t="s">
        <v>101</v>
      </c>
      <c r="C41" s="18">
        <f>'Segment - Analytical Instr'!C86</f>
        <v>41</v>
      </c>
      <c r="D41" s="18">
        <f>'Segment - Analytical Instr'!D86</f>
        <v>58</v>
      </c>
      <c r="E41" s="18">
        <f>'Segment - Analytical Instr'!E86</f>
        <v>46</v>
      </c>
      <c r="F41" s="18">
        <f>'Segment - Analytical Instr'!F86</f>
        <v>56</v>
      </c>
      <c r="G41" s="18">
        <f>'Segment - Analytical Instr'!G86</f>
        <v>201</v>
      </c>
      <c r="H41" s="18">
        <f>'Segment - Analytical Instr'!H86</f>
        <v>49</v>
      </c>
      <c r="I41" s="18">
        <f>'Segment - Analytical Instr'!I86</f>
        <v>47</v>
      </c>
      <c r="J41" s="50">
        <f>'Segment - Analytical Instr'!J86</f>
        <v>47.14855964214712</v>
      </c>
      <c r="K41" s="1"/>
    </row>
    <row r="42">
      <c r="A42" s="1"/>
      <c r="B42" s="1" t="s">
        <v>102</v>
      </c>
      <c r="C42" s="18">
        <f>'Segment - Specialty Dx'!C125</f>
        <v>18</v>
      </c>
      <c r="D42" s="18">
        <f>'Segment - Specialty Dx'!D125</f>
        <v>16</v>
      </c>
      <c r="E42" s="18">
        <f>'Segment - Specialty Dx'!E125</f>
        <v>20</v>
      </c>
      <c r="F42" s="18">
        <f>'Segment - Specialty Dx'!F125</f>
        <v>18</v>
      </c>
      <c r="G42" s="18">
        <f>'Segment - Specialty Dx'!G125</f>
        <v>72</v>
      </c>
      <c r="H42" s="18">
        <f>'Segment - Specialty Dx'!H125</f>
        <v>18</v>
      </c>
      <c r="I42" s="18">
        <f>'Segment - Specialty Dx'!I125</f>
        <v>17</v>
      </c>
      <c r="J42" s="50">
        <f>'Segment - Specialty Dx'!J125</f>
        <v>20.49937375745527</v>
      </c>
      <c r="K42" s="1"/>
    </row>
    <row r="43">
      <c r="A43" s="1"/>
      <c r="B43" s="1" t="s">
        <v>103</v>
      </c>
      <c r="C43" s="18">
        <f>'Segment - Lab Products &amp; BPS'!C112</f>
        <v>37</v>
      </c>
      <c r="D43" s="18">
        <f>'Segment - Lab Products &amp; BPS'!D112</f>
        <v>42</v>
      </c>
      <c r="E43" s="18">
        <f>'Segment - Lab Products &amp; BPS'!E112</f>
        <v>43</v>
      </c>
      <c r="F43" s="18">
        <f>'Segment - Lab Products &amp; BPS'!F112</f>
        <v>45</v>
      </c>
      <c r="G43" s="18">
        <f>'Segment - Lab Products &amp; BPS'!G112</f>
        <v>167</v>
      </c>
      <c r="H43" s="18">
        <f>'Segment - Lab Products &amp; BPS'!H112</f>
        <v>41</v>
      </c>
      <c r="I43" s="18">
        <f>'Segment - Lab Products &amp; BPS'!I112</f>
        <v>41</v>
      </c>
      <c r="J43" s="50">
        <f>'Segment - Lab Products &amp; BPS'!J112</f>
        <v>44.07365357852883</v>
      </c>
      <c r="K43" s="1" t="s">
        <v>81</v>
      </c>
    </row>
    <row r="44">
      <c r="A44" s="1"/>
      <c r="B44" s="33" t="s">
        <v>104</v>
      </c>
      <c r="C44" s="55">
        <f>C40+C41+C42+C43</f>
        <v>483</v>
      </c>
      <c r="D44" s="55">
        <f>D40+D41+D42+D43</f>
        <v>501</v>
      </c>
      <c r="E44" s="55">
        <f>E40+E41+E42+E43</f>
        <v>503</v>
      </c>
      <c r="F44" s="55">
        <f>F40+F41+F42+F43</f>
        <v>546</v>
      </c>
      <c r="G44" s="55">
        <f>G40+G41+G42+G43</f>
        <v>2033</v>
      </c>
      <c r="H44" s="55">
        <f>H40+H41+H42+H43</f>
        <v>525</v>
      </c>
      <c r="I44" s="55">
        <f>I40+I41+I42+I43</f>
        <v>565</v>
      </c>
      <c r="J44" s="53">
        <f>J40+J41+J42+J43</f>
        <v>515.55925</v>
      </c>
      <c r="K44" s="1"/>
    </row>
    <row r="45">
      <c r="A45" s="1"/>
      <c r="B45" s="1" t="s">
        <v>105</v>
      </c>
      <c r="C45" s="40" t="b">
        <f>ABS(C44+C28)&lt;=2</f>
        <v>1</v>
      </c>
      <c r="D45" s="40" t="b">
        <f>ABS(D44+D28)&lt;=2</f>
        <v>1</v>
      </c>
      <c r="E45" s="40" t="b">
        <f>ABS(E44+E28)&lt;=2</f>
        <v>1</v>
      </c>
      <c r="F45" s="40" t="b">
        <f>ABS(F44+F28)&lt;=2</f>
        <v>1</v>
      </c>
      <c r="G45" s="40" t="b">
        <f>ABS(G44+G28)&lt;=2</f>
        <v>1</v>
      </c>
      <c r="H45" s="40" t="b">
        <f>ABS(H44+H28)&lt;=2</f>
        <v>1</v>
      </c>
      <c r="I45" s="40" t="b">
        <f>ABS(I44+I28)&lt;=2</f>
        <v>1</v>
      </c>
      <c r="J45" s="76" t="b">
        <f>ABS(J44+J28)&lt;=2</f>
        <v>1</v>
      </c>
      <c r="K45" s="1" t="s">
        <v>106</v>
      </c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>
      <c r="A47" s="1"/>
      <c r="B47" s="26" t="s">
        <v>107</v>
      </c>
      <c r="C47" s="21">
        <f>C48-(C10+C14+C18+C22+C28)</f>
        <v>-1</v>
      </c>
      <c r="D47" s="21">
        <f>D48-(D10+D14+D18+D22+D28)</f>
        <v>0</v>
      </c>
      <c r="E47" s="21">
        <f>E48-(E10+E14+E18+E22+E28)</f>
        <v>0</v>
      </c>
      <c r="F47" s="21">
        <f>F48-(F10+F14+F18+F22+F28)</f>
        <v>1</v>
      </c>
      <c r="G47" s="21">
        <f>G48-(G10+G14+G18+G22+G28)</f>
        <v>0</v>
      </c>
      <c r="H47" s="21">
        <f>H48-(H10+H14+H18+H22+H28)</f>
        <v>-1</v>
      </c>
      <c r="I47" s="21">
        <f>I48-(I10+I14+I18+I22+I28)</f>
        <v>-1</v>
      </c>
      <c r="J47" s="60">
        <f>J48-(J10+J14+J18+J22+J28)</f>
        <v>0</v>
      </c>
      <c r="K47" s="1" t="s">
        <v>108</v>
      </c>
    </row>
    <row r="48">
      <c r="A48" s="1"/>
      <c r="B48" s="33" t="s">
        <v>109</v>
      </c>
      <c r="C48" s="12">
        <v>10364</v>
      </c>
      <c r="D48" s="12">
        <v>10855</v>
      </c>
      <c r="E48" s="12">
        <v>11122</v>
      </c>
      <c r="F48" s="12">
        <v>12215</v>
      </c>
      <c r="G48" s="55">
        <f>SUM(C48:F48)</f>
        <v>44556</v>
      </c>
      <c r="H48" s="12">
        <v>11005</v>
      </c>
      <c r="I48" s="12">
        <v>11994</v>
      </c>
      <c r="J48" s="53">
        <f>J10+J14+J18+J22+J28</f>
        <v>11965.85797252747</v>
      </c>
      <c r="K48" s="1"/>
    </row>
    <row r="49">
      <c r="A49" s="1"/>
      <c r="B49" s="26" t="s">
        <v>75</v>
      </c>
      <c r="C49" s="103">
        <f>C48/C52-1</f>
        <v>0.0018366360560657657</v>
      </c>
      <c r="D49" s="103">
        <f>D48/D52-1</f>
        <v>0.02978844511905887</v>
      </c>
      <c r="E49" s="103">
        <f>E48/E52-1</f>
        <v>0.0494432911870164</v>
      </c>
      <c r="F49" s="103">
        <f>F48/F52-1</f>
        <v>0.0719613865730584</v>
      </c>
      <c r="G49" s="103">
        <f>G48/G52-1</f>
        <v>0.039110053872525086</v>
      </c>
      <c r="H49" s="103">
        <f>H48/H52-1</f>
        <v>0.061848707062910124</v>
      </c>
      <c r="I49" s="103">
        <f>I48/I52-1</f>
        <v>0.10492860432980189</v>
      </c>
      <c r="J49" s="108">
        <f>J48/J52-1</f>
        <v>0.07587286212259214</v>
      </c>
      <c r="K49" s="1"/>
    </row>
    <row r="50">
      <c r="A50" s="1"/>
      <c r="B50" s="26" t="s">
        <v>85</v>
      </c>
      <c r="C50" s="21">
        <f>C48-F52</f>
        <v>-1031</v>
      </c>
      <c r="D50" s="21">
        <f>D48-C48</f>
        <v>491</v>
      </c>
      <c r="E50" s="21">
        <f>E48-D48</f>
        <v>267</v>
      </c>
      <c r="F50" s="21">
        <f>F48-E48</f>
        <v>1093</v>
      </c>
      <c r="G50" s="1"/>
      <c r="H50" s="21">
        <f>H48-F48</f>
        <v>-1210</v>
      </c>
      <c r="I50" s="21">
        <f>I48-H48</f>
        <v>989</v>
      </c>
      <c r="J50" s="60">
        <f>J48-I48</f>
        <v>-28.142027472529662</v>
      </c>
      <c r="K50" s="1"/>
    </row>
    <row r="51">
      <c r="A51" s="1"/>
      <c r="B51" s="26" t="s">
        <v>76</v>
      </c>
      <c r="C51" s="103">
        <f>C48/F52-1</f>
        <v>-0.09047827994734536</v>
      </c>
      <c r="D51" s="103">
        <f>D48/C48-1</f>
        <v>0.047375530683133826</v>
      </c>
      <c r="E51" s="103">
        <f>E48/D48-1</f>
        <v>0.024596959926301176</v>
      </c>
      <c r="F51" s="103">
        <f>F48/E48-1</f>
        <v>0.0982736917820537</v>
      </c>
      <c r="G51" s="1"/>
      <c r="H51" s="103">
        <f>H48/F48-1</f>
        <v>-0.09905853458862057</v>
      </c>
      <c r="I51" s="103">
        <f>I48/H48-1</f>
        <v>0.08986824170831431</v>
      </c>
      <c r="J51" s="108">
        <f>J48/I48-1</f>
        <v>-0.0023463421271077145</v>
      </c>
      <c r="K51" s="1"/>
    </row>
    <row r="52">
      <c r="A52" s="1"/>
      <c r="B52" s="1" t="s">
        <v>110</v>
      </c>
      <c r="C52" s="23">
        <v>10345</v>
      </c>
      <c r="D52" s="23">
        <v>10541</v>
      </c>
      <c r="E52" s="23">
        <v>10598</v>
      </c>
      <c r="F52" s="23">
        <v>11395</v>
      </c>
      <c r="G52" s="23">
        <v>42879</v>
      </c>
      <c r="H52" s="3">
        <f>C48</f>
        <v>10364</v>
      </c>
      <c r="I52" s="3">
        <f>D48</f>
        <v>10855</v>
      </c>
      <c r="J52" s="8">
        <f>E48</f>
        <v>11122</v>
      </c>
      <c r="K52" s="1" t="s">
        <v>111</v>
      </c>
    </row>
    <row r="53">
      <c r="A53" s="1"/>
      <c r="B53" s="1" t="s">
        <v>112</v>
      </c>
      <c r="C53" s="40" t="b">
        <f>ABS(C47)&lt;=2</f>
        <v>1</v>
      </c>
      <c r="D53" s="40" t="b">
        <f>ABS(D47)&lt;=2</f>
        <v>1</v>
      </c>
      <c r="E53" s="40" t="b">
        <f>ABS(E47)&lt;=2</f>
        <v>1</v>
      </c>
      <c r="F53" s="40" t="b">
        <f>ABS(F47)&lt;=2</f>
        <v>1</v>
      </c>
      <c r="G53" s="40" t="b">
        <f>ABS(G47)&lt;=2</f>
        <v>1</v>
      </c>
      <c r="H53" s="40" t="b">
        <f>ABS(H47)&lt;=2</f>
        <v>1</v>
      </c>
      <c r="I53" s="40" t="b">
        <f>ABS(I47)&lt;=2</f>
        <v>1</v>
      </c>
      <c r="J53" s="76" t="b">
        <f>ABS(J47)&lt;=2</f>
        <v>1</v>
      </c>
      <c r="K53" s="1" t="s">
        <v>113</v>
      </c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>
      <c r="A55" s="1"/>
      <c r="B55" s="13" t="s">
        <v>114</v>
      </c>
      <c r="C55" s="1"/>
      <c r="D55" s="1"/>
      <c r="E55" s="1"/>
      <c r="F55" s="1"/>
      <c r="G55" s="1"/>
      <c r="H55" s="1"/>
      <c r="I55" s="1"/>
      <c r="J55" s="1"/>
      <c r="K55" s="1"/>
    </row>
    <row r="56">
      <c r="A56" s="1"/>
      <c r="B56" s="26" t="s">
        <v>115</v>
      </c>
      <c r="C56" s="58" t="s">
        <v>89</v>
      </c>
      <c r="D56" s="58" t="s">
        <v>89</v>
      </c>
      <c r="E56" s="58" t="s">
        <v>89</v>
      </c>
      <c r="F56" s="58" t="s">
        <v>89</v>
      </c>
      <c r="G56" s="58" t="s">
        <v>89</v>
      </c>
      <c r="H56" s="58" t="s">
        <v>89</v>
      </c>
      <c r="I56" s="58" t="s">
        <v>89</v>
      </c>
      <c r="J56" s="78">
        <f>'Segment - Life Sciences'!J74+'Segment - Analytical Instr'!J61+'Segment - Specialty Dx'!J100+'Segment - Lab Products &amp; BPS'!J87+J34</f>
        <v>505.70000000000005</v>
      </c>
      <c r="K56" s="1"/>
    </row>
    <row r="57">
      <c r="A57" s="1"/>
      <c r="B57" s="26" t="s">
        <v>116</v>
      </c>
      <c r="C57" s="58" t="s">
        <v>89</v>
      </c>
      <c r="D57" s="58" t="s">
        <v>89</v>
      </c>
      <c r="E57" s="58" t="s">
        <v>89</v>
      </c>
      <c r="F57" s="58" t="s">
        <v>89</v>
      </c>
      <c r="G57" s="58" t="s">
        <v>89</v>
      </c>
      <c r="H57" s="58" t="s">
        <v>89</v>
      </c>
      <c r="I57" s="58" t="s">
        <v>89</v>
      </c>
      <c r="J57" s="78">
        <f>'Segment - Life Sciences'!J75+'Segment - Analytical Instr'!J62+'Segment - Specialty Dx'!J101+'Segment - Lab Products &amp; BPS'!J88+J35</f>
        <v>398.2879120879121</v>
      </c>
      <c r="K57" s="1" t="s">
        <v>117</v>
      </c>
    </row>
    <row r="58">
      <c r="A58" s="1"/>
      <c r="B58" s="26" t="s">
        <v>118</v>
      </c>
      <c r="C58" s="58" t="s">
        <v>89</v>
      </c>
      <c r="D58" s="58" t="s">
        <v>89</v>
      </c>
      <c r="E58" s="58" t="s">
        <v>89</v>
      </c>
      <c r="F58" s="58" t="s">
        <v>89</v>
      </c>
      <c r="G58" s="58" t="s">
        <v>89</v>
      </c>
      <c r="H58" s="58" t="s">
        <v>89</v>
      </c>
      <c r="I58" s="58" t="s">
        <v>89</v>
      </c>
      <c r="J58" s="78">
        <f>'Segment - Life Sciences'!J76+'Segment - Analytical Instr'!J63+'Segment - Specialty Dx'!J102+'Segment - Lab Products &amp; BPS'!J89+J37</f>
        <v>-60.12993956043957</v>
      </c>
      <c r="K58" s="1"/>
    </row>
    <row r="59">
      <c r="A59" s="1"/>
      <c r="B59" s="26" t="s">
        <v>119</v>
      </c>
      <c r="C59" s="109">
        <v>0</v>
      </c>
      <c r="D59" s="109">
        <v>0.03</v>
      </c>
      <c r="E59" s="109">
        <v>0.05</v>
      </c>
      <c r="F59" s="109">
        <v>0.07</v>
      </c>
      <c r="G59" s="109">
        <v>0.04</v>
      </c>
      <c r="H59" s="109">
        <v>0.06</v>
      </c>
      <c r="I59" s="109">
        <v>0.1</v>
      </c>
      <c r="J59" s="108">
        <f>J49</f>
        <v>0.07587286212259214</v>
      </c>
      <c r="K59" s="1" t="s">
        <v>120</v>
      </c>
    </row>
    <row r="60">
      <c r="A60" s="1"/>
      <c r="B60" s="26" t="s">
        <v>121</v>
      </c>
      <c r="C60" s="109">
        <v>0</v>
      </c>
      <c r="D60" s="109">
        <v>0</v>
      </c>
      <c r="E60" s="109">
        <v>0.01</v>
      </c>
      <c r="F60" s="109">
        <v>0.02</v>
      </c>
      <c r="G60" s="109">
        <v>0.01</v>
      </c>
      <c r="H60" s="109">
        <v>0.03</v>
      </c>
      <c r="I60" s="109">
        <v>0.05</v>
      </c>
      <c r="J60" s="108">
        <f>J57/J52</f>
        <v>0.03581081748677505</v>
      </c>
      <c r="K60" s="1" t="s">
        <v>122</v>
      </c>
    </row>
    <row r="61">
      <c r="A61" s="1"/>
      <c r="B61" s="26" t="s">
        <v>123</v>
      </c>
      <c r="C61" s="109">
        <v>-0.01</v>
      </c>
      <c r="D61" s="109">
        <v>0.01</v>
      </c>
      <c r="E61" s="109">
        <v>0.01</v>
      </c>
      <c r="F61" s="109">
        <v>0.02</v>
      </c>
      <c r="G61" s="109">
        <v>0.01</v>
      </c>
      <c r="H61" s="109">
        <v>0.02</v>
      </c>
      <c r="I61" s="109">
        <v>0.01</v>
      </c>
      <c r="J61" s="108">
        <f>J58/J52</f>
        <v>-0.005406396292073329</v>
      </c>
      <c r="K61" s="1" t="s">
        <v>124</v>
      </c>
    </row>
    <row r="62">
      <c r="A62" s="1"/>
      <c r="B62" s="26" t="s">
        <v>125</v>
      </c>
      <c r="C62" s="109">
        <v>0.01</v>
      </c>
      <c r="D62" s="109">
        <v>0.02</v>
      </c>
      <c r="E62" s="109">
        <v>0.03</v>
      </c>
      <c r="F62" s="109">
        <v>0.03</v>
      </c>
      <c r="G62" s="109">
        <v>0.02</v>
      </c>
      <c r="H62" s="109">
        <v>0.01</v>
      </c>
      <c r="I62" s="109">
        <v>0.05</v>
      </c>
      <c r="J62" s="108">
        <f>J56/J52</f>
        <v>0.04546844092789067</v>
      </c>
      <c r="K62" s="1" t="s">
        <v>126</v>
      </c>
    </row>
    <row r="63">
      <c r="A63" s="1"/>
      <c r="B63" s="26" t="s">
        <v>127</v>
      </c>
      <c r="C63" s="103">
        <f>(1+C49)/((1+C60)*(1+C61))-1</f>
        <v>0.011956198036429999</v>
      </c>
      <c r="D63" s="103">
        <f>(1+D49)/((1+D60)*(1+D61))-1</f>
        <v>0.01959251991986033</v>
      </c>
      <c r="E63" s="103">
        <f>(1+E49)/((1+E60)*(1+E61))-1</f>
        <v>0.02876511242722901</v>
      </c>
      <c r="F63" s="103">
        <f>(1+F49)/((1+F60)*(1+F61))-1</f>
        <v>0.03033581946660746</v>
      </c>
      <c r="G63" s="103">
        <f>(1+G49)/((1+G60)*(1+G61))-1</f>
        <v>0.01863548071024912</v>
      </c>
      <c r="H63" s="103">
        <f>(1+H49)/((1+H60)*(1+H61))-1</f>
        <v>0.010706936096430697</v>
      </c>
      <c r="I63" s="103">
        <f>(1+I49)/((1+I60)*(1+I61))-1</f>
        <v>0.04189401634116163</v>
      </c>
      <c r="J63" s="108">
        <f>(1+J49)/((1+J60)*(1+J61))-1</f>
        <v>0.04432301407681405</v>
      </c>
      <c r="K63" s="1" t="s">
        <v>128</v>
      </c>
    </row>
    <row r="64">
      <c r="A64" s="1"/>
      <c r="B64" s="26" t="s">
        <v>129</v>
      </c>
      <c r="C64" s="109" t="s">
        <v>89</v>
      </c>
      <c r="D64" s="109" t="s">
        <v>89</v>
      </c>
      <c r="E64" s="109" t="s">
        <v>89</v>
      </c>
      <c r="F64" s="109" t="s">
        <v>89</v>
      </c>
      <c r="G64" s="109" t="s">
        <v>89</v>
      </c>
      <c r="H64" s="109" t="s">
        <v>89</v>
      </c>
      <c r="I64" s="109" t="s">
        <v>89</v>
      </c>
      <c r="J64" s="112">
        <v>-0.005</v>
      </c>
      <c r="K64" s="1" t="s">
        <v>130</v>
      </c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>
      <c r="A66" s="1"/>
      <c r="B66" s="13" t="s">
        <v>131</v>
      </c>
      <c r="C66" s="1"/>
      <c r="D66" s="1"/>
      <c r="E66" s="1"/>
      <c r="F66" s="1"/>
      <c r="G66" s="1"/>
      <c r="H66" s="1"/>
      <c r="I66" s="1"/>
      <c r="J66" s="1"/>
      <c r="K66" s="1"/>
    </row>
    <row r="67">
      <c r="A67" s="1"/>
      <c r="B67" s="1" t="s">
        <v>132</v>
      </c>
      <c r="C67" s="18">
        <f>Inputs!H103</f>
        <v>10233.94</v>
      </c>
      <c r="D67" s="18">
        <f>Inputs!H104</f>
        <v>10681.69</v>
      </c>
      <c r="E67" s="18">
        <f>Inputs!H105</f>
        <v>10914.68</v>
      </c>
      <c r="F67" s="18">
        <f>Inputs!H106</f>
        <v>11894.38</v>
      </c>
      <c r="G67" s="1"/>
      <c r="H67" s="18">
        <f>Inputs!H107</f>
        <v>10860.79</v>
      </c>
      <c r="I67" s="18">
        <f>Inputs!H108</f>
        <v>11699.57</v>
      </c>
      <c r="J67" s="50">
        <f>Inputs!C63</f>
        <v>11933.7</v>
      </c>
      <c r="K67" s="1" t="s">
        <v>133</v>
      </c>
    </row>
    <row r="68">
      <c r="A68" s="1"/>
      <c r="B68" s="1" t="s">
        <v>134</v>
      </c>
      <c r="C68" s="18">
        <f>Inputs!I103</f>
        <v>10364</v>
      </c>
      <c r="D68" s="18">
        <f>Inputs!I104</f>
        <v>10855</v>
      </c>
      <c r="E68" s="18">
        <f>Inputs!I105</f>
        <v>11122</v>
      </c>
      <c r="F68" s="18">
        <f>Inputs!I106</f>
        <v>12215</v>
      </c>
      <c r="G68" s="1"/>
      <c r="H68" s="18">
        <f>Inputs!I107</f>
        <v>11005</v>
      </c>
      <c r="I68" s="18">
        <f>Inputs!I108</f>
        <v>11994</v>
      </c>
      <c r="J68" s="54"/>
      <c r="K68" s="1"/>
    </row>
    <row r="69">
      <c r="A69" s="1"/>
      <c r="B69" s="1" t="s">
        <v>135</v>
      </c>
      <c r="C69" s="3">
        <f>C48-C67</f>
        <v>130.0599999999995</v>
      </c>
      <c r="D69" s="3">
        <f>D48-D67</f>
        <v>173.3099999999995</v>
      </c>
      <c r="E69" s="3">
        <f>E48-E67</f>
        <v>207.3199999999997</v>
      </c>
      <c r="F69" s="3">
        <f>F48-F67</f>
        <v>320.6200000000008</v>
      </c>
      <c r="G69" s="1"/>
      <c r="H69" s="3">
        <f>H48-H67</f>
        <v>144.20999999999913</v>
      </c>
      <c r="I69" s="3">
        <f>I48-I67</f>
        <v>294.4300000000003</v>
      </c>
      <c r="J69" s="8">
        <f>J48-J67</f>
        <v>32.15797252746961</v>
      </c>
      <c r="K69" s="1" t="s">
        <v>136</v>
      </c>
    </row>
    <row r="70">
      <c r="A70" s="1"/>
      <c r="B70" s="26" t="s">
        <v>137</v>
      </c>
      <c r="C70" s="103">
        <f>C48/C67-1</f>
        <v>0.01270869283970777</v>
      </c>
      <c r="D70" s="103">
        <f>D48/D67-1</f>
        <v>0.016224960656974652</v>
      </c>
      <c r="E70" s="103">
        <f>E48/E67-1</f>
        <v>0.01899460176569545</v>
      </c>
      <c r="F70" s="103">
        <f>F48/F67-1</f>
        <v>0.02695558742868487</v>
      </c>
      <c r="G70" s="1"/>
      <c r="H70" s="103">
        <f>H48/H67-1</f>
        <v>0.013278039626951621</v>
      </c>
      <c r="I70" s="103">
        <f>I48/I67-1</f>
        <v>0.025165882164900122</v>
      </c>
      <c r="J70" s="108">
        <f>J48/J67-1</f>
        <v>0.002694719368466547</v>
      </c>
      <c r="K70" s="1" t="s">
        <v>138</v>
      </c>
    </row>
    <row r="71">
      <c r="A71" s="1"/>
      <c r="B71" s="1" t="s">
        <v>139</v>
      </c>
      <c r="C71" s="40" t="b">
        <f>ABS(C48-C68)&lt;0.5</f>
        <v>1</v>
      </c>
      <c r="D71" s="40" t="b">
        <f>ABS(D48-D68)&lt;0.5</f>
        <v>1</v>
      </c>
      <c r="E71" s="40" t="b">
        <f>ABS(E48-E68)&lt;0.5</f>
        <v>1</v>
      </c>
      <c r="F71" s="40" t="b">
        <f>ABS(F48-F68)&lt;0.5</f>
        <v>1</v>
      </c>
      <c r="G71" s="1"/>
      <c r="H71" s="40" t="b">
        <f>ABS(H48-H68)&lt;0.5</f>
        <v>1</v>
      </c>
      <c r="I71" s="40" t="b">
        <f>ABS(I48-I68)&lt;0.5</f>
        <v>1</v>
      </c>
      <c r="J71" s="68"/>
      <c r="K71" s="1" t="s">
        <v>140</v>
      </c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>
      <c r="A73" s="1"/>
      <c r="B73" s="13" t="s">
        <v>141</v>
      </c>
      <c r="C73" s="1"/>
      <c r="D73" s="1"/>
      <c r="E73" s="1"/>
      <c r="F73" s="1"/>
      <c r="G73" s="1"/>
      <c r="H73" s="1"/>
      <c r="I73" s="1"/>
      <c r="J73" s="1"/>
      <c r="K73" s="1"/>
    </row>
    <row r="74">
      <c r="A74" s="1"/>
      <c r="B74" s="1" t="s">
        <v>142</v>
      </c>
      <c r="C74" s="23">
        <v>4354</v>
      </c>
      <c r="D74" s="23">
        <v>4606</v>
      </c>
      <c r="E74" s="23">
        <v>4679</v>
      </c>
      <c r="F74" s="3">
        <f>G74-C74-D74-E74</f>
        <v>5025</v>
      </c>
      <c r="G74" s="23">
        <v>18664</v>
      </c>
      <c r="H74" s="23">
        <v>4722</v>
      </c>
      <c r="I74" s="23">
        <v>5073</v>
      </c>
      <c r="J74" s="8">
        <f>J48*J82</f>
        <v>5085.489638324175</v>
      </c>
      <c r="K74" s="1" t="s">
        <v>143</v>
      </c>
    </row>
    <row r="75">
      <c r="A75" s="1"/>
      <c r="B75" s="26" t="s">
        <v>75</v>
      </c>
      <c r="C75" s="103">
        <f>C74/C78-1</f>
        <v>0.00600739371534198</v>
      </c>
      <c r="D75" s="103">
        <f>D74/D78-1</f>
        <v>0.05569562227824898</v>
      </c>
      <c r="E75" s="103">
        <f>E74/E78-1</f>
        <v>0.06850879196163517</v>
      </c>
      <c r="F75" s="103">
        <f>F74/F78-1</f>
        <v>0.112464024795218</v>
      </c>
      <c r="G75" s="103">
        <f>G74/G78-1</f>
        <v>0.06123841473815883</v>
      </c>
      <c r="H75" s="103">
        <f>H74/H78-1</f>
        <v>0.08451998162609087</v>
      </c>
      <c r="I75" s="103">
        <f>I74/I78-1</f>
        <v>0.10138949196699953</v>
      </c>
      <c r="J75" s="108">
        <f>J74/J78-1</f>
        <v>0.08687532342897519</v>
      </c>
      <c r="K75" s="1"/>
    </row>
    <row r="76">
      <c r="A76" s="1"/>
      <c r="B76" s="26" t="s">
        <v>85</v>
      </c>
      <c r="C76" s="21">
        <f>C74-F78</f>
        <v>-163</v>
      </c>
      <c r="D76" s="21">
        <f>D74-C74</f>
        <v>252</v>
      </c>
      <c r="E76" s="21">
        <f>E74-D74</f>
        <v>73</v>
      </c>
      <c r="F76" s="21">
        <f>F74-E74</f>
        <v>346</v>
      </c>
      <c r="G76" s="1"/>
      <c r="H76" s="21">
        <f>H74-F74</f>
        <v>-303</v>
      </c>
      <c r="I76" s="21">
        <f>I74-H74</f>
        <v>351</v>
      </c>
      <c r="J76" s="60">
        <f>J74-I74</f>
        <v>12.489638324174848</v>
      </c>
      <c r="K76" s="1"/>
    </row>
    <row r="77">
      <c r="A77" s="1"/>
      <c r="B77" s="26" t="s">
        <v>77</v>
      </c>
      <c r="C77" s="103">
        <f>C74/C48</f>
        <v>0.4201080663836357</v>
      </c>
      <c r="D77" s="103">
        <f>D74/D48</f>
        <v>0.42432058959005065</v>
      </c>
      <c r="E77" s="103">
        <f>E74/E48</f>
        <v>0.42069771623808666</v>
      </c>
      <c r="F77" s="103">
        <f>F74/F48</f>
        <v>0.4113794514940647</v>
      </c>
      <c r="G77" s="103">
        <f>G74/G48</f>
        <v>0.4188885896400036</v>
      </c>
      <c r="H77" s="103">
        <f>H74/H48</f>
        <v>0.42907769195820084</v>
      </c>
      <c r="I77" s="103">
        <f>I74/I48</f>
        <v>0.4229614807403702</v>
      </c>
      <c r="J77" s="108">
        <f>J74/J48</f>
        <v>0.425</v>
      </c>
      <c r="K77" s="1"/>
    </row>
    <row r="78">
      <c r="A78" s="1"/>
      <c r="B78" s="1" t="s">
        <v>144</v>
      </c>
      <c r="C78" s="23">
        <v>4328</v>
      </c>
      <c r="D78" s="23">
        <v>4363</v>
      </c>
      <c r="E78" s="23">
        <v>4379</v>
      </c>
      <c r="F78" s="3">
        <f>G78-C78-D78-E78</f>
        <v>4517</v>
      </c>
      <c r="G78" s="23">
        <v>17587</v>
      </c>
      <c r="H78" s="3">
        <f>C74</f>
        <v>4354</v>
      </c>
      <c r="I78" s="3">
        <f>D74</f>
        <v>4606</v>
      </c>
      <c r="J78" s="8">
        <f>E74</f>
        <v>4679</v>
      </c>
      <c r="K78" s="1" t="s">
        <v>145</v>
      </c>
    </row>
    <row r="79">
      <c r="A79" s="1"/>
      <c r="B79" s="26" t="s">
        <v>146</v>
      </c>
      <c r="C79" s="109" t="s">
        <v>89</v>
      </c>
      <c r="D79" s="109" t="s">
        <v>89</v>
      </c>
      <c r="E79" s="109" t="s">
        <v>89</v>
      </c>
      <c r="F79" s="109" t="s">
        <v>89</v>
      </c>
      <c r="G79" s="109" t="s">
        <v>89</v>
      </c>
      <c r="H79" s="109" t="s">
        <v>89</v>
      </c>
      <c r="I79" s="109" t="s">
        <v>89</v>
      </c>
      <c r="J79" s="112" t="s">
        <v>89</v>
      </c>
      <c r="K79" s="1" t="s">
        <v>147</v>
      </c>
    </row>
    <row r="80">
      <c r="A80" s="1"/>
      <c r="B80" s="26" t="s">
        <v>148</v>
      </c>
      <c r="C80" s="109" t="s">
        <v>89</v>
      </c>
      <c r="D80" s="109" t="s">
        <v>89</v>
      </c>
      <c r="E80" s="109" t="s">
        <v>89</v>
      </c>
      <c r="F80" s="109" t="s">
        <v>89</v>
      </c>
      <c r="G80" s="109" t="s">
        <v>89</v>
      </c>
      <c r="H80" s="109" t="s">
        <v>89</v>
      </c>
      <c r="I80" s="109" t="s">
        <v>89</v>
      </c>
      <c r="J80" s="112" t="s">
        <v>89</v>
      </c>
      <c r="K80" s="1" t="s">
        <v>149</v>
      </c>
    </row>
    <row r="81">
      <c r="A81" s="1"/>
      <c r="B81" s="26" t="s">
        <v>95</v>
      </c>
      <c r="C81" s="109" t="s">
        <v>89</v>
      </c>
      <c r="D81" s="109" t="s">
        <v>89</v>
      </c>
      <c r="E81" s="109" t="s">
        <v>89</v>
      </c>
      <c r="F81" s="109" t="s">
        <v>89</v>
      </c>
      <c r="G81" s="109" t="s">
        <v>89</v>
      </c>
      <c r="H81" s="109" t="s">
        <v>89</v>
      </c>
      <c r="I81" s="109" t="s">
        <v>89</v>
      </c>
      <c r="J81" s="112" t="s">
        <v>89</v>
      </c>
      <c r="K81" s="1"/>
    </row>
    <row r="82">
      <c r="A82" s="1"/>
      <c r="B82" s="26" t="s">
        <v>150</v>
      </c>
      <c r="C82" s="1"/>
      <c r="D82" s="1"/>
      <c r="E82" s="1"/>
      <c r="F82" s="1"/>
      <c r="G82" s="1"/>
      <c r="H82" s="1"/>
      <c r="I82" s="1"/>
      <c r="J82" s="112">
        <v>0.425</v>
      </c>
      <c r="K82" s="1" t="s">
        <v>151</v>
      </c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>
      <c r="A84" s="1"/>
      <c r="B84" s="1" t="s">
        <v>152</v>
      </c>
      <c r="C84" s="23">
        <v>1626</v>
      </c>
      <c r="D84" s="23">
        <v>1644</v>
      </c>
      <c r="E84" s="23">
        <v>1811</v>
      </c>
      <c r="F84" s="3">
        <f>G84-C84-D84-E84</f>
        <v>2220</v>
      </c>
      <c r="G84" s="23">
        <v>7301</v>
      </c>
      <c r="H84" s="23">
        <v>1555</v>
      </c>
      <c r="I84" s="23">
        <v>1750</v>
      </c>
      <c r="J84" s="8">
        <f>J48*J92</f>
        <v>1890.6055596593403</v>
      </c>
      <c r="K84" s="1" t="s">
        <v>143</v>
      </c>
    </row>
    <row r="85">
      <c r="A85" s="1"/>
      <c r="B85" s="26" t="s">
        <v>75</v>
      </c>
      <c r="C85" s="103">
        <f>C84/C88-1</f>
        <v>-0.0006146281499692652</v>
      </c>
      <c r="D85" s="103">
        <f>D84/D88-1</f>
        <v>-0.08666666666666667</v>
      </c>
      <c r="E85" s="103">
        <f>E84/E88-1</f>
        <v>0.023742227247032233</v>
      </c>
      <c r="F85" s="103">
        <f>F84/F88-1</f>
        <v>-0.013333333333333308</v>
      </c>
      <c r="G85" s="103">
        <f>G84/G88-1</f>
        <v>-0.019473542841794256</v>
      </c>
      <c r="H85" s="103">
        <f>H84/H88-1</f>
        <v>-0.04366543665436651</v>
      </c>
      <c r="I85" s="103">
        <f>I84/I88-1</f>
        <v>0.06447688564476883</v>
      </c>
      <c r="J85" s="108">
        <f>J84/J88-1</f>
        <v>0.0439566867252017</v>
      </c>
      <c r="K85" s="1"/>
    </row>
    <row r="86">
      <c r="A86" s="1"/>
      <c r="B86" s="26" t="s">
        <v>85</v>
      </c>
      <c r="C86" s="21">
        <f>C84-F88</f>
        <v>-624</v>
      </c>
      <c r="D86" s="21">
        <f>D84-C84</f>
        <v>18</v>
      </c>
      <c r="E86" s="21">
        <f>E84-D84</f>
        <v>167</v>
      </c>
      <c r="F86" s="21">
        <f>F84-E84</f>
        <v>409</v>
      </c>
      <c r="G86" s="1"/>
      <c r="H86" s="21">
        <f>H84-F84</f>
        <v>-665</v>
      </c>
      <c r="I86" s="21">
        <f>I84-H84</f>
        <v>195</v>
      </c>
      <c r="J86" s="60">
        <f>J84-I84</f>
        <v>140.60555965934032</v>
      </c>
      <c r="K86" s="1"/>
    </row>
    <row r="87">
      <c r="A87" s="1"/>
      <c r="B87" s="26" t="s">
        <v>77</v>
      </c>
      <c r="C87" s="103">
        <f>C84/C48</f>
        <v>0.15688923195677346</v>
      </c>
      <c r="D87" s="103">
        <f>D84/D48</f>
        <v>0.15145094426531552</v>
      </c>
      <c r="E87" s="103">
        <f>E84/E48</f>
        <v>0.1628304261823413</v>
      </c>
      <c r="F87" s="103">
        <f>F84/F48</f>
        <v>0.18174375767498976</v>
      </c>
      <c r="G87" s="103">
        <f>G84/G48</f>
        <v>0.16386120836699883</v>
      </c>
      <c r="H87" s="103">
        <f>H84/H48</f>
        <v>0.1412994093593821</v>
      </c>
      <c r="I87" s="103">
        <f>I84/I48</f>
        <v>0.1459062864765716</v>
      </c>
      <c r="J87" s="108">
        <f>J84/J48</f>
        <v>0.158</v>
      </c>
      <c r="K87" s="1"/>
    </row>
    <row r="88">
      <c r="A88" s="1"/>
      <c r="B88" s="1" t="s">
        <v>144</v>
      </c>
      <c r="C88" s="23">
        <v>1627</v>
      </c>
      <c r="D88" s="23">
        <v>1800</v>
      </c>
      <c r="E88" s="23">
        <v>1769</v>
      </c>
      <c r="F88" s="3">
        <f>G88-C88-D88-E88</f>
        <v>2250</v>
      </c>
      <c r="G88" s="23">
        <v>7446</v>
      </c>
      <c r="H88" s="3">
        <f>C84</f>
        <v>1626</v>
      </c>
      <c r="I88" s="3">
        <f>D84</f>
        <v>1644</v>
      </c>
      <c r="J88" s="8">
        <f>E84</f>
        <v>1811</v>
      </c>
      <c r="K88" s="1" t="s">
        <v>145</v>
      </c>
    </row>
    <row r="89">
      <c r="A89" s="1"/>
      <c r="B89" s="26" t="s">
        <v>146</v>
      </c>
      <c r="C89" s="109" t="s">
        <v>89</v>
      </c>
      <c r="D89" s="109" t="s">
        <v>89</v>
      </c>
      <c r="E89" s="109" t="s">
        <v>89</v>
      </c>
      <c r="F89" s="109" t="s">
        <v>89</v>
      </c>
      <c r="G89" s="109" t="s">
        <v>89</v>
      </c>
      <c r="H89" s="109" t="s">
        <v>89</v>
      </c>
      <c r="I89" s="109" t="s">
        <v>89</v>
      </c>
      <c r="J89" s="112" t="s">
        <v>89</v>
      </c>
      <c r="K89" s="1" t="s">
        <v>147</v>
      </c>
    </row>
    <row r="90">
      <c r="A90" s="1"/>
      <c r="B90" s="26" t="s">
        <v>148</v>
      </c>
      <c r="C90" s="109" t="s">
        <v>89</v>
      </c>
      <c r="D90" s="109" t="s">
        <v>89</v>
      </c>
      <c r="E90" s="109" t="s">
        <v>89</v>
      </c>
      <c r="F90" s="109" t="s">
        <v>89</v>
      </c>
      <c r="G90" s="109" t="s">
        <v>89</v>
      </c>
      <c r="H90" s="109" t="s">
        <v>89</v>
      </c>
      <c r="I90" s="109" t="s">
        <v>89</v>
      </c>
      <c r="J90" s="112" t="s">
        <v>89</v>
      </c>
      <c r="K90" s="1" t="s">
        <v>149</v>
      </c>
    </row>
    <row r="91">
      <c r="A91" s="1"/>
      <c r="B91" s="26" t="s">
        <v>95</v>
      </c>
      <c r="C91" s="109" t="s">
        <v>89</v>
      </c>
      <c r="D91" s="109" t="s">
        <v>89</v>
      </c>
      <c r="E91" s="109" t="s">
        <v>89</v>
      </c>
      <c r="F91" s="109" t="s">
        <v>89</v>
      </c>
      <c r="G91" s="109" t="s">
        <v>89</v>
      </c>
      <c r="H91" s="109" t="s">
        <v>89</v>
      </c>
      <c r="I91" s="109" t="s">
        <v>89</v>
      </c>
      <c r="J91" s="112" t="s">
        <v>89</v>
      </c>
      <c r="K91" s="1"/>
    </row>
    <row r="92">
      <c r="A92" s="1"/>
      <c r="B92" s="26" t="s">
        <v>150</v>
      </c>
      <c r="C92" s="1"/>
      <c r="D92" s="1"/>
      <c r="E92" s="1"/>
      <c r="F92" s="1"/>
      <c r="G92" s="1"/>
      <c r="H92" s="1"/>
      <c r="I92" s="1"/>
      <c r="J92" s="112">
        <v>0.158</v>
      </c>
      <c r="K92" s="1" t="s">
        <v>153</v>
      </c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>
      <c r="A94" s="1"/>
      <c r="B94" s="1" t="s">
        <v>154</v>
      </c>
      <c r="C94" s="23">
        <v>4384</v>
      </c>
      <c r="D94" s="23">
        <v>4605</v>
      </c>
      <c r="E94" s="23">
        <v>4633</v>
      </c>
      <c r="F94" s="3">
        <f>G94-C94-D94-E94</f>
        <v>4970</v>
      </c>
      <c r="G94" s="23">
        <v>18592</v>
      </c>
      <c r="H94" s="23">
        <v>4728</v>
      </c>
      <c r="I94" s="23">
        <v>5171</v>
      </c>
      <c r="J94" s="8">
        <f>J48-J74-J84</f>
        <v>4989.762774543955</v>
      </c>
      <c r="K94" s="1" t="s">
        <v>143</v>
      </c>
    </row>
    <row r="95">
      <c r="A95" s="1"/>
      <c r="B95" s="26" t="s">
        <v>75</v>
      </c>
      <c r="C95" s="103">
        <f>C94/C98-1</f>
        <v>-0.0013667425968109104</v>
      </c>
      <c r="D95" s="103">
        <f>D94/D98-1</f>
        <v>0.0518501598903609</v>
      </c>
      <c r="E95" s="103">
        <f>E94/E98-1</f>
        <v>0.04112359550561795</v>
      </c>
      <c r="F95" s="103">
        <f>F94/F98-1</f>
        <v>0.07413010590015134</v>
      </c>
      <c r="G95" s="103">
        <f>G94/G98-1</f>
        <v>0.041860465116279055</v>
      </c>
      <c r="H95" s="103">
        <f>H94/H98-1</f>
        <v>0.07846715328467146</v>
      </c>
      <c r="I95" s="103">
        <f>I94/I98-1</f>
        <v>0.12290988056460361</v>
      </c>
      <c r="J95" s="108">
        <f>J94/J98-1</f>
        <v>0.0770046998799816</v>
      </c>
      <c r="K95" s="1"/>
    </row>
    <row r="96">
      <c r="A96" s="1"/>
      <c r="B96" s="26" t="s">
        <v>85</v>
      </c>
      <c r="C96" s="21">
        <f>C94-F98</f>
        <v>-243</v>
      </c>
      <c r="D96" s="21">
        <f>D94-C94</f>
        <v>221</v>
      </c>
      <c r="E96" s="21">
        <f>E94-D94</f>
        <v>28</v>
      </c>
      <c r="F96" s="21">
        <f>F94-E94</f>
        <v>337</v>
      </c>
      <c r="G96" s="1"/>
      <c r="H96" s="21">
        <f>H94-F94</f>
        <v>-242</v>
      </c>
      <c r="I96" s="21">
        <f>I94-H94</f>
        <v>443</v>
      </c>
      <c r="J96" s="60">
        <f>J94-I94</f>
        <v>-181.23722545604505</v>
      </c>
      <c r="K96" s="1"/>
    </row>
    <row r="97">
      <c r="A97" s="1"/>
      <c r="B97" s="26" t="s">
        <v>77</v>
      </c>
      <c r="C97" s="103">
        <f>C94/C48</f>
        <v>0.4230027016595909</v>
      </c>
      <c r="D97" s="103">
        <f>D94/D48</f>
        <v>0.42422846614463383</v>
      </c>
      <c r="E97" s="103">
        <f>E94/E48</f>
        <v>0.4165617694659234</v>
      </c>
      <c r="F97" s="103">
        <f>F94/F48</f>
        <v>0.4068767908309456</v>
      </c>
      <c r="G97" s="103">
        <f>G94/G48</f>
        <v>0.4172726456593949</v>
      </c>
      <c r="H97" s="103">
        <f>H94/H48</f>
        <v>0.4296228986824171</v>
      </c>
      <c r="I97" s="103">
        <f>I94/I48</f>
        <v>0.4311322327830582</v>
      </c>
      <c r="J97" s="108">
        <f>J94/J48</f>
        <v>0.417</v>
      </c>
      <c r="K97" s="1"/>
    </row>
    <row r="98">
      <c r="A98" s="1"/>
      <c r="B98" s="1" t="s">
        <v>144</v>
      </c>
      <c r="C98" s="23">
        <v>4390</v>
      </c>
      <c r="D98" s="23">
        <v>4378</v>
      </c>
      <c r="E98" s="23">
        <v>4450</v>
      </c>
      <c r="F98" s="3">
        <f>G98-C98-D98-E98</f>
        <v>4627</v>
      </c>
      <c r="G98" s="23">
        <v>17845</v>
      </c>
      <c r="H98" s="3">
        <f>C94</f>
        <v>4384</v>
      </c>
      <c r="I98" s="3">
        <f>D94</f>
        <v>4605</v>
      </c>
      <c r="J98" s="8">
        <f>E94</f>
        <v>4633</v>
      </c>
      <c r="K98" s="1" t="s">
        <v>145</v>
      </c>
    </row>
    <row r="99">
      <c r="A99" s="1"/>
      <c r="B99" s="26" t="s">
        <v>146</v>
      </c>
      <c r="C99" s="109" t="s">
        <v>89</v>
      </c>
      <c r="D99" s="109" t="s">
        <v>89</v>
      </c>
      <c r="E99" s="109" t="s">
        <v>89</v>
      </c>
      <c r="F99" s="109" t="s">
        <v>89</v>
      </c>
      <c r="G99" s="109" t="s">
        <v>89</v>
      </c>
      <c r="H99" s="109" t="s">
        <v>89</v>
      </c>
      <c r="I99" s="109" t="s">
        <v>89</v>
      </c>
      <c r="J99" s="112" t="s">
        <v>89</v>
      </c>
      <c r="K99" s="1" t="s">
        <v>147</v>
      </c>
    </row>
    <row r="100">
      <c r="A100" s="1"/>
      <c r="B100" s="26" t="s">
        <v>148</v>
      </c>
      <c r="C100" s="109" t="s">
        <v>89</v>
      </c>
      <c r="D100" s="109" t="s">
        <v>89</v>
      </c>
      <c r="E100" s="109" t="s">
        <v>89</v>
      </c>
      <c r="F100" s="109" t="s">
        <v>89</v>
      </c>
      <c r="G100" s="109" t="s">
        <v>89</v>
      </c>
      <c r="H100" s="109" t="s">
        <v>89</v>
      </c>
      <c r="I100" s="109" t="s">
        <v>89</v>
      </c>
      <c r="J100" s="112" t="s">
        <v>89</v>
      </c>
      <c r="K100" s="1" t="s">
        <v>149</v>
      </c>
    </row>
    <row r="101">
      <c r="A101" s="1"/>
      <c r="B101" s="26" t="s">
        <v>95</v>
      </c>
      <c r="C101" s="109" t="s">
        <v>89</v>
      </c>
      <c r="D101" s="109" t="s">
        <v>89</v>
      </c>
      <c r="E101" s="109" t="s">
        <v>89</v>
      </c>
      <c r="F101" s="109" t="s">
        <v>89</v>
      </c>
      <c r="G101" s="109" t="s">
        <v>89</v>
      </c>
      <c r="H101" s="109" t="s">
        <v>89</v>
      </c>
      <c r="I101" s="109" t="s">
        <v>89</v>
      </c>
      <c r="J101" s="112" t="s">
        <v>89</v>
      </c>
      <c r="K101" s="1"/>
    </row>
    <row r="102">
      <c r="A102" s="1"/>
      <c r="B102" s="26" t="s">
        <v>155</v>
      </c>
      <c r="C102" s="1"/>
      <c r="D102" s="1"/>
      <c r="E102" s="1"/>
      <c r="F102" s="1"/>
      <c r="G102" s="1"/>
      <c r="H102" s="1"/>
      <c r="I102" s="1"/>
      <c r="J102" s="108">
        <f>J94/J48</f>
        <v>0.417</v>
      </c>
      <c r="K102" s="1" t="s">
        <v>156</v>
      </c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>
      <c r="A104" s="1"/>
      <c r="B104" s="26" t="s">
        <v>157</v>
      </c>
      <c r="C104" s="21">
        <f>C74+C84+C94-C48</f>
        <v>0</v>
      </c>
      <c r="D104" s="21">
        <f>D74+D84+D94-D48</f>
        <v>0</v>
      </c>
      <c r="E104" s="21">
        <f>E74+E84+E94-E48</f>
        <v>1</v>
      </c>
      <c r="F104" s="21">
        <f>F74+F84+F94-F48</f>
        <v>0</v>
      </c>
      <c r="G104" s="21">
        <f>G74+G84+G94-G48</f>
        <v>1</v>
      </c>
      <c r="H104" s="21">
        <f>H74+H84+H94-H48</f>
        <v>0</v>
      </c>
      <c r="I104" s="21">
        <f>I74+I84+I94-I48</f>
        <v>0</v>
      </c>
      <c r="J104" s="60">
        <f>J74+J84+J94-J48</f>
        <v>0</v>
      </c>
      <c r="K104" s="1" t="s">
        <v>158</v>
      </c>
    </row>
    <row r="105">
      <c r="A105" s="1"/>
      <c r="B105" s="1" t="s">
        <v>159</v>
      </c>
      <c r="C105" s="40" t="b">
        <f>ABS(C104)&lt;=2</f>
        <v>1</v>
      </c>
      <c r="D105" s="40" t="b">
        <f>ABS(D104)&lt;=2</f>
        <v>1</v>
      </c>
      <c r="E105" s="40" t="b">
        <f>ABS(E104)&lt;=2</f>
        <v>1</v>
      </c>
      <c r="F105" s="40" t="b">
        <f>ABS(F104)&lt;=2</f>
        <v>1</v>
      </c>
      <c r="G105" s="40" t="b">
        <f>ABS(G104)&lt;=2</f>
        <v>1</v>
      </c>
      <c r="H105" s="40" t="b">
        <f>ABS(H104)&lt;=2</f>
        <v>1</v>
      </c>
      <c r="I105" s="40" t="b">
        <f>ABS(I104)&lt;=2</f>
        <v>1</v>
      </c>
      <c r="J105" s="76" t="b">
        <f>ABS(J104)&lt;=2</f>
        <v>1</v>
      </c>
      <c r="K105" s="1" t="s">
        <v>160</v>
      </c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>
      <c r="A107" s="1"/>
      <c r="B107" s="1" t="s">
        <v>161</v>
      </c>
      <c r="C107" s="1"/>
      <c r="D107" s="1"/>
      <c r="E107" s="1"/>
      <c r="F107" s="1"/>
      <c r="G107" s="1"/>
      <c r="H107" s="1"/>
      <c r="I107" s="1"/>
      <c r="J107" s="68"/>
      <c r="K107" s="1" t="s">
        <v>162</v>
      </c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163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61</v>
      </c>
      <c r="C5" s="16" t="s">
        <v>62</v>
      </c>
      <c r="D5" s="16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6" t="s">
        <v>68</v>
      </c>
      <c r="J5" s="43" t="s">
        <v>69</v>
      </c>
      <c r="K5" s="9" t="s">
        <v>4</v>
      </c>
    </row>
    <row r="6">
      <c r="A6" s="1"/>
      <c r="B6" s="6" t="s">
        <v>70</v>
      </c>
      <c r="C6" s="14">
        <v>45745</v>
      </c>
      <c r="D6" s="14">
        <v>45836</v>
      </c>
      <c r="E6" s="14">
        <v>45927</v>
      </c>
      <c r="F6" s="14">
        <v>46022</v>
      </c>
      <c r="G6" s="14">
        <v>46022</v>
      </c>
      <c r="H6" s="14">
        <v>46109</v>
      </c>
      <c r="I6" s="14">
        <v>46200</v>
      </c>
      <c r="J6" s="45">
        <v>46291</v>
      </c>
      <c r="K6" s="6" t="s">
        <v>71</v>
      </c>
    </row>
    <row r="7">
      <c r="A7" s="1"/>
      <c r="B7" s="28" t="s">
        <v>72</v>
      </c>
      <c r="C7" s="22">
        <v>88</v>
      </c>
      <c r="D7" s="11">
        <f>D6-C6</f>
        <v>91</v>
      </c>
      <c r="E7" s="11">
        <f>E6-D6</f>
        <v>91</v>
      </c>
      <c r="F7" s="11">
        <f>F6-E6</f>
        <v>95</v>
      </c>
      <c r="G7" s="22">
        <v>365</v>
      </c>
      <c r="H7" s="11">
        <f>H6-F6</f>
        <v>87</v>
      </c>
      <c r="I7" s="11">
        <f>I6-H6</f>
        <v>91</v>
      </c>
      <c r="J7" s="36">
        <f>J6-I6</f>
        <v>91</v>
      </c>
      <c r="K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164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1" t="s">
        <v>165</v>
      </c>
      <c r="C11" s="23">
        <v>993</v>
      </c>
      <c r="D11" s="23">
        <v>1075</v>
      </c>
      <c r="E11" s="23">
        <v>1023</v>
      </c>
      <c r="F11" s="3">
        <f>G11-C11-D11-E11</f>
        <v>1078</v>
      </c>
      <c r="G11" s="23">
        <v>4169</v>
      </c>
      <c r="H11" s="23">
        <v>981</v>
      </c>
      <c r="I11" s="23">
        <v>1060</v>
      </c>
      <c r="J11" s="8">
        <f>J15+J17+J18+J21</f>
        <v>1017.885</v>
      </c>
      <c r="K11" s="1" t="s">
        <v>166</v>
      </c>
    </row>
    <row r="12">
      <c r="A12" s="1"/>
      <c r="B12" s="26" t="s">
        <v>75</v>
      </c>
      <c r="C12" s="103">
        <f>IF(ABS(C15)&lt;10,"n/m",C11/C15-1)</f>
        <v>-0.062322946175637384</v>
      </c>
      <c r="D12" s="103">
        <f>IF(ABS(D15)&lt;10,"n/m",D11/D15-1)</f>
        <v>0.015108593012275628</v>
      </c>
      <c r="E12" s="103">
        <f>IF(ABS(E15)&lt;10,"n/m",E11/E15-1)</f>
        <v>0.016898608349900535</v>
      </c>
      <c r="F12" s="103">
        <f>IF(ABS(F15)&lt;10,"n/m",F11/F15-1)</f>
        <v>0.009363295880149725</v>
      </c>
      <c r="G12" s="103">
        <f>IF(ABS(G15)&lt;10,"n/m",G11/G15-1)</f>
        <v>-0.0054866412213741</v>
      </c>
      <c r="H12" s="103">
        <f>IF(ABS(H15)&lt;10,"n/m",H11/H15-1)</f>
        <v>-0.012084592145015116</v>
      </c>
      <c r="I12" s="103">
        <f>IF(ABS(I15)&lt;10,"n/m",I11/I15-1)</f>
        <v>-0.013953488372092981</v>
      </c>
      <c r="J12" s="108">
        <f>IF(ABS(J15)&lt;10,"n/m",J11/J15-1)</f>
        <v>-0.0050000000000000044</v>
      </c>
      <c r="K12" s="1"/>
    </row>
    <row r="13">
      <c r="A13" s="1"/>
      <c r="B13" s="26" t="s">
        <v>85</v>
      </c>
      <c r="C13" s="21">
        <f>C11-F15</f>
        <v>-75</v>
      </c>
      <c r="D13" s="21">
        <f>D11-C11</f>
        <v>82</v>
      </c>
      <c r="E13" s="21">
        <f>E11-D11</f>
        <v>-52</v>
      </c>
      <c r="F13" s="21">
        <f>F11-E11</f>
        <v>55</v>
      </c>
      <c r="G13" s="1"/>
      <c r="H13" s="21">
        <f>H11-F11</f>
        <v>-97</v>
      </c>
      <c r="I13" s="21">
        <f>I11-H11</f>
        <v>79</v>
      </c>
      <c r="J13" s="60">
        <f>J11-I11</f>
        <v>-42.11500000000001</v>
      </c>
      <c r="K13" s="1" t="s">
        <v>167</v>
      </c>
    </row>
    <row r="14">
      <c r="A14" s="1"/>
      <c r="B14" s="26" t="s">
        <v>168</v>
      </c>
      <c r="C14" s="103">
        <f>C11/C65</f>
        <v>0.42417770183682185</v>
      </c>
      <c r="D14" s="103">
        <f>D11/D65</f>
        <v>0.430172068827531</v>
      </c>
      <c r="E14" s="103">
        <f>E11/E65</f>
        <v>0.3952859350850077</v>
      </c>
      <c r="F14" s="103">
        <f>F11/F65</f>
        <v>0.36591989137813985</v>
      </c>
      <c r="G14" s="103">
        <f>G11/G65</f>
        <v>0.4018700597647966</v>
      </c>
      <c r="H14" s="103">
        <f>H11/H65</f>
        <v>0.37215477996965096</v>
      </c>
      <c r="I14" s="103">
        <f>I11/I65</f>
        <v>0.3765541740674956</v>
      </c>
      <c r="J14" s="108">
        <f>J11/J65</f>
        <v>0.3607829307000529</v>
      </c>
      <c r="K14" s="1" t="s">
        <v>169</v>
      </c>
    </row>
    <row r="15">
      <c r="A15" s="1"/>
      <c r="B15" s="1" t="s">
        <v>144</v>
      </c>
      <c r="C15" s="23">
        <v>1059</v>
      </c>
      <c r="D15" s="23">
        <v>1059</v>
      </c>
      <c r="E15" s="23">
        <v>1006</v>
      </c>
      <c r="F15" s="3">
        <f>G15-C15-D15-E15</f>
        <v>1068</v>
      </c>
      <c r="G15" s="23">
        <v>4192</v>
      </c>
      <c r="H15" s="3">
        <f>C11</f>
        <v>993</v>
      </c>
      <c r="I15" s="3">
        <f>D11</f>
        <v>1075</v>
      </c>
      <c r="J15" s="8">
        <f>E11</f>
        <v>1023</v>
      </c>
      <c r="K15" s="1" t="s">
        <v>170</v>
      </c>
    </row>
    <row r="16">
      <c r="A16" s="1"/>
      <c r="B16" s="26" t="s">
        <v>171</v>
      </c>
      <c r="C16" s="109" t="s">
        <v>89</v>
      </c>
      <c r="D16" s="109" t="s">
        <v>89</v>
      </c>
      <c r="E16" s="109" t="s">
        <v>89</v>
      </c>
      <c r="F16" s="109" t="s">
        <v>89</v>
      </c>
      <c r="G16" s="109" t="s">
        <v>89</v>
      </c>
      <c r="H16" s="109" t="s">
        <v>89</v>
      </c>
      <c r="I16" s="109" t="s">
        <v>89</v>
      </c>
      <c r="J16" s="112">
        <v>0</v>
      </c>
      <c r="K16" s="1" t="s">
        <v>172</v>
      </c>
    </row>
    <row r="17">
      <c r="A17" s="1"/>
      <c r="B17" s="26" t="s">
        <v>91</v>
      </c>
      <c r="C17" s="58" t="s">
        <v>89</v>
      </c>
      <c r="D17" s="58" t="s">
        <v>89</v>
      </c>
      <c r="E17" s="58" t="s">
        <v>89</v>
      </c>
      <c r="F17" s="58" t="s">
        <v>89</v>
      </c>
      <c r="G17" s="58" t="s">
        <v>89</v>
      </c>
      <c r="H17" s="58" t="s">
        <v>89</v>
      </c>
      <c r="I17" s="58" t="s">
        <v>89</v>
      </c>
      <c r="J17" s="60">
        <f>J15*J16</f>
        <v>0</v>
      </c>
      <c r="K17" s="1" t="s">
        <v>92</v>
      </c>
    </row>
    <row r="18">
      <c r="A18" s="1"/>
      <c r="B18" s="26" t="s">
        <v>173</v>
      </c>
      <c r="C18" s="58" t="s">
        <v>89</v>
      </c>
      <c r="D18" s="58" t="s">
        <v>89</v>
      </c>
      <c r="E18" s="58" t="s">
        <v>89</v>
      </c>
      <c r="F18" s="58" t="s">
        <v>89</v>
      </c>
      <c r="G18" s="58" t="s">
        <v>89</v>
      </c>
      <c r="H18" s="58" t="s">
        <v>89</v>
      </c>
      <c r="I18" s="58" t="s">
        <v>89</v>
      </c>
      <c r="J18" s="75">
        <v>0</v>
      </c>
      <c r="K18" s="1" t="s">
        <v>174</v>
      </c>
    </row>
    <row r="19">
      <c r="A19" s="1"/>
      <c r="B19" s="26" t="s">
        <v>175</v>
      </c>
      <c r="C19" s="109" t="s">
        <v>89</v>
      </c>
      <c r="D19" s="109" t="s">
        <v>89</v>
      </c>
      <c r="E19" s="109" t="s">
        <v>89</v>
      </c>
      <c r="F19" s="109" t="s">
        <v>89</v>
      </c>
      <c r="G19" s="109" t="s">
        <v>89</v>
      </c>
      <c r="H19" s="109" t="s">
        <v>89</v>
      </c>
      <c r="I19" s="109" t="s">
        <v>89</v>
      </c>
      <c r="J19" s="108">
        <f>J18/J15</f>
        <v>0</v>
      </c>
      <c r="K19" s="1" t="s">
        <v>176</v>
      </c>
    </row>
    <row r="20">
      <c r="A20" s="1"/>
      <c r="B20" s="26" t="s">
        <v>95</v>
      </c>
      <c r="C20" s="109" t="s">
        <v>89</v>
      </c>
      <c r="D20" s="109" t="s">
        <v>89</v>
      </c>
      <c r="E20" s="109" t="s">
        <v>89</v>
      </c>
      <c r="F20" s="109" t="s">
        <v>89</v>
      </c>
      <c r="G20" s="109" t="s">
        <v>89</v>
      </c>
      <c r="H20" s="109" t="s">
        <v>89</v>
      </c>
      <c r="I20" s="109" t="s">
        <v>89</v>
      </c>
      <c r="J20" s="113">
        <f>'Revenue summary'!J64</f>
        <v>-0.005</v>
      </c>
      <c r="K20" s="1" t="s">
        <v>177</v>
      </c>
    </row>
    <row r="21">
      <c r="A21" s="1"/>
      <c r="B21" s="26" t="s">
        <v>96</v>
      </c>
      <c r="C21" s="58" t="s">
        <v>89</v>
      </c>
      <c r="D21" s="58" t="s">
        <v>89</v>
      </c>
      <c r="E21" s="58" t="s">
        <v>89</v>
      </c>
      <c r="F21" s="58" t="s">
        <v>89</v>
      </c>
      <c r="G21" s="58" t="s">
        <v>89</v>
      </c>
      <c r="H21" s="58" t="s">
        <v>89</v>
      </c>
      <c r="I21" s="58" t="s">
        <v>89</v>
      </c>
      <c r="J21" s="60">
        <f>(J15+J17+J18)*J20</f>
        <v>-5.115</v>
      </c>
      <c r="K21" s="1"/>
    </row>
    <row r="22">
      <c r="A22" s="1"/>
      <c r="B22" s="26" t="s">
        <v>178</v>
      </c>
      <c r="C22" s="109" t="s">
        <v>89</v>
      </c>
      <c r="D22" s="109" t="s">
        <v>89</v>
      </c>
      <c r="E22" s="109" t="s">
        <v>89</v>
      </c>
      <c r="F22" s="109" t="s">
        <v>89</v>
      </c>
      <c r="G22" s="109" t="s">
        <v>89</v>
      </c>
      <c r="H22" s="109" t="s">
        <v>89</v>
      </c>
      <c r="I22" s="109" t="s">
        <v>89</v>
      </c>
      <c r="J22" s="108">
        <f>(1+J12)/((1+J19)*(1+J20))-1</f>
        <v>0</v>
      </c>
      <c r="K22" s="1" t="s">
        <v>179</v>
      </c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>
      <c r="A24" s="1"/>
      <c r="B24" s="1" t="s">
        <v>180</v>
      </c>
      <c r="C24" s="23">
        <v>677</v>
      </c>
      <c r="D24" s="23">
        <v>679</v>
      </c>
      <c r="E24" s="23">
        <v>720</v>
      </c>
      <c r="F24" s="3">
        <f>G24-C24-D24-E24</f>
        <v>794</v>
      </c>
      <c r="G24" s="23">
        <v>2870</v>
      </c>
      <c r="H24" s="23">
        <v>655</v>
      </c>
      <c r="I24" s="23">
        <v>703</v>
      </c>
      <c r="J24" s="8">
        <f>J28+J30+J31+J34</f>
        <v>730.728</v>
      </c>
      <c r="K24" s="1" t="s">
        <v>166</v>
      </c>
    </row>
    <row r="25">
      <c r="A25" s="1"/>
      <c r="B25" s="26" t="s">
        <v>75</v>
      </c>
      <c r="C25" s="103">
        <f>IF(ABS(C28)&lt;10,"n/m",C24/C28-1)</f>
        <v>0.06279434850863419</v>
      </c>
      <c r="D25" s="103">
        <f>IF(ABS(D28)&lt;10,"n/m",D24/D28-1)</f>
        <v>0.02413273001508287</v>
      </c>
      <c r="E25" s="103">
        <f>IF(ABS(E28)&lt;10,"n/m",E24/E28-1)</f>
        <v>0.02710413694721825</v>
      </c>
      <c r="F25" s="103">
        <f>IF(ABS(F28)&lt;10,"n/m",F24/F28-1)</f>
        <v>0.010178117048346147</v>
      </c>
      <c r="G25" s="103">
        <f>IF(ABS(G28)&lt;10,"n/m",G24/G28-1)</f>
        <v>0.02978112665949051</v>
      </c>
      <c r="H25" s="103">
        <f>IF(ABS(H28)&lt;10,"n/m",H24/H28-1)</f>
        <v>-0.03249630723781394</v>
      </c>
      <c r="I25" s="103">
        <f>IF(ABS(I28)&lt;10,"n/m",I24/I28-1)</f>
        <v>0.0353460972017674</v>
      </c>
      <c r="J25" s="108">
        <f>IF(ABS(J28)&lt;10,"n/m",J24/J28-1)</f>
        <v>0.014899999999999913</v>
      </c>
      <c r="K25" s="1"/>
    </row>
    <row r="26">
      <c r="A26" s="1"/>
      <c r="B26" s="26" t="s">
        <v>85</v>
      </c>
      <c r="C26" s="21">
        <f>C24-F28</f>
        <v>-109</v>
      </c>
      <c r="D26" s="21">
        <f>D24-C24</f>
        <v>2</v>
      </c>
      <c r="E26" s="21">
        <f>E24-D24</f>
        <v>41</v>
      </c>
      <c r="F26" s="21">
        <f>F24-E24</f>
        <v>74</v>
      </c>
      <c r="G26" s="1"/>
      <c r="H26" s="21">
        <f>H24-F24</f>
        <v>-139</v>
      </c>
      <c r="I26" s="21">
        <f>I24-H24</f>
        <v>48</v>
      </c>
      <c r="J26" s="60">
        <f>J24-I24</f>
        <v>27.727999999999952</v>
      </c>
      <c r="K26" s="1" t="s">
        <v>167</v>
      </c>
    </row>
    <row r="27">
      <c r="A27" s="1"/>
      <c r="B27" s="26" t="s">
        <v>168</v>
      </c>
      <c r="C27" s="103">
        <f>C24/C65</f>
        <v>0.28919265271251604</v>
      </c>
      <c r="D27" s="103">
        <f>D24/D65</f>
        <v>0.27170868347338933</v>
      </c>
      <c r="E27" s="103">
        <f>E24/E65</f>
        <v>0.2782071097372488</v>
      </c>
      <c r="F27" s="103">
        <f>F24/F65</f>
        <v>0.2695179904955872</v>
      </c>
      <c r="G27" s="103">
        <f>G24/G65</f>
        <v>0.2766531713900135</v>
      </c>
      <c r="H27" s="103">
        <f>H24/H65</f>
        <v>0.2484825493171472</v>
      </c>
      <c r="I27" s="103">
        <f>I24/I65</f>
        <v>0.2497335701598579</v>
      </c>
      <c r="J27" s="108">
        <f>J24/J65</f>
        <v>0.2590019396931758</v>
      </c>
      <c r="K27" s="1" t="s">
        <v>169</v>
      </c>
    </row>
    <row r="28">
      <c r="A28" s="1"/>
      <c r="B28" s="1" t="s">
        <v>144</v>
      </c>
      <c r="C28" s="23">
        <v>637</v>
      </c>
      <c r="D28" s="23">
        <v>663</v>
      </c>
      <c r="E28" s="23">
        <v>701</v>
      </c>
      <c r="F28" s="3">
        <f>G28-C28-D28-E28</f>
        <v>786</v>
      </c>
      <c r="G28" s="23">
        <v>2787</v>
      </c>
      <c r="H28" s="3">
        <f>C24</f>
        <v>677</v>
      </c>
      <c r="I28" s="3">
        <f>D24</f>
        <v>679</v>
      </c>
      <c r="J28" s="8">
        <f>E24</f>
        <v>720</v>
      </c>
      <c r="K28" s="1" t="s">
        <v>170</v>
      </c>
    </row>
    <row r="29">
      <c r="A29" s="1"/>
      <c r="B29" s="26" t="s">
        <v>171</v>
      </c>
      <c r="C29" s="109" t="s">
        <v>89</v>
      </c>
      <c r="D29" s="109" t="s">
        <v>89</v>
      </c>
      <c r="E29" s="109" t="s">
        <v>89</v>
      </c>
      <c r="F29" s="109" t="s">
        <v>89</v>
      </c>
      <c r="G29" s="109" t="s">
        <v>89</v>
      </c>
      <c r="H29" s="109" t="s">
        <v>89</v>
      </c>
      <c r="I29" s="109" t="s">
        <v>89</v>
      </c>
      <c r="J29" s="112">
        <v>0.02</v>
      </c>
      <c r="K29" s="1" t="s">
        <v>181</v>
      </c>
    </row>
    <row r="30">
      <c r="A30" s="1"/>
      <c r="B30" s="26" t="s">
        <v>91</v>
      </c>
      <c r="C30" s="58" t="s">
        <v>89</v>
      </c>
      <c r="D30" s="58" t="s">
        <v>89</v>
      </c>
      <c r="E30" s="58" t="s">
        <v>89</v>
      </c>
      <c r="F30" s="58" t="s">
        <v>89</v>
      </c>
      <c r="G30" s="58" t="s">
        <v>89</v>
      </c>
      <c r="H30" s="58" t="s">
        <v>89</v>
      </c>
      <c r="I30" s="58" t="s">
        <v>89</v>
      </c>
      <c r="J30" s="60">
        <f>J28*J29</f>
        <v>14.4</v>
      </c>
      <c r="K30" s="1" t="s">
        <v>92</v>
      </c>
    </row>
    <row r="31">
      <c r="A31" s="1"/>
      <c r="B31" s="26" t="s">
        <v>173</v>
      </c>
      <c r="C31" s="58" t="s">
        <v>89</v>
      </c>
      <c r="D31" s="58" t="s">
        <v>89</v>
      </c>
      <c r="E31" s="58" t="s">
        <v>89</v>
      </c>
      <c r="F31" s="58" t="s">
        <v>89</v>
      </c>
      <c r="G31" s="58" t="s">
        <v>89</v>
      </c>
      <c r="H31" s="58" t="s">
        <v>89</v>
      </c>
      <c r="I31" s="58" t="s">
        <v>89</v>
      </c>
      <c r="J31" s="75">
        <v>0</v>
      </c>
      <c r="K31" s="1" t="s">
        <v>174</v>
      </c>
    </row>
    <row r="32">
      <c r="A32" s="1"/>
      <c r="B32" s="26" t="s">
        <v>175</v>
      </c>
      <c r="C32" s="109" t="s">
        <v>89</v>
      </c>
      <c r="D32" s="109" t="s">
        <v>89</v>
      </c>
      <c r="E32" s="109" t="s">
        <v>89</v>
      </c>
      <c r="F32" s="109" t="s">
        <v>89</v>
      </c>
      <c r="G32" s="109" t="s">
        <v>89</v>
      </c>
      <c r="H32" s="109" t="s">
        <v>89</v>
      </c>
      <c r="I32" s="109" t="s">
        <v>89</v>
      </c>
      <c r="J32" s="108">
        <f>J31/J28</f>
        <v>0</v>
      </c>
      <c r="K32" s="1" t="s">
        <v>176</v>
      </c>
    </row>
    <row r="33">
      <c r="A33" s="1"/>
      <c r="B33" s="26" t="s">
        <v>95</v>
      </c>
      <c r="C33" s="109" t="s">
        <v>89</v>
      </c>
      <c r="D33" s="109" t="s">
        <v>89</v>
      </c>
      <c r="E33" s="109" t="s">
        <v>89</v>
      </c>
      <c r="F33" s="109" t="s">
        <v>89</v>
      </c>
      <c r="G33" s="109" t="s">
        <v>89</v>
      </c>
      <c r="H33" s="109" t="s">
        <v>89</v>
      </c>
      <c r="I33" s="109" t="s">
        <v>89</v>
      </c>
      <c r="J33" s="113">
        <f>'Revenue summary'!J64</f>
        <v>-0.005</v>
      </c>
      <c r="K33" s="1" t="s">
        <v>177</v>
      </c>
    </row>
    <row r="34">
      <c r="A34" s="1"/>
      <c r="B34" s="26" t="s">
        <v>96</v>
      </c>
      <c r="C34" s="58" t="s">
        <v>89</v>
      </c>
      <c r="D34" s="58" t="s">
        <v>89</v>
      </c>
      <c r="E34" s="58" t="s">
        <v>89</v>
      </c>
      <c r="F34" s="58" t="s">
        <v>89</v>
      </c>
      <c r="G34" s="58" t="s">
        <v>89</v>
      </c>
      <c r="H34" s="58" t="s">
        <v>89</v>
      </c>
      <c r="I34" s="58" t="s">
        <v>89</v>
      </c>
      <c r="J34" s="60">
        <f>(J28+J30+J31)*J33</f>
        <v>-3.672</v>
      </c>
      <c r="K34" s="1"/>
    </row>
    <row r="35">
      <c r="A35" s="1"/>
      <c r="B35" s="26" t="s">
        <v>178</v>
      </c>
      <c r="C35" s="109" t="s">
        <v>89</v>
      </c>
      <c r="D35" s="109" t="s">
        <v>89</v>
      </c>
      <c r="E35" s="109" t="s">
        <v>89</v>
      </c>
      <c r="F35" s="109" t="s">
        <v>89</v>
      </c>
      <c r="G35" s="109" t="s">
        <v>89</v>
      </c>
      <c r="H35" s="109" t="s">
        <v>89</v>
      </c>
      <c r="I35" s="109" t="s">
        <v>89</v>
      </c>
      <c r="J35" s="108">
        <f>(1+J25)/((1+J32)*(1+J33))-1</f>
        <v>0.020000000000000018</v>
      </c>
      <c r="K35" s="1" t="s">
        <v>179</v>
      </c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>
      <c r="A37" s="1"/>
      <c r="B37" s="1" t="s">
        <v>182</v>
      </c>
      <c r="C37" s="23">
        <v>671</v>
      </c>
      <c r="D37" s="23">
        <v>745</v>
      </c>
      <c r="E37" s="23">
        <v>817</v>
      </c>
      <c r="F37" s="3">
        <f>G37-C37-D37-E37</f>
        <v>967</v>
      </c>
      <c r="G37" s="23">
        <v>3200</v>
      </c>
      <c r="H37" s="23">
        <v>893</v>
      </c>
      <c r="I37" s="23">
        <v>941</v>
      </c>
      <c r="J37" s="8">
        <f>J41+J43+J44+J47</f>
        <v>968.8315</v>
      </c>
      <c r="K37" s="1" t="s">
        <v>166</v>
      </c>
    </row>
    <row r="38">
      <c r="A38" s="1"/>
      <c r="B38" s="26" t="s">
        <v>75</v>
      </c>
      <c r="C38" s="103">
        <f>IF(ABS(C41)&lt;10,"n/m",C37/C41-1)</f>
        <v>0.13728813559322028</v>
      </c>
      <c r="D38" s="103">
        <f>IF(ABS(D41)&lt;10,"n/m",D37/D41-1)</f>
        <v>0.17693522906793047</v>
      </c>
      <c r="E38" s="103">
        <f>IF(ABS(E41)&lt;10,"n/m",E37/E41-1)</f>
        <v>0.20147058823529407</v>
      </c>
      <c r="F38" s="103">
        <f>IF(ABS(F41)&lt;10,"n/m",F37/F41-1)</f>
        <v>0.29105473965287043</v>
      </c>
      <c r="G38" s="103">
        <f>IF(ABS(G41)&lt;10,"n/m",G37/G41-1)</f>
        <v>0.20663650075414774</v>
      </c>
      <c r="H38" s="103">
        <f>IF(ABS(H41)&lt;10,"n/m",H37/H41-1)</f>
        <v>0.3308494783904621</v>
      </c>
      <c r="I38" s="103">
        <f>IF(ABS(I41)&lt;10,"n/m",I37/I41-1)</f>
        <v>0.2630872483221476</v>
      </c>
      <c r="J38" s="108">
        <f>IF(ABS(J41)&lt;10,"n/m",J37/J41-1)</f>
        <v>0.1858402692778458</v>
      </c>
      <c r="K38" s="1"/>
    </row>
    <row r="39">
      <c r="A39" s="1"/>
      <c r="B39" s="26" t="s">
        <v>85</v>
      </c>
      <c r="C39" s="21">
        <f>C37-F41</f>
        <v>-78</v>
      </c>
      <c r="D39" s="21">
        <f>D37-C37</f>
        <v>74</v>
      </c>
      <c r="E39" s="21">
        <f>E37-D37</f>
        <v>72</v>
      </c>
      <c r="F39" s="21">
        <f>F37-E37</f>
        <v>150</v>
      </c>
      <c r="G39" s="1"/>
      <c r="H39" s="21">
        <f>H37-F37</f>
        <v>-74</v>
      </c>
      <c r="I39" s="21">
        <f>I37-H37</f>
        <v>48</v>
      </c>
      <c r="J39" s="60">
        <f>J37-I37</f>
        <v>27.831500000000005</v>
      </c>
      <c r="K39" s="1" t="s">
        <v>167</v>
      </c>
    </row>
    <row r="40">
      <c r="A40" s="1"/>
      <c r="B40" s="26" t="s">
        <v>168</v>
      </c>
      <c r="C40" s="103">
        <f>C37/C65</f>
        <v>0.2866296454506621</v>
      </c>
      <c r="D40" s="103">
        <f>D37/D65</f>
        <v>0.29811924769907966</v>
      </c>
      <c r="E40" s="103">
        <f>E37/E65</f>
        <v>0.31568778979907264</v>
      </c>
      <c r="F40" s="103">
        <f>F37/F65</f>
        <v>0.3282416836388323</v>
      </c>
      <c r="G40" s="103">
        <f>G37/G65</f>
        <v>0.3084634663582032</v>
      </c>
      <c r="H40" s="103">
        <f>H37/H65</f>
        <v>0.33877086494688924</v>
      </c>
      <c r="I40" s="103">
        <f>I37/I65</f>
        <v>0.33428063943161634</v>
      </c>
      <c r="J40" s="108">
        <f>J37/J65</f>
        <v>0.3433962264150944</v>
      </c>
      <c r="K40" s="1" t="s">
        <v>169</v>
      </c>
    </row>
    <row r="41">
      <c r="A41" s="1"/>
      <c r="B41" s="1" t="s">
        <v>144</v>
      </c>
      <c r="C41" s="23">
        <v>590</v>
      </c>
      <c r="D41" s="23">
        <v>633</v>
      </c>
      <c r="E41" s="23">
        <v>680</v>
      </c>
      <c r="F41" s="3">
        <f>G41-C41-D41-E41</f>
        <v>749</v>
      </c>
      <c r="G41" s="23">
        <v>2652</v>
      </c>
      <c r="H41" s="3">
        <f>C37</f>
        <v>671</v>
      </c>
      <c r="I41" s="3">
        <f>D37</f>
        <v>745</v>
      </c>
      <c r="J41" s="8">
        <f>E37</f>
        <v>817</v>
      </c>
      <c r="K41" s="1" t="s">
        <v>170</v>
      </c>
    </row>
    <row r="42">
      <c r="A42" s="1"/>
      <c r="B42" s="26" t="s">
        <v>171</v>
      </c>
      <c r="C42" s="109" t="s">
        <v>89</v>
      </c>
      <c r="D42" s="109" t="s">
        <v>89</v>
      </c>
      <c r="E42" s="109" t="s">
        <v>89</v>
      </c>
      <c r="F42" s="109" t="s">
        <v>89</v>
      </c>
      <c r="G42" s="109" t="s">
        <v>89</v>
      </c>
      <c r="H42" s="109" t="s">
        <v>89</v>
      </c>
      <c r="I42" s="109" t="s">
        <v>89</v>
      </c>
      <c r="J42" s="112">
        <v>0.1</v>
      </c>
      <c r="K42" s="1" t="s">
        <v>183</v>
      </c>
    </row>
    <row r="43">
      <c r="A43" s="1"/>
      <c r="B43" s="26" t="s">
        <v>91</v>
      </c>
      <c r="C43" s="58" t="s">
        <v>89</v>
      </c>
      <c r="D43" s="58" t="s">
        <v>89</v>
      </c>
      <c r="E43" s="58" t="s">
        <v>89</v>
      </c>
      <c r="F43" s="58" t="s">
        <v>89</v>
      </c>
      <c r="G43" s="58" t="s">
        <v>89</v>
      </c>
      <c r="H43" s="58" t="s">
        <v>89</v>
      </c>
      <c r="I43" s="58" t="s">
        <v>89</v>
      </c>
      <c r="J43" s="60">
        <f>J41*J42</f>
        <v>81.7</v>
      </c>
      <c r="K43" s="1" t="s">
        <v>92</v>
      </c>
    </row>
    <row r="44">
      <c r="A44" s="1"/>
      <c r="B44" s="26" t="s">
        <v>173</v>
      </c>
      <c r="C44" s="58" t="s">
        <v>89</v>
      </c>
      <c r="D44" s="58" t="s">
        <v>89</v>
      </c>
      <c r="E44" s="58" t="s">
        <v>89</v>
      </c>
      <c r="F44" s="58" t="s">
        <v>89</v>
      </c>
      <c r="G44" s="58" t="s">
        <v>89</v>
      </c>
      <c r="H44" s="58" t="s">
        <v>89</v>
      </c>
      <c r="I44" s="58" t="s">
        <v>89</v>
      </c>
      <c r="J44" s="75">
        <v>75</v>
      </c>
      <c r="K44" s="1" t="s">
        <v>184</v>
      </c>
    </row>
    <row r="45">
      <c r="A45" s="1"/>
      <c r="B45" s="26" t="s">
        <v>175</v>
      </c>
      <c r="C45" s="109" t="s">
        <v>89</v>
      </c>
      <c r="D45" s="109" t="s">
        <v>89</v>
      </c>
      <c r="E45" s="109" t="s">
        <v>89</v>
      </c>
      <c r="F45" s="109" t="s">
        <v>89</v>
      </c>
      <c r="G45" s="109" t="s">
        <v>89</v>
      </c>
      <c r="H45" s="109" t="s">
        <v>89</v>
      </c>
      <c r="I45" s="109" t="s">
        <v>89</v>
      </c>
      <c r="J45" s="108">
        <f>J44/J41</f>
        <v>0.09179926560587515</v>
      </c>
      <c r="K45" s="1" t="s">
        <v>176</v>
      </c>
    </row>
    <row r="46">
      <c r="A46" s="1"/>
      <c r="B46" s="26" t="s">
        <v>95</v>
      </c>
      <c r="C46" s="109" t="s">
        <v>89</v>
      </c>
      <c r="D46" s="109" t="s">
        <v>89</v>
      </c>
      <c r="E46" s="109" t="s">
        <v>89</v>
      </c>
      <c r="F46" s="109" t="s">
        <v>89</v>
      </c>
      <c r="G46" s="109" t="s">
        <v>89</v>
      </c>
      <c r="H46" s="109" t="s">
        <v>89</v>
      </c>
      <c r="I46" s="109" t="s">
        <v>89</v>
      </c>
      <c r="J46" s="113">
        <f>'Revenue summary'!J64</f>
        <v>-0.005</v>
      </c>
      <c r="K46" s="1" t="s">
        <v>177</v>
      </c>
    </row>
    <row r="47">
      <c r="A47" s="1"/>
      <c r="B47" s="26" t="s">
        <v>96</v>
      </c>
      <c r="C47" s="58" t="s">
        <v>89</v>
      </c>
      <c r="D47" s="58" t="s">
        <v>89</v>
      </c>
      <c r="E47" s="58" t="s">
        <v>89</v>
      </c>
      <c r="F47" s="58" t="s">
        <v>89</v>
      </c>
      <c r="G47" s="58" t="s">
        <v>89</v>
      </c>
      <c r="H47" s="58" t="s">
        <v>89</v>
      </c>
      <c r="I47" s="58" t="s">
        <v>89</v>
      </c>
      <c r="J47" s="60">
        <f>(J41+J43+J44)*J46</f>
        <v>-4.8685</v>
      </c>
      <c r="K47" s="1"/>
    </row>
    <row r="48">
      <c r="A48" s="1"/>
      <c r="B48" s="26" t="s">
        <v>178</v>
      </c>
      <c r="C48" s="109" t="s">
        <v>89</v>
      </c>
      <c r="D48" s="109" t="s">
        <v>89</v>
      </c>
      <c r="E48" s="109" t="s">
        <v>89</v>
      </c>
      <c r="F48" s="109" t="s">
        <v>89</v>
      </c>
      <c r="G48" s="109" t="s">
        <v>89</v>
      </c>
      <c r="H48" s="109" t="s">
        <v>89</v>
      </c>
      <c r="I48" s="109" t="s">
        <v>89</v>
      </c>
      <c r="J48" s="108">
        <f>(1+J38)/((1+J45)*(1+J46))-1</f>
        <v>0.09159192825112128</v>
      </c>
      <c r="K48" s="1" t="s">
        <v>179</v>
      </c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>
      <c r="A50" s="1"/>
      <c r="B50" s="1" t="s">
        <v>185</v>
      </c>
      <c r="C50" s="23">
        <v>0</v>
      </c>
      <c r="D50" s="23">
        <v>0</v>
      </c>
      <c r="E50" s="23">
        <v>28</v>
      </c>
      <c r="F50" s="3">
        <f>G50-C50-D50-E50</f>
        <v>108</v>
      </c>
      <c r="G50" s="23">
        <v>136</v>
      </c>
      <c r="H50" s="23">
        <v>107</v>
      </c>
      <c r="I50" s="23">
        <v>112</v>
      </c>
      <c r="J50" s="8">
        <f>J54+J56+J57+J60</f>
        <v>103.878</v>
      </c>
      <c r="K50" s="1" t="s">
        <v>186</v>
      </c>
    </row>
    <row r="51">
      <c r="A51" s="1"/>
      <c r="B51" s="26" t="s">
        <v>75</v>
      </c>
      <c r="C51" s="103" t="str">
        <f>IF(ABS(C54)&lt;10,"n/m",C50/C54-1)</f>
        <v>n/m</v>
      </c>
      <c r="D51" s="103" t="str">
        <f>IF(ABS(D54)&lt;10,"n/m",D50/D54-1)</f>
        <v>n/m</v>
      </c>
      <c r="E51" s="103" t="str">
        <f>IF(ABS(E54)&lt;10,"n/m",E50/E54-1)</f>
        <v>n/m</v>
      </c>
      <c r="F51" s="103" t="str">
        <f>IF(ABS(F54)&lt;10,"n/m",F50/F54-1)</f>
        <v>n/m</v>
      </c>
      <c r="G51" s="103" t="str">
        <f>IF(ABS(G54)&lt;10,"n/m",G50/G54-1)</f>
        <v>n/m</v>
      </c>
      <c r="H51" s="103" t="str">
        <f>IF(ABS(H54)&lt;10,"n/m",H50/H54-1)</f>
        <v>n/m</v>
      </c>
      <c r="I51" s="103" t="str">
        <f>IF(ABS(I54)&lt;10,"n/m",I50/I54-1)</f>
        <v>n/m</v>
      </c>
      <c r="J51" s="108">
        <f>IF(ABS(J54)&lt;10,"n/m",J50/J54-1)</f>
        <v>2.7099285714285712</v>
      </c>
      <c r="K51" s="1"/>
    </row>
    <row r="52">
      <c r="A52" s="1"/>
      <c r="B52" s="26" t="s">
        <v>85</v>
      </c>
      <c r="C52" s="21">
        <f>C50-F54</f>
        <v>-1</v>
      </c>
      <c r="D52" s="21">
        <f>D50-C50</f>
        <v>0</v>
      </c>
      <c r="E52" s="21">
        <f>E50-D50</f>
        <v>28</v>
      </c>
      <c r="F52" s="21">
        <f>F50-E50</f>
        <v>80</v>
      </c>
      <c r="G52" s="1"/>
      <c r="H52" s="21">
        <f>H50-F50</f>
        <v>-1</v>
      </c>
      <c r="I52" s="21">
        <f>I50-H50</f>
        <v>5</v>
      </c>
      <c r="J52" s="60">
        <f>J50-I50</f>
        <v>-8.122</v>
      </c>
      <c r="K52" s="1" t="s">
        <v>167</v>
      </c>
    </row>
    <row r="53">
      <c r="A53" s="1"/>
      <c r="B53" s="26" t="s">
        <v>168</v>
      </c>
      <c r="C53" s="103">
        <f>C50/C65</f>
        <v>0</v>
      </c>
      <c r="D53" s="103">
        <f>D50/D65</f>
        <v>0</v>
      </c>
      <c r="E53" s="103">
        <f>E50/E65</f>
        <v>0.010819165378670788</v>
      </c>
      <c r="F53" s="103">
        <f>F50/F65</f>
        <v>0.03665987780040733</v>
      </c>
      <c r="G53" s="103">
        <f>G50/G65</f>
        <v>0.013109697320223636</v>
      </c>
      <c r="H53" s="103">
        <f>H50/H65</f>
        <v>0.04059180576631259</v>
      </c>
      <c r="I53" s="103">
        <f>I50/I65</f>
        <v>0.03978685612788632</v>
      </c>
      <c r="J53" s="108">
        <f>J50/J65</f>
        <v>0.03681890319167696</v>
      </c>
      <c r="K53" s="1" t="s">
        <v>169</v>
      </c>
    </row>
    <row r="54">
      <c r="A54" s="1"/>
      <c r="B54" s="1" t="s">
        <v>144</v>
      </c>
      <c r="C54" s="23">
        <v>0</v>
      </c>
      <c r="D54" s="23">
        <v>0</v>
      </c>
      <c r="E54" s="23">
        <v>-1</v>
      </c>
      <c r="F54" s="3">
        <f>G54-C54-D54-E54</f>
        <v>1</v>
      </c>
      <c r="G54" s="23">
        <v>0</v>
      </c>
      <c r="H54" s="3">
        <f>C50</f>
        <v>0</v>
      </c>
      <c r="I54" s="3">
        <f>D50</f>
        <v>0</v>
      </c>
      <c r="J54" s="8">
        <f>E50</f>
        <v>28</v>
      </c>
      <c r="K54" s="1" t="s">
        <v>170</v>
      </c>
    </row>
    <row r="55">
      <c r="A55" s="1"/>
      <c r="B55" s="26" t="s">
        <v>171</v>
      </c>
      <c r="C55" s="109" t="s">
        <v>89</v>
      </c>
      <c r="D55" s="109" t="s">
        <v>89</v>
      </c>
      <c r="E55" s="109" t="s">
        <v>89</v>
      </c>
      <c r="F55" s="109" t="s">
        <v>89</v>
      </c>
      <c r="G55" s="109" t="s">
        <v>89</v>
      </c>
      <c r="H55" s="109" t="s">
        <v>89</v>
      </c>
      <c r="I55" s="109" t="s">
        <v>89</v>
      </c>
      <c r="J55" s="112">
        <v>0.05</v>
      </c>
      <c r="K55" s="1" t="s">
        <v>187</v>
      </c>
    </row>
    <row r="56">
      <c r="A56" s="1"/>
      <c r="B56" s="26" t="s">
        <v>91</v>
      </c>
      <c r="C56" s="58" t="s">
        <v>89</v>
      </c>
      <c r="D56" s="58" t="s">
        <v>89</v>
      </c>
      <c r="E56" s="58" t="s">
        <v>89</v>
      </c>
      <c r="F56" s="58" t="s">
        <v>89</v>
      </c>
      <c r="G56" s="58" t="s">
        <v>89</v>
      </c>
      <c r="H56" s="58" t="s">
        <v>89</v>
      </c>
      <c r="I56" s="58" t="s">
        <v>89</v>
      </c>
      <c r="J56" s="60">
        <f>J54*J55</f>
        <v>1.4000000000000001</v>
      </c>
      <c r="K56" s="1" t="s">
        <v>92</v>
      </c>
    </row>
    <row r="57">
      <c r="A57" s="1"/>
      <c r="B57" s="26" t="s">
        <v>173</v>
      </c>
      <c r="C57" s="58" t="s">
        <v>89</v>
      </c>
      <c r="D57" s="58" t="s">
        <v>89</v>
      </c>
      <c r="E57" s="58" t="s">
        <v>89</v>
      </c>
      <c r="F57" s="58" t="s">
        <v>89</v>
      </c>
      <c r="G57" s="58" t="s">
        <v>89</v>
      </c>
      <c r="H57" s="58" t="s">
        <v>89</v>
      </c>
      <c r="I57" s="58" t="s">
        <v>89</v>
      </c>
      <c r="J57" s="75">
        <v>75</v>
      </c>
      <c r="K57" s="1" t="s">
        <v>188</v>
      </c>
    </row>
    <row r="58">
      <c r="A58" s="1"/>
      <c r="B58" s="26" t="s">
        <v>175</v>
      </c>
      <c r="C58" s="109" t="s">
        <v>89</v>
      </c>
      <c r="D58" s="109" t="s">
        <v>89</v>
      </c>
      <c r="E58" s="109" t="s">
        <v>89</v>
      </c>
      <c r="F58" s="109" t="s">
        <v>89</v>
      </c>
      <c r="G58" s="109" t="s">
        <v>89</v>
      </c>
      <c r="H58" s="109" t="s">
        <v>89</v>
      </c>
      <c r="I58" s="109" t="s">
        <v>89</v>
      </c>
      <c r="J58" s="108">
        <f>J57/J54</f>
        <v>2.6785714285714284</v>
      </c>
      <c r="K58" s="1" t="s">
        <v>176</v>
      </c>
    </row>
    <row r="59">
      <c r="A59" s="1"/>
      <c r="B59" s="26" t="s">
        <v>95</v>
      </c>
      <c r="C59" s="109" t="s">
        <v>89</v>
      </c>
      <c r="D59" s="109" t="s">
        <v>89</v>
      </c>
      <c r="E59" s="109" t="s">
        <v>89</v>
      </c>
      <c r="F59" s="109" t="s">
        <v>89</v>
      </c>
      <c r="G59" s="109" t="s">
        <v>89</v>
      </c>
      <c r="H59" s="109" t="s">
        <v>89</v>
      </c>
      <c r="I59" s="109" t="s">
        <v>89</v>
      </c>
      <c r="J59" s="113">
        <f>'Revenue summary'!J64</f>
        <v>-0.005</v>
      </c>
      <c r="K59" s="1" t="s">
        <v>177</v>
      </c>
    </row>
    <row r="60">
      <c r="A60" s="1"/>
      <c r="B60" s="26" t="s">
        <v>96</v>
      </c>
      <c r="C60" s="58" t="s">
        <v>89</v>
      </c>
      <c r="D60" s="58" t="s">
        <v>89</v>
      </c>
      <c r="E60" s="58" t="s">
        <v>89</v>
      </c>
      <c r="F60" s="58" t="s">
        <v>89</v>
      </c>
      <c r="G60" s="58" t="s">
        <v>89</v>
      </c>
      <c r="H60" s="58" t="s">
        <v>89</v>
      </c>
      <c r="I60" s="58" t="s">
        <v>89</v>
      </c>
      <c r="J60" s="60">
        <f>(J54+J56+J57)*J59</f>
        <v>-0.522</v>
      </c>
      <c r="K60" s="1"/>
    </row>
    <row r="61">
      <c r="A61" s="1"/>
      <c r="B61" s="26" t="s">
        <v>178</v>
      </c>
      <c r="C61" s="109" t="s">
        <v>89</v>
      </c>
      <c r="D61" s="109" t="s">
        <v>89</v>
      </c>
      <c r="E61" s="109" t="s">
        <v>89</v>
      </c>
      <c r="F61" s="109" t="s">
        <v>89</v>
      </c>
      <c r="G61" s="109" t="s">
        <v>89</v>
      </c>
      <c r="H61" s="109" t="s">
        <v>89</v>
      </c>
      <c r="I61" s="109" t="s">
        <v>89</v>
      </c>
      <c r="J61" s="108">
        <f>(1+J51)/((1+J58)*(1+J59))-1</f>
        <v>0.013592233009708687</v>
      </c>
      <c r="K61" s="1" t="s">
        <v>179</v>
      </c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>
      <c r="A63" s="1"/>
      <c r="B63" s="33" t="s">
        <v>189</v>
      </c>
      <c r="C63" s="55">
        <f>C11+C24+C37+C50</f>
        <v>2341</v>
      </c>
      <c r="D63" s="55">
        <f>D11+D24+D37+D50</f>
        <v>2499</v>
      </c>
      <c r="E63" s="55">
        <f>E11+E24+E37+E50</f>
        <v>2588</v>
      </c>
      <c r="F63" s="55">
        <f>F11+F24+F37+F50</f>
        <v>2947</v>
      </c>
      <c r="G63" s="55">
        <f>G11+G24+G37+G50</f>
        <v>10375</v>
      </c>
      <c r="H63" s="55">
        <f>H11+H24+H37+H50</f>
        <v>2636</v>
      </c>
      <c r="I63" s="55">
        <f>I11+I24+I37+I50</f>
        <v>2816</v>
      </c>
      <c r="J63" s="53">
        <f>J11+J24+J37+J50</f>
        <v>2821.3224999999998</v>
      </c>
      <c r="K63" s="1"/>
    </row>
    <row r="64">
      <c r="A64" s="1"/>
      <c r="B64" s="26" t="s">
        <v>190</v>
      </c>
      <c r="C64" s="21">
        <f>C65-C63</f>
        <v>0</v>
      </c>
      <c r="D64" s="21">
        <f>D65-D63</f>
        <v>0</v>
      </c>
      <c r="E64" s="21">
        <f>E65-E63</f>
        <v>0</v>
      </c>
      <c r="F64" s="21">
        <f>F65-F63</f>
        <v>-1</v>
      </c>
      <c r="G64" s="21">
        <f>G65-G63</f>
        <v>-1</v>
      </c>
      <c r="H64" s="21">
        <f>H65-H63</f>
        <v>0</v>
      </c>
      <c r="I64" s="21">
        <f>I65-I63</f>
        <v>-1</v>
      </c>
      <c r="J64" s="60">
        <f>J65-J63</f>
        <v>0</v>
      </c>
      <c r="K64" s="1" t="s">
        <v>191</v>
      </c>
    </row>
    <row r="65">
      <c r="A65" s="1"/>
      <c r="B65" s="33" t="s">
        <v>192</v>
      </c>
      <c r="C65" s="12">
        <v>2341</v>
      </c>
      <c r="D65" s="12">
        <v>2499</v>
      </c>
      <c r="E65" s="12">
        <v>2588</v>
      </c>
      <c r="F65" s="12">
        <v>2946</v>
      </c>
      <c r="G65" s="55">
        <f>SUM(C65:F65)</f>
        <v>10374</v>
      </c>
      <c r="H65" s="12">
        <v>2636</v>
      </c>
      <c r="I65" s="12">
        <v>2815</v>
      </c>
      <c r="J65" s="53">
        <f>J63</f>
        <v>2821.3224999999998</v>
      </c>
      <c r="K65" s="1" t="s">
        <v>193</v>
      </c>
    </row>
    <row r="66">
      <c r="A66" s="1"/>
      <c r="B66" s="26" t="s">
        <v>75</v>
      </c>
      <c r="C66" s="103">
        <f>C65/C70-1</f>
        <v>0.024507658643325936</v>
      </c>
      <c r="D66" s="103">
        <f>D65/D70-1</f>
        <v>0.06114649681528661</v>
      </c>
      <c r="E66" s="103">
        <f>E65/E70-1</f>
        <v>0.08420611646418097</v>
      </c>
      <c r="F66" s="103">
        <f>F65/F70-1</f>
        <v>0.13133640552995396</v>
      </c>
      <c r="G66" s="103">
        <f>G65/G70-1</f>
        <v>0.0771467137368913</v>
      </c>
      <c r="H66" s="103">
        <f>H65/H70-1</f>
        <v>0.12601452370781718</v>
      </c>
      <c r="I66" s="103">
        <f>I65/I70-1</f>
        <v>0.12645058023209277</v>
      </c>
      <c r="J66" s="108">
        <f>J65/J70-1</f>
        <v>0.09015552550231831</v>
      </c>
      <c r="K66" s="1"/>
    </row>
    <row r="67">
      <c r="A67" s="1"/>
      <c r="B67" s="26" t="s">
        <v>85</v>
      </c>
      <c r="C67" s="21">
        <f>C65-F70</f>
        <v>-263</v>
      </c>
      <c r="D67" s="21">
        <f>D65-C65</f>
        <v>158</v>
      </c>
      <c r="E67" s="21">
        <f>E65-D65</f>
        <v>89</v>
      </c>
      <c r="F67" s="21">
        <f>F65-E65</f>
        <v>358</v>
      </c>
      <c r="G67" s="1"/>
      <c r="H67" s="21">
        <f>H65-F65</f>
        <v>-310</v>
      </c>
      <c r="I67" s="21">
        <f>I65-H65</f>
        <v>179</v>
      </c>
      <c r="J67" s="60">
        <f>J65-I65</f>
        <v>6.3224999999997635</v>
      </c>
      <c r="K67" s="1"/>
    </row>
    <row r="68">
      <c r="A68" s="1"/>
      <c r="B68" s="26" t="s">
        <v>76</v>
      </c>
      <c r="C68" s="103">
        <f>C65/F70-1</f>
        <v>-0.10099846390168976</v>
      </c>
      <c r="D68" s="103">
        <f>D65/C65-1</f>
        <v>0.06749252456215293</v>
      </c>
      <c r="E68" s="103">
        <f>E65/D65-1</f>
        <v>0.03561424569827931</v>
      </c>
      <c r="F68" s="103">
        <f>F65/E65-1</f>
        <v>0.1383307573415764</v>
      </c>
      <c r="G68" s="1"/>
      <c r="H68" s="103">
        <f>H65/F65-1</f>
        <v>-0.10522742701968768</v>
      </c>
      <c r="I68" s="103">
        <f>I65/H65-1</f>
        <v>0.0679059180576631</v>
      </c>
      <c r="J68" s="108">
        <f>J65/I65-1</f>
        <v>0.0022460035523976796</v>
      </c>
      <c r="K68" s="1"/>
    </row>
    <row r="69">
      <c r="A69" s="1"/>
      <c r="B69" s="26" t="s">
        <v>194</v>
      </c>
      <c r="C69" s="106">
        <f>C65/'Revenue summary'!C48</f>
        <v>0.22587803936703976</v>
      </c>
      <c r="D69" s="106">
        <f>D65/'Revenue summary'!D48</f>
        <v>0.23021649009672962</v>
      </c>
      <c r="E69" s="106">
        <f>E65/'Revenue summary'!E48</f>
        <v>0.2326919618773602</v>
      </c>
      <c r="F69" s="106">
        <f>F65/'Revenue summary'!F48</f>
        <v>0.2411788784281621</v>
      </c>
      <c r="G69" s="106">
        <f>G65/'Revenue summary'!G48</f>
        <v>0.23283059520603286</v>
      </c>
      <c r="H69" s="106">
        <f>H65/'Revenue summary'!H48</f>
        <v>0.23952748750567923</v>
      </c>
      <c r="I69" s="106">
        <f>I65/'Revenue summary'!I48</f>
        <v>0.2347006836751709</v>
      </c>
      <c r="J69" s="113">
        <f>J65/'Revenue summary'!J48</f>
        <v>0.2357810452436843</v>
      </c>
      <c r="K69" s="1"/>
    </row>
    <row r="70">
      <c r="A70" s="1"/>
      <c r="B70" s="1" t="s">
        <v>195</v>
      </c>
      <c r="C70" s="23">
        <v>2285</v>
      </c>
      <c r="D70" s="23">
        <v>2355</v>
      </c>
      <c r="E70" s="23">
        <v>2387</v>
      </c>
      <c r="F70" s="23">
        <v>2604</v>
      </c>
      <c r="G70" s="23">
        <v>9631</v>
      </c>
      <c r="H70" s="3">
        <f>C65</f>
        <v>2341</v>
      </c>
      <c r="I70" s="3">
        <f>D65</f>
        <v>2499</v>
      </c>
      <c r="J70" s="8">
        <f>E65</f>
        <v>2588</v>
      </c>
      <c r="K70" s="1" t="s">
        <v>196</v>
      </c>
    </row>
    <row r="71">
      <c r="A71" s="1"/>
      <c r="B71" s="1" t="s">
        <v>197</v>
      </c>
      <c r="C71" s="40" t="b">
        <f>ABS(C64)&lt;=2</f>
        <v>1</v>
      </c>
      <c r="D71" s="40" t="b">
        <f>ABS(D64)&lt;=2</f>
        <v>1</v>
      </c>
      <c r="E71" s="40" t="b">
        <f>ABS(E64)&lt;=2</f>
        <v>1</v>
      </c>
      <c r="F71" s="40" t="b">
        <f>ABS(F64)&lt;=2</f>
        <v>1</v>
      </c>
      <c r="G71" s="40" t="b">
        <f>ABS(G64)&lt;=2</f>
        <v>1</v>
      </c>
      <c r="H71" s="40" t="b">
        <f>ABS(H64)&lt;=2</f>
        <v>1</v>
      </c>
      <c r="I71" s="40" t="b">
        <f>ABS(I64)&lt;=2</f>
        <v>1</v>
      </c>
      <c r="J71" s="76" t="b">
        <f>ABS(J64)&lt;=2</f>
        <v>1</v>
      </c>
      <c r="K71" s="1" t="s">
        <v>198</v>
      </c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>
      <c r="A73" s="1"/>
      <c r="B73" s="13" t="s">
        <v>199</v>
      </c>
      <c r="C73" s="1"/>
      <c r="D73" s="1"/>
      <c r="E73" s="1"/>
      <c r="F73" s="1"/>
      <c r="G73" s="1"/>
      <c r="H73" s="1"/>
      <c r="I73" s="1"/>
      <c r="J73" s="1"/>
      <c r="K73" s="1"/>
    </row>
    <row r="74">
      <c r="A74" s="1"/>
      <c r="B74" s="26" t="s">
        <v>200</v>
      </c>
      <c r="C74" s="58" t="s">
        <v>89</v>
      </c>
      <c r="D74" s="58" t="s">
        <v>89</v>
      </c>
      <c r="E74" s="58" t="s">
        <v>89</v>
      </c>
      <c r="F74" s="58" t="s">
        <v>89</v>
      </c>
      <c r="G74" s="58" t="s">
        <v>89</v>
      </c>
      <c r="H74" s="58" t="s">
        <v>89</v>
      </c>
      <c r="I74" s="58" t="s">
        <v>89</v>
      </c>
      <c r="J74" s="60">
        <f>J17+J30+J43+J56</f>
        <v>97.50000000000001</v>
      </c>
      <c r="K74" s="1" t="s">
        <v>201</v>
      </c>
    </row>
    <row r="75">
      <c r="A75" s="1"/>
      <c r="B75" s="26" t="s">
        <v>202</v>
      </c>
      <c r="C75" s="58" t="s">
        <v>89</v>
      </c>
      <c r="D75" s="58" t="s">
        <v>89</v>
      </c>
      <c r="E75" s="58" t="s">
        <v>89</v>
      </c>
      <c r="F75" s="58" t="s">
        <v>89</v>
      </c>
      <c r="G75" s="58" t="s">
        <v>89</v>
      </c>
      <c r="H75" s="58" t="s">
        <v>89</v>
      </c>
      <c r="I75" s="58" t="s">
        <v>89</v>
      </c>
      <c r="J75" s="60">
        <f>J18+J31+J44+J57</f>
        <v>150</v>
      </c>
      <c r="K75" s="1" t="s">
        <v>203</v>
      </c>
    </row>
    <row r="76">
      <c r="A76" s="1"/>
      <c r="B76" s="26" t="s">
        <v>204</v>
      </c>
      <c r="C76" s="58" t="s">
        <v>89</v>
      </c>
      <c r="D76" s="58" t="s">
        <v>89</v>
      </c>
      <c r="E76" s="58" t="s">
        <v>89</v>
      </c>
      <c r="F76" s="58" t="s">
        <v>89</v>
      </c>
      <c r="G76" s="58" t="s">
        <v>89</v>
      </c>
      <c r="H76" s="58" t="s">
        <v>89</v>
      </c>
      <c r="I76" s="58" t="s">
        <v>89</v>
      </c>
      <c r="J76" s="60">
        <f>J21+J34+J47+J60</f>
        <v>-14.1775</v>
      </c>
      <c r="K76" s="1"/>
    </row>
    <row r="77">
      <c r="A77" s="1"/>
      <c r="B77" s="26" t="s">
        <v>119</v>
      </c>
      <c r="C77" s="109">
        <v>0.02</v>
      </c>
      <c r="D77" s="109">
        <v>0.06</v>
      </c>
      <c r="E77" s="109">
        <v>0.08</v>
      </c>
      <c r="F77" s="109">
        <v>0.13</v>
      </c>
      <c r="G77" s="109">
        <v>0.08</v>
      </c>
      <c r="H77" s="109">
        <v>0.13</v>
      </c>
      <c r="I77" s="109">
        <v>0.13</v>
      </c>
      <c r="J77" s="108">
        <f>J66</f>
        <v>0.09015552550231831</v>
      </c>
      <c r="K77" s="1" t="s">
        <v>120</v>
      </c>
    </row>
    <row r="78">
      <c r="A78" s="1"/>
      <c r="B78" s="26" t="s">
        <v>121</v>
      </c>
      <c r="C78" s="109">
        <v>0.02</v>
      </c>
      <c r="D78" s="109">
        <v>0.01</v>
      </c>
      <c r="E78" s="109">
        <v>0.03</v>
      </c>
      <c r="F78" s="109" t="s">
        <v>89</v>
      </c>
      <c r="G78" s="109">
        <v>0.03</v>
      </c>
      <c r="H78" s="109">
        <v>0.09</v>
      </c>
      <c r="I78" s="109">
        <v>0.09</v>
      </c>
      <c r="J78" s="108">
        <f>J75/J70</f>
        <v>0.05795981452859351</v>
      </c>
      <c r="K78" s="1" t="s">
        <v>205</v>
      </c>
    </row>
    <row r="79">
      <c r="A79" s="1"/>
      <c r="B79" s="26" t="s">
        <v>123</v>
      </c>
      <c r="C79" s="109">
        <v>-0.01</v>
      </c>
      <c r="D79" s="109">
        <v>0.01</v>
      </c>
      <c r="E79" s="109">
        <v>0.01</v>
      </c>
      <c r="F79" s="109" t="s">
        <v>89</v>
      </c>
      <c r="G79" s="109">
        <v>0.01</v>
      </c>
      <c r="H79" s="109">
        <v>0.03</v>
      </c>
      <c r="I79" s="109">
        <v>0.01</v>
      </c>
      <c r="J79" s="108">
        <f>J76/J70</f>
        <v>-0.005478168469860896</v>
      </c>
      <c r="K79" s="1" t="s">
        <v>124</v>
      </c>
    </row>
    <row r="80">
      <c r="A80" s="1"/>
      <c r="B80" s="26" t="s">
        <v>125</v>
      </c>
      <c r="C80" s="109">
        <v>0.02</v>
      </c>
      <c r="D80" s="109">
        <v>0.04</v>
      </c>
      <c r="E80" s="109">
        <v>0.05</v>
      </c>
      <c r="F80" s="109">
        <v>0.04</v>
      </c>
      <c r="G80" s="109">
        <v>0.03</v>
      </c>
      <c r="H80" s="109">
        <v>0.01</v>
      </c>
      <c r="I80" s="109">
        <v>0.03</v>
      </c>
      <c r="J80" s="108">
        <f>J81</f>
        <v>0.03610785798628546</v>
      </c>
      <c r="K80" s="1" t="s">
        <v>206</v>
      </c>
    </row>
    <row r="81">
      <c r="A81" s="1"/>
      <c r="B81" s="26" t="s">
        <v>127</v>
      </c>
      <c r="C81" s="103">
        <f>(1+C66)/((1+C78)*(1+C79))-1</f>
        <v>0.014564922403768943</v>
      </c>
      <c r="D81" s="103">
        <f>(1+D66)/((1+D78)*(1+D79))-1</f>
        <v>0.04023771867001913</v>
      </c>
      <c r="E81" s="103">
        <f>(1+E66)/((1+E78)*(1+E79))-1</f>
        <v>0.042205245087168164</v>
      </c>
      <c r="F81" s="109" t="s">
        <v>89</v>
      </c>
      <c r="G81" s="103">
        <f>(1+G66)/((1+G78)*(1+G79))-1</f>
        <v>0.035419315329127565</v>
      </c>
      <c r="H81" s="103">
        <f>(1+H66)/((1+H78)*(1+H79))-1</f>
        <v>0.002952279066373187</v>
      </c>
      <c r="I81" s="103">
        <f>(1+I66)/((1+I78)*(1+I79))-1</f>
        <v>0.02320881118366125</v>
      </c>
      <c r="J81" s="108">
        <f>(1+J66)/((1+J78)*(1+J79))-1</f>
        <v>0.03610785798628546</v>
      </c>
      <c r="K81" s="1" t="s">
        <v>207</v>
      </c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>
      <c r="A83" s="1"/>
      <c r="B83" s="13" t="s">
        <v>208</v>
      </c>
      <c r="C83" s="1"/>
      <c r="D83" s="1"/>
      <c r="E83" s="1"/>
      <c r="F83" s="1"/>
      <c r="G83" s="1"/>
      <c r="H83" s="1"/>
      <c r="I83" s="1"/>
      <c r="J83" s="1"/>
      <c r="K83" s="1"/>
    </row>
    <row r="84">
      <c r="A84" s="1"/>
      <c r="B84" s="33" t="s">
        <v>209</v>
      </c>
      <c r="C84" s="12">
        <v>834</v>
      </c>
      <c r="D84" s="12">
        <v>919</v>
      </c>
      <c r="E84" s="12">
        <v>968</v>
      </c>
      <c r="F84" s="12">
        <v>1046</v>
      </c>
      <c r="G84" s="55">
        <f>SUM(C84:F84)</f>
        <v>3767</v>
      </c>
      <c r="H84" s="12">
        <v>954</v>
      </c>
      <c r="I84" s="12">
        <v>1041</v>
      </c>
      <c r="J84" s="53">
        <f>J65*J93</f>
        <v>1066.459905</v>
      </c>
      <c r="K84" s="1" t="s">
        <v>210</v>
      </c>
    </row>
    <row r="85">
      <c r="A85" s="1"/>
      <c r="B85" s="26" t="s">
        <v>75</v>
      </c>
      <c r="C85" s="103">
        <f>C84/C87-1</f>
        <v>-0.0071428571428571175</v>
      </c>
      <c r="D85" s="103">
        <f>D84/D87-1</f>
        <v>0.062427745664739964</v>
      </c>
      <c r="E85" s="103">
        <f>E84/E87-1</f>
        <v>0.14556213017751474</v>
      </c>
      <c r="F85" s="103">
        <f>F84/F87-1</f>
        <v>0.09873949579831942</v>
      </c>
      <c r="G85" s="103">
        <f>G84/G87-1</f>
        <v>0.07536397373679704</v>
      </c>
      <c r="H85" s="103">
        <f>H84/H87-1</f>
        <v>0.14388489208633093</v>
      </c>
      <c r="I85" s="103">
        <f>I84/I87-1</f>
        <v>0.13275299238302507</v>
      </c>
      <c r="J85" s="108">
        <f>J84/J87-1</f>
        <v>0.101714777892562</v>
      </c>
      <c r="K85" s="1"/>
    </row>
    <row r="86">
      <c r="A86" s="1"/>
      <c r="B86" s="26" t="s">
        <v>85</v>
      </c>
      <c r="C86" s="21">
        <f>C84-F87</f>
        <v>-118</v>
      </c>
      <c r="D86" s="21">
        <f>D84-C84</f>
        <v>85</v>
      </c>
      <c r="E86" s="21">
        <f>E84-D84</f>
        <v>49</v>
      </c>
      <c r="F86" s="21">
        <f>F84-E84</f>
        <v>78</v>
      </c>
      <c r="G86" s="1"/>
      <c r="H86" s="21">
        <f>H84-F84</f>
        <v>-92</v>
      </c>
      <c r="I86" s="21">
        <f>I84-H84</f>
        <v>87</v>
      </c>
      <c r="J86" s="60">
        <f>J84-I84</f>
        <v>25.459904999999935</v>
      </c>
      <c r="K86" s="1"/>
    </row>
    <row r="87">
      <c r="A87" s="1"/>
      <c r="B87" s="1" t="s">
        <v>211</v>
      </c>
      <c r="C87" s="23">
        <v>840</v>
      </c>
      <c r="D87" s="23">
        <v>865</v>
      </c>
      <c r="E87" s="23">
        <v>845</v>
      </c>
      <c r="F87" s="23">
        <v>952</v>
      </c>
      <c r="G87" s="23">
        <v>3503</v>
      </c>
      <c r="H87" s="3">
        <f>C84</f>
        <v>834</v>
      </c>
      <c r="I87" s="3">
        <f>D84</f>
        <v>919</v>
      </c>
      <c r="J87" s="8">
        <f>E84</f>
        <v>968</v>
      </c>
      <c r="K87" s="1" t="s">
        <v>212</v>
      </c>
    </row>
    <row r="88">
      <c r="A88" s="1"/>
      <c r="B88" s="26" t="s">
        <v>213</v>
      </c>
      <c r="C88" s="103">
        <f>C84/C65</f>
        <v>0.3562580093976933</v>
      </c>
      <c r="D88" s="103">
        <f>D84/D65</f>
        <v>0.3677470988395358</v>
      </c>
      <c r="E88" s="103">
        <f>E84/E65</f>
        <v>0.3740340030911901</v>
      </c>
      <c r="F88" s="103">
        <f>F84/F65</f>
        <v>0.35505770536320436</v>
      </c>
      <c r="G88" s="103">
        <f>G84/G65</f>
        <v>0.36311933680354735</v>
      </c>
      <c r="H88" s="103">
        <f>H84/H65</f>
        <v>0.3619119878603945</v>
      </c>
      <c r="I88" s="103">
        <f>I84/I65</f>
        <v>0.36980461811722914</v>
      </c>
      <c r="J88" s="108">
        <f>J84/J65</f>
        <v>0.378</v>
      </c>
      <c r="K88" s="1"/>
    </row>
    <row r="89">
      <c r="A89" s="1"/>
      <c r="B89" s="26" t="s">
        <v>214</v>
      </c>
      <c r="C89" s="70">
        <f>(C88-C87/C70)*10000</f>
        <v>-113.56870252197282</v>
      </c>
      <c r="D89" s="70">
        <f>(D88-D87/D70)*10000</f>
        <v>4.434894977099479</v>
      </c>
      <c r="E89" s="70">
        <f>(E88-E87/E70)*10000</f>
        <v>200.33165219384475</v>
      </c>
      <c r="F89" s="70">
        <f>(F88-F87/F70)*10000</f>
        <v>-105.33692486258018</v>
      </c>
      <c r="G89" s="70">
        <f>(G88-G87/G70)*10000</f>
        <v>-6.019797783237135</v>
      </c>
      <c r="H89" s="70">
        <f>(H88-H87/H70)*10000</f>
        <v>56.539784627012146</v>
      </c>
      <c r="I89" s="70">
        <f>(I88-I87/I70)*10000</f>
        <v>20.575192776933203</v>
      </c>
      <c r="J89" s="69">
        <f>(J88-J87/J70)*10000</f>
        <v>39.659969088098876</v>
      </c>
      <c r="K89" s="1"/>
    </row>
    <row r="90">
      <c r="A90" s="1"/>
      <c r="B90" s="26" t="s">
        <v>215</v>
      </c>
      <c r="C90" s="70">
        <f>(C88-F87/F70)*10000</f>
        <v>-93.33388451769065</v>
      </c>
      <c r="D90" s="70">
        <f>(D88-C88)*10000</f>
        <v>114.89089441842515</v>
      </c>
      <c r="E90" s="70">
        <f>(E88-D88)*10000</f>
        <v>62.869042516542905</v>
      </c>
      <c r="F90" s="70">
        <f>(F88-E88)*10000</f>
        <v>-189.76297727985758</v>
      </c>
      <c r="G90" s="1"/>
      <c r="H90" s="70">
        <f>(H88-F88)*10000</f>
        <v>68.54282497190167</v>
      </c>
      <c r="I90" s="70">
        <f>(I88-H88)*10000</f>
        <v>78.9263025683462</v>
      </c>
      <c r="J90" s="69">
        <f>(J88-I88)*10000</f>
        <v>81.95381882770857</v>
      </c>
      <c r="K90" s="1"/>
    </row>
    <row r="91">
      <c r="A91" s="1"/>
      <c r="B91" s="26" t="s">
        <v>216</v>
      </c>
      <c r="C91" s="103">
        <f>C87/C70</f>
        <v>0.3676148796498906</v>
      </c>
      <c r="D91" s="103">
        <f>D87/D70</f>
        <v>0.3673036093418259</v>
      </c>
      <c r="E91" s="103">
        <f>E87/E70</f>
        <v>0.35400083787180564</v>
      </c>
      <c r="F91" s="103">
        <f>F87/F70</f>
        <v>0.3655913978494624</v>
      </c>
      <c r="G91" s="103">
        <f>G87/G70</f>
        <v>0.36372131658187107</v>
      </c>
      <c r="H91" s="103">
        <f>H87/H70</f>
        <v>0.3562580093976933</v>
      </c>
      <c r="I91" s="103">
        <f>I87/I70</f>
        <v>0.3677470988395358</v>
      </c>
      <c r="J91" s="108">
        <f>J87/J70</f>
        <v>0.3740340030911901</v>
      </c>
      <c r="K91" s="1" t="s">
        <v>217</v>
      </c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>
      <c r="A93" s="1"/>
      <c r="B93" s="26" t="s">
        <v>218</v>
      </c>
      <c r="C93" s="1"/>
      <c r="D93" s="1"/>
      <c r="E93" s="1"/>
      <c r="F93" s="1"/>
      <c r="G93" s="1"/>
      <c r="H93" s="1"/>
      <c r="I93" s="1"/>
      <c r="J93" s="112">
        <v>0.378</v>
      </c>
      <c r="K93" s="1" t="s">
        <v>219</v>
      </c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66">
      <c r="A95" s="1"/>
      <c r="B95" s="13" t="s">
        <v>220</v>
      </c>
      <c r="C95" s="1"/>
      <c r="D95" s="1"/>
      <c r="E95" s="1"/>
      <c r="F95" s="1"/>
      <c r="G95" s="1"/>
      <c r="H95" s="1"/>
      <c r="I95" s="1"/>
      <c r="J95" s="1"/>
      <c r="K95" s="118" t="s">
        <v>221</v>
      </c>
    </row>
    <row r="96">
      <c r="A96" s="1"/>
      <c r="B96" s="1" t="s">
        <v>222</v>
      </c>
      <c r="C96" s="23">
        <v>1954</v>
      </c>
      <c r="D96" s="23">
        <v>2115</v>
      </c>
      <c r="E96" s="23">
        <v>2194</v>
      </c>
      <c r="F96" s="3">
        <f>G96-C96-D96-E96</f>
        <v>2518</v>
      </c>
      <c r="G96" s="23">
        <v>8781</v>
      </c>
      <c r="H96" s="23">
        <v>2219</v>
      </c>
      <c r="I96" s="23">
        <v>2355</v>
      </c>
      <c r="J96" s="8">
        <f>J65-J99</f>
        <v>2417.484836978131</v>
      </c>
      <c r="K96" s="1" t="s">
        <v>223</v>
      </c>
    </row>
    <row r="97">
      <c r="A97" s="1"/>
      <c r="B97" s="26" t="s">
        <v>85</v>
      </c>
      <c r="C97" s="58" t="s">
        <v>34</v>
      </c>
      <c r="D97" s="21">
        <f>D96-C96</f>
        <v>161</v>
      </c>
      <c r="E97" s="21">
        <f>E96-D96</f>
        <v>79</v>
      </c>
      <c r="F97" s="21">
        <f>F96-E96</f>
        <v>324</v>
      </c>
      <c r="G97" s="1"/>
      <c r="H97" s="21">
        <f>H96-F96</f>
        <v>-299</v>
      </c>
      <c r="I97" s="21">
        <f>I96-H96</f>
        <v>136</v>
      </c>
      <c r="J97" s="60">
        <f>J96-I96</f>
        <v>62.48483697813117</v>
      </c>
      <c r="K97" s="1"/>
    </row>
    <row r="98">
      <c r="A98" s="1"/>
      <c r="B98" s="26" t="s">
        <v>75</v>
      </c>
      <c r="C98" s="109" t="s">
        <v>34</v>
      </c>
      <c r="D98" s="109" t="s">
        <v>34</v>
      </c>
      <c r="E98" s="109" t="s">
        <v>34</v>
      </c>
      <c r="F98" s="109" t="s">
        <v>34</v>
      </c>
      <c r="G98" s="109" t="s">
        <v>34</v>
      </c>
      <c r="H98" s="103">
        <f>H96/C96-1</f>
        <v>0.13561924257932456</v>
      </c>
      <c r="I98" s="103">
        <f>I96/D96-1</f>
        <v>0.11347517730496448</v>
      </c>
      <c r="J98" s="108">
        <f>J96/E96-1</f>
        <v>0.10186182177672332</v>
      </c>
      <c r="K98" s="1"/>
    </row>
    <row r="99">
      <c r="A99" s="1"/>
      <c r="B99" s="1" t="s">
        <v>224</v>
      </c>
      <c r="C99" s="23">
        <v>387</v>
      </c>
      <c r="D99" s="23">
        <v>385</v>
      </c>
      <c r="E99" s="23">
        <v>394</v>
      </c>
      <c r="F99" s="3">
        <f>G99-C99-D99-E99</f>
        <v>427</v>
      </c>
      <c r="G99" s="23">
        <v>1593</v>
      </c>
      <c r="H99" s="23">
        <v>417</v>
      </c>
      <c r="I99" s="23">
        <v>460</v>
      </c>
      <c r="J99" s="50">
        <f>E99*'Revenue summary'!J28/'Revenue summary'!E28</f>
        <v>403.8376630218688</v>
      </c>
      <c r="K99" s="1" t="s">
        <v>225</v>
      </c>
    </row>
    <row r="100">
      <c r="A100" s="1"/>
      <c r="B100" s="26" t="s">
        <v>85</v>
      </c>
      <c r="C100" s="58" t="s">
        <v>34</v>
      </c>
      <c r="D100" s="21">
        <f>D99-C99</f>
        <v>-2</v>
      </c>
      <c r="E100" s="21">
        <f>E99-D99</f>
        <v>9</v>
      </c>
      <c r="F100" s="21">
        <f>F99-E99</f>
        <v>33</v>
      </c>
      <c r="G100" s="1"/>
      <c r="H100" s="21">
        <f>H99-F99</f>
        <v>-10</v>
      </c>
      <c r="I100" s="21">
        <f>I99-H99</f>
        <v>43</v>
      </c>
      <c r="J100" s="60">
        <f>J99-I99</f>
        <v>-56.16233697813118</v>
      </c>
      <c r="K100" s="1"/>
    </row>
    <row r="101">
      <c r="A101" s="1"/>
      <c r="B101" s="26" t="s">
        <v>75</v>
      </c>
      <c r="C101" s="109" t="s">
        <v>34</v>
      </c>
      <c r="D101" s="109" t="s">
        <v>34</v>
      </c>
      <c r="E101" s="109" t="s">
        <v>34</v>
      </c>
      <c r="F101" s="109" t="s">
        <v>34</v>
      </c>
      <c r="G101" s="109" t="s">
        <v>34</v>
      </c>
      <c r="H101" s="103">
        <f>H99/C99-1</f>
        <v>0.07751937984496116</v>
      </c>
      <c r="I101" s="103">
        <f>I99/D99-1</f>
        <v>0.19480519480519476</v>
      </c>
      <c r="J101" s="108">
        <f>J99/E99-1</f>
        <v>0.024968687872763518</v>
      </c>
      <c r="K101" s="1"/>
    </row>
    <row r="102">
      <c r="A102" s="1"/>
      <c r="B102" s="26" t="s">
        <v>226</v>
      </c>
      <c r="C102" s="103">
        <f>C99/C65</f>
        <v>0.1653139683895771</v>
      </c>
      <c r="D102" s="103">
        <f>D99/D65</f>
        <v>0.15406162464985995</v>
      </c>
      <c r="E102" s="103">
        <f>E99/E65</f>
        <v>0.15224111282843894</v>
      </c>
      <c r="F102" s="103">
        <f>F99/F65</f>
        <v>0.14494229463679564</v>
      </c>
      <c r="G102" s="103">
        <f>G99/G65</f>
        <v>0.15355696934644303</v>
      </c>
      <c r="H102" s="103">
        <f>H99/H65</f>
        <v>0.15819423368740515</v>
      </c>
      <c r="I102" s="103">
        <f>I99/I65</f>
        <v>0.16341030195381884</v>
      </c>
      <c r="J102" s="108">
        <f>J99/J65</f>
        <v>0.14313771751434615</v>
      </c>
      <c r="K102" s="1"/>
    </row>
    <row r="103">
      <c r="A103" s="1"/>
      <c r="B103" s="26" t="s">
        <v>214</v>
      </c>
      <c r="C103" s="65" t="s">
        <v>34</v>
      </c>
      <c r="D103" s="65" t="s">
        <v>34</v>
      </c>
      <c r="E103" s="65" t="s">
        <v>34</v>
      </c>
      <c r="F103" s="65" t="s">
        <v>34</v>
      </c>
      <c r="G103" s="65" t="s">
        <v>34</v>
      </c>
      <c r="H103" s="70">
        <f>(H102-C102)*10000</f>
        <v>-71.19734702171948</v>
      </c>
      <c r="I103" s="70">
        <f>(I102-D102)*10000</f>
        <v>93.48677303958885</v>
      </c>
      <c r="J103" s="69">
        <f>(J102-E102)*10000</f>
        <v>-91.03395314092793</v>
      </c>
      <c r="K103" s="1"/>
    </row>
    <row r="104">
      <c r="A104" s="1"/>
      <c r="B104" s="26" t="s">
        <v>215</v>
      </c>
      <c r="C104" s="65" t="s">
        <v>34</v>
      </c>
      <c r="D104" s="70">
        <f>(D102-C102)*10000</f>
        <v>-112.52343739717146</v>
      </c>
      <c r="E104" s="70">
        <f>(E102-D102)*10000</f>
        <v>-18.205118214210113</v>
      </c>
      <c r="F104" s="70">
        <f>(F102-E102)*10000</f>
        <v>-72.98818191643296</v>
      </c>
      <c r="G104" s="1"/>
      <c r="H104" s="70">
        <f>(H102-F102)*10000</f>
        <v>132.51939050609508</v>
      </c>
      <c r="I104" s="70">
        <f>(I102-H102)*10000</f>
        <v>52.16068266413687</v>
      </c>
      <c r="J104" s="69">
        <f>(J102-I102)*10000</f>
        <v>-202.72584439472692</v>
      </c>
      <c r="K104" s="1"/>
    </row>
    <row r="105">
      <c r="A105" s="1"/>
      <c r="B105" s="33" t="s">
        <v>227</v>
      </c>
      <c r="C105" s="55">
        <f>C96+C99</f>
        <v>2341</v>
      </c>
      <c r="D105" s="55">
        <f>D96+D99</f>
        <v>2500</v>
      </c>
      <c r="E105" s="55">
        <f>E96+E99</f>
        <v>2588</v>
      </c>
      <c r="F105" s="55">
        <f>F96+F99</f>
        <v>2945</v>
      </c>
      <c r="G105" s="55">
        <f>G96+G99</f>
        <v>10374</v>
      </c>
      <c r="H105" s="55">
        <f>H96+H99</f>
        <v>2636</v>
      </c>
      <c r="I105" s="55">
        <f>I96+I99</f>
        <v>2815</v>
      </c>
      <c r="J105" s="53">
        <f>J96+J99</f>
        <v>2821.3225</v>
      </c>
      <c r="K105" s="1" t="s">
        <v>228</v>
      </c>
    </row>
    <row r="106">
      <c r="A106" s="1"/>
      <c r="B106" s="1" t="s">
        <v>229</v>
      </c>
      <c r="C106" s="40" t="b">
        <f>ABS(C105-C65)&lt;=2</f>
        <v>1</v>
      </c>
      <c r="D106" s="40" t="b">
        <f>ABS(D105-D65)&lt;=2</f>
        <v>1</v>
      </c>
      <c r="E106" s="40" t="b">
        <f>ABS(E105-E65)&lt;=2</f>
        <v>1</v>
      </c>
      <c r="F106" s="40" t="b">
        <f>ABS(F105-F65)&lt;=2</f>
        <v>1</v>
      </c>
      <c r="G106" s="40" t="b">
        <f>ABS(G105-G65)&lt;=2</f>
        <v>1</v>
      </c>
      <c r="H106" s="40" t="b">
        <f>ABS(H105-H65)&lt;=2</f>
        <v>1</v>
      </c>
      <c r="I106" s="40" t="b">
        <f>ABS(I105-I65)&lt;=2</f>
        <v>1</v>
      </c>
      <c r="J106" s="76" t="b">
        <f>ABS(J105-J65)&lt;=2</f>
        <v>1</v>
      </c>
      <c r="K106" s="1" t="s">
        <v>230</v>
      </c>
    </row>
    <row r="107">
      <c r="A107" s="1"/>
      <c r="B107" s="1" t="s">
        <v>231</v>
      </c>
      <c r="C107" s="23">
        <v>855</v>
      </c>
      <c r="D107" s="23">
        <v>925</v>
      </c>
      <c r="E107" s="23">
        <v>961</v>
      </c>
      <c r="F107" s="3">
        <f>G107-C107-D107-E107</f>
        <v>1188</v>
      </c>
      <c r="G107" s="23">
        <v>3929</v>
      </c>
      <c r="H107" s="23">
        <v>1004</v>
      </c>
      <c r="I107" s="23">
        <v>1080</v>
      </c>
      <c r="J107" s="8">
        <f>J105*J134</f>
        <v>1083.38784</v>
      </c>
      <c r="K107" s="1"/>
    </row>
    <row r="108">
      <c r="A108" s="1"/>
      <c r="B108" s="26" t="s">
        <v>85</v>
      </c>
      <c r="C108" s="58" t="s">
        <v>34</v>
      </c>
      <c r="D108" s="21">
        <f>D107-C107</f>
        <v>70</v>
      </c>
      <c r="E108" s="21">
        <f>E107-D107</f>
        <v>36</v>
      </c>
      <c r="F108" s="21">
        <f>F107-E107</f>
        <v>227</v>
      </c>
      <c r="G108" s="1"/>
      <c r="H108" s="21">
        <f>H107-F107</f>
        <v>-184</v>
      </c>
      <c r="I108" s="21">
        <f>I107-H107</f>
        <v>76</v>
      </c>
      <c r="J108" s="60">
        <f>J107-I107</f>
        <v>3.3878400000000966</v>
      </c>
      <c r="K108" s="1"/>
    </row>
    <row r="109">
      <c r="A109" s="1"/>
      <c r="B109" s="26" t="s">
        <v>75</v>
      </c>
      <c r="C109" s="109" t="s">
        <v>34</v>
      </c>
      <c r="D109" s="109" t="s">
        <v>34</v>
      </c>
      <c r="E109" s="109" t="s">
        <v>34</v>
      </c>
      <c r="F109" s="109" t="s">
        <v>34</v>
      </c>
      <c r="G109" s="109" t="s">
        <v>34</v>
      </c>
      <c r="H109" s="103">
        <f>H107/C107-1</f>
        <v>0.17426900584795324</v>
      </c>
      <c r="I109" s="103">
        <f>I107/D107-1</f>
        <v>0.16756756756756763</v>
      </c>
      <c r="J109" s="108">
        <f>J107/E107-1</f>
        <v>0.12735467221644137</v>
      </c>
      <c r="K109" s="1"/>
    </row>
    <row r="110">
      <c r="A110" s="1"/>
      <c r="B110" s="26" t="s">
        <v>226</v>
      </c>
      <c r="C110" s="103">
        <f>C107/C105</f>
        <v>0.365228534814182</v>
      </c>
      <c r="D110" s="103">
        <f>D107/D105</f>
        <v>0.37</v>
      </c>
      <c r="E110" s="103">
        <f>E107/E105</f>
        <v>0.3713292117465224</v>
      </c>
      <c r="F110" s="103">
        <f>F107/F105</f>
        <v>0.4033955857385399</v>
      </c>
      <c r="G110" s="103">
        <f>G107/G105</f>
        <v>0.37873529978793136</v>
      </c>
      <c r="H110" s="103">
        <f>H107/H105</f>
        <v>0.38088012139605465</v>
      </c>
      <c r="I110" s="103">
        <f>I107/I105</f>
        <v>0.3836589698046181</v>
      </c>
      <c r="J110" s="108">
        <f>J107/J105</f>
        <v>0.384</v>
      </c>
      <c r="K110" s="1"/>
    </row>
    <row r="111">
      <c r="A111" s="1"/>
      <c r="B111" s="26" t="s">
        <v>214</v>
      </c>
      <c r="C111" s="65" t="s">
        <v>34</v>
      </c>
      <c r="D111" s="65" t="s">
        <v>34</v>
      </c>
      <c r="E111" s="65" t="s">
        <v>34</v>
      </c>
      <c r="F111" s="65" t="s">
        <v>34</v>
      </c>
      <c r="G111" s="65" t="s">
        <v>34</v>
      </c>
      <c r="H111" s="70">
        <f>(H110-C110)*10000</f>
        <v>156.51586581872655</v>
      </c>
      <c r="I111" s="70">
        <f>(I110-D110)*10000</f>
        <v>136.58969804618116</v>
      </c>
      <c r="J111" s="69">
        <f>(J110-E110)*10000</f>
        <v>126.70788253477616</v>
      </c>
      <c r="K111" s="1"/>
    </row>
    <row r="112">
      <c r="A112" s="1"/>
      <c r="B112" s="26" t="s">
        <v>215</v>
      </c>
      <c r="C112" s="65" t="s">
        <v>34</v>
      </c>
      <c r="D112" s="70">
        <f>(D110-C110)*10000</f>
        <v>47.71465185818003</v>
      </c>
      <c r="E112" s="70">
        <f>(E110-D110)*10000</f>
        <v>13.292117465223964</v>
      </c>
      <c r="F112" s="70">
        <f>(F110-E110)*10000</f>
        <v>320.66373992017503</v>
      </c>
      <c r="G112" s="1"/>
      <c r="H112" s="70">
        <f>(H110-F110)*10000</f>
        <v>-225.15464342485248</v>
      </c>
      <c r="I112" s="70">
        <f>(I110-H110)*10000</f>
        <v>27.788484085634614</v>
      </c>
      <c r="J112" s="69">
        <f>(J110-I110)*10000</f>
        <v>3.4103019538189727</v>
      </c>
      <c r="K112" s="1"/>
    </row>
    <row r="113">
      <c r="A113" s="1"/>
      <c r="B113" s="1" t="s">
        <v>232</v>
      </c>
      <c r="C113" s="23">
        <v>468</v>
      </c>
      <c r="D113" s="23">
        <v>467</v>
      </c>
      <c r="E113" s="23">
        <v>470</v>
      </c>
      <c r="F113" s="3">
        <f>G113-C113-D113-E113</f>
        <v>507</v>
      </c>
      <c r="G113" s="23">
        <v>1912</v>
      </c>
      <c r="H113" s="23">
        <v>496</v>
      </c>
      <c r="I113" s="23">
        <v>500</v>
      </c>
      <c r="J113" s="8">
        <f>J105*J135</f>
        <v>502.195405</v>
      </c>
      <c r="K113" s="1" t="s">
        <v>233</v>
      </c>
    </row>
    <row r="114">
      <c r="A114" s="1"/>
      <c r="B114" s="26" t="s">
        <v>85</v>
      </c>
      <c r="C114" s="58" t="s">
        <v>34</v>
      </c>
      <c r="D114" s="21">
        <f>D113-C113</f>
        <v>-1</v>
      </c>
      <c r="E114" s="21">
        <f>E113-D113</f>
        <v>3</v>
      </c>
      <c r="F114" s="21">
        <f>F113-E113</f>
        <v>37</v>
      </c>
      <c r="G114" s="1"/>
      <c r="H114" s="21">
        <f>H113-F113</f>
        <v>-11</v>
      </c>
      <c r="I114" s="21">
        <f>I113-H113</f>
        <v>4</v>
      </c>
      <c r="J114" s="60">
        <f>J113-I113</f>
        <v>2.195404999999994</v>
      </c>
      <c r="K114" s="1"/>
    </row>
    <row r="115">
      <c r="A115" s="1"/>
      <c r="B115" s="26" t="s">
        <v>75</v>
      </c>
      <c r="C115" s="109" t="s">
        <v>34</v>
      </c>
      <c r="D115" s="109" t="s">
        <v>34</v>
      </c>
      <c r="E115" s="109" t="s">
        <v>34</v>
      </c>
      <c r="F115" s="109" t="s">
        <v>34</v>
      </c>
      <c r="G115" s="109" t="s">
        <v>34</v>
      </c>
      <c r="H115" s="103">
        <f>H113/C113-1</f>
        <v>0.05982905982905984</v>
      </c>
      <c r="I115" s="103">
        <f>I113/D113-1</f>
        <v>0.07066381156316925</v>
      </c>
      <c r="J115" s="108">
        <f>J113/E113-1</f>
        <v>0.06850086170212766</v>
      </c>
      <c r="K115" s="1"/>
    </row>
    <row r="116">
      <c r="A116" s="1"/>
      <c r="B116" s="26" t="s">
        <v>226</v>
      </c>
      <c r="C116" s="103">
        <f>C113/C105</f>
        <v>0.19991456642460487</v>
      </c>
      <c r="D116" s="103">
        <f>D113/D105</f>
        <v>0.1868</v>
      </c>
      <c r="E116" s="103">
        <f>E113/E105</f>
        <v>0.18160741885625967</v>
      </c>
      <c r="F116" s="103">
        <f>F113/F105</f>
        <v>0.17215619694397283</v>
      </c>
      <c r="G116" s="103">
        <f>G113/G105</f>
        <v>0.18430692114902641</v>
      </c>
      <c r="H116" s="103">
        <f>H113/H105</f>
        <v>0.18816388467374812</v>
      </c>
      <c r="I116" s="103">
        <f>I113/I105</f>
        <v>0.17761989342806395</v>
      </c>
      <c r="J116" s="108">
        <f>J113/J105</f>
        <v>0.178</v>
      </c>
      <c r="K116" s="1"/>
    </row>
    <row r="117">
      <c r="A117" s="1"/>
      <c r="B117" s="26" t="s">
        <v>214</v>
      </c>
      <c r="C117" s="65" t="s">
        <v>34</v>
      </c>
      <c r="D117" s="65" t="s">
        <v>34</v>
      </c>
      <c r="E117" s="65" t="s">
        <v>34</v>
      </c>
      <c r="F117" s="65" t="s">
        <v>34</v>
      </c>
      <c r="G117" s="65" t="s">
        <v>34</v>
      </c>
      <c r="H117" s="70">
        <f>(H116-C116)*10000</f>
        <v>-117.50681750856751</v>
      </c>
      <c r="I117" s="70">
        <f>(I116-D116)*10000</f>
        <v>-91.80106571936048</v>
      </c>
      <c r="J117" s="69">
        <f>(J116-E116)*10000</f>
        <v>-36.07418856259675</v>
      </c>
      <c r="K117" s="1"/>
    </row>
    <row r="118">
      <c r="A118" s="1"/>
      <c r="B118" s="26" t="s">
        <v>215</v>
      </c>
      <c r="C118" s="65" t="s">
        <v>34</v>
      </c>
      <c r="D118" s="70">
        <f>(D116-C116)*10000</f>
        <v>-131.14566424604874</v>
      </c>
      <c r="E118" s="70">
        <f>(E116-D116)*10000</f>
        <v>-51.92581143740327</v>
      </c>
      <c r="F118" s="70">
        <f>(F116-E116)*10000</f>
        <v>-94.51221912286839</v>
      </c>
      <c r="G118" s="1"/>
      <c r="H118" s="70">
        <f>(H116-F116)*10000</f>
        <v>160.07687729775287</v>
      </c>
      <c r="I118" s="70">
        <f>(I116-H116)*10000</f>
        <v>-105.4399124568417</v>
      </c>
      <c r="J118" s="69">
        <f>(J116-I116)*10000</f>
        <v>3.8010657193604525</v>
      </c>
      <c r="K118" s="1"/>
    </row>
    <row r="119">
      <c r="A119" s="1"/>
      <c r="B119" s="1" t="s">
        <v>234</v>
      </c>
      <c r="C119" s="23">
        <v>139</v>
      </c>
      <c r="D119" s="23">
        <v>135</v>
      </c>
      <c r="E119" s="23">
        <v>136</v>
      </c>
      <c r="F119" s="3">
        <f>G119-C119-D119-E119</f>
        <v>143</v>
      </c>
      <c r="G119" s="23">
        <v>553</v>
      </c>
      <c r="H119" s="23">
        <v>131</v>
      </c>
      <c r="I119" s="23">
        <v>140</v>
      </c>
      <c r="J119" s="8">
        <f>J136</f>
        <v>140</v>
      </c>
      <c r="K119" s="1"/>
    </row>
    <row r="120">
      <c r="A120" s="1"/>
      <c r="B120" s="26" t="s">
        <v>85</v>
      </c>
      <c r="C120" s="58" t="s">
        <v>34</v>
      </c>
      <c r="D120" s="21">
        <f>D119-C119</f>
        <v>-4</v>
      </c>
      <c r="E120" s="21">
        <f>E119-D119</f>
        <v>1</v>
      </c>
      <c r="F120" s="21">
        <f>F119-E119</f>
        <v>7</v>
      </c>
      <c r="G120" s="1"/>
      <c r="H120" s="21">
        <f>H119-F119</f>
        <v>-12</v>
      </c>
      <c r="I120" s="21">
        <f>I119-H119</f>
        <v>9</v>
      </c>
      <c r="J120" s="60">
        <f>J119-I119</f>
        <v>0</v>
      </c>
      <c r="K120" s="1"/>
    </row>
    <row r="121">
      <c r="A121" s="1"/>
      <c r="B121" s="26" t="s">
        <v>75</v>
      </c>
      <c r="C121" s="109" t="s">
        <v>34</v>
      </c>
      <c r="D121" s="109" t="s">
        <v>34</v>
      </c>
      <c r="E121" s="109" t="s">
        <v>34</v>
      </c>
      <c r="F121" s="109" t="s">
        <v>34</v>
      </c>
      <c r="G121" s="109" t="s">
        <v>34</v>
      </c>
      <c r="H121" s="103">
        <f>H119/C119-1</f>
        <v>-0.05755395683453235</v>
      </c>
      <c r="I121" s="103">
        <f>I119/D119-1</f>
        <v>0.03703703703703698</v>
      </c>
      <c r="J121" s="108">
        <f>J119/E119-1</f>
        <v>0.02941176470588225</v>
      </c>
      <c r="K121" s="1"/>
    </row>
    <row r="122">
      <c r="A122" s="1"/>
      <c r="B122" s="26" t="s">
        <v>226</v>
      </c>
      <c r="C122" s="103">
        <f>C119/C105</f>
        <v>0.05937633489961555</v>
      </c>
      <c r="D122" s="103">
        <f>D119/D105</f>
        <v>0.054</v>
      </c>
      <c r="E122" s="103">
        <f>E119/E105</f>
        <v>0.05255023183925812</v>
      </c>
      <c r="F122" s="103">
        <f>F119/F105</f>
        <v>0.048556876061120545</v>
      </c>
      <c r="G122" s="103">
        <f>G119/G105</f>
        <v>0.053306342780026994</v>
      </c>
      <c r="H122" s="103">
        <f>H119/H105</f>
        <v>0.04969650986342944</v>
      </c>
      <c r="I122" s="103">
        <f>I119/I105</f>
        <v>0.0497335701598579</v>
      </c>
      <c r="J122" s="108">
        <f>J119/J105</f>
        <v>0.049622118704969034</v>
      </c>
      <c r="K122" s="1"/>
    </row>
    <row r="123">
      <c r="A123" s="1"/>
      <c r="B123" s="26" t="s">
        <v>214</v>
      </c>
      <c r="C123" s="65" t="s">
        <v>34</v>
      </c>
      <c r="D123" s="65" t="s">
        <v>34</v>
      </c>
      <c r="E123" s="65" t="s">
        <v>34</v>
      </c>
      <c r="F123" s="65" t="s">
        <v>34</v>
      </c>
      <c r="G123" s="65" t="s">
        <v>34</v>
      </c>
      <c r="H123" s="70">
        <f>(H122-C122)*10000</f>
        <v>-96.79825036186112</v>
      </c>
      <c r="I123" s="70">
        <f>(I122-D122)*10000</f>
        <v>-42.66429840142097</v>
      </c>
      <c r="J123" s="69">
        <f>(J122-E122)*10000</f>
        <v>-29.281131342890827</v>
      </c>
      <c r="K123" s="1"/>
    </row>
    <row r="124">
      <c r="A124" s="1"/>
      <c r="B124" s="26" t="s">
        <v>215</v>
      </c>
      <c r="C124" s="65" t="s">
        <v>34</v>
      </c>
      <c r="D124" s="70">
        <f>(D122-C122)*10000</f>
        <v>-53.76334899615552</v>
      </c>
      <c r="E124" s="70">
        <f>(E122-D122)*10000</f>
        <v>-14.497681607418823</v>
      </c>
      <c r="F124" s="70">
        <f>(F122-E122)*10000</f>
        <v>-39.933557781375725</v>
      </c>
      <c r="G124" s="1"/>
      <c r="H124" s="70">
        <f>(H122-F122)*10000</f>
        <v>11.396338023088939</v>
      </c>
      <c r="I124" s="70">
        <f>(I122-H122)*10000</f>
        <v>0.3706029642846359</v>
      </c>
      <c r="J124" s="69">
        <f>(J122-I122)*10000</f>
        <v>-1.1145145488886814</v>
      </c>
      <c r="K124" s="1"/>
    </row>
    <row r="125">
      <c r="A125" s="1"/>
      <c r="B125" s="1" t="s">
        <v>235</v>
      </c>
      <c r="C125" s="23">
        <v>45</v>
      </c>
      <c r="D125" s="23">
        <v>54</v>
      </c>
      <c r="E125" s="23">
        <v>53</v>
      </c>
      <c r="F125" s="3">
        <f>G125-C125-D125-E125</f>
        <v>61</v>
      </c>
      <c r="G125" s="23">
        <v>213</v>
      </c>
      <c r="H125" s="23">
        <v>50</v>
      </c>
      <c r="I125" s="23">
        <v>54</v>
      </c>
      <c r="J125" s="8">
        <f>J105-J107-J113-J119-J84</f>
        <v>29.27935000000025</v>
      </c>
      <c r="K125" s="1" t="s">
        <v>236</v>
      </c>
    </row>
    <row r="126">
      <c r="A126" s="1"/>
      <c r="B126" s="26" t="s">
        <v>85</v>
      </c>
      <c r="C126" s="58" t="s">
        <v>34</v>
      </c>
      <c r="D126" s="21">
        <f>D125-C125</f>
        <v>9</v>
      </c>
      <c r="E126" s="21">
        <f>E125-D125</f>
        <v>-1</v>
      </c>
      <c r="F126" s="21">
        <f>F125-E125</f>
        <v>8</v>
      </c>
      <c r="G126" s="1"/>
      <c r="H126" s="21">
        <f>H125-F125</f>
        <v>-11</v>
      </c>
      <c r="I126" s="21">
        <f>I125-H125</f>
        <v>4</v>
      </c>
      <c r="J126" s="60">
        <f>J125-I125</f>
        <v>-24.72064999999975</v>
      </c>
      <c r="K126" s="1"/>
    </row>
    <row r="127">
      <c r="A127" s="1"/>
      <c r="B127" s="33" t="s">
        <v>237</v>
      </c>
      <c r="C127" s="55">
        <f>C105-C107-C113-C119-C125</f>
        <v>834</v>
      </c>
      <c r="D127" s="55">
        <f>D105-D107-D113-D119-D125</f>
        <v>919</v>
      </c>
      <c r="E127" s="55">
        <f>E105-E107-E113-E119-E125</f>
        <v>968</v>
      </c>
      <c r="F127" s="55">
        <f>F105-F107-F113-F119-F125</f>
        <v>1046</v>
      </c>
      <c r="G127" s="55">
        <f>G105-G107-G113-G119-G125</f>
        <v>3767</v>
      </c>
      <c r="H127" s="55">
        <f>H105-H107-H113-H119-H125</f>
        <v>955</v>
      </c>
      <c r="I127" s="55">
        <f>I105-I107-I113-I119-I125</f>
        <v>1041</v>
      </c>
      <c r="J127" s="53">
        <f>J105-J107-J113-J119-J125</f>
        <v>1066.459905</v>
      </c>
      <c r="K127" s="1" t="s">
        <v>238</v>
      </c>
    </row>
    <row r="128">
      <c r="A128" s="1"/>
      <c r="B128" s="1" t="s">
        <v>239</v>
      </c>
      <c r="C128" s="40" t="b">
        <f>ABS(C127-C84)&lt;=2</f>
        <v>1</v>
      </c>
      <c r="D128" s="40" t="b">
        <f>ABS(D127-D84)&lt;=2</f>
        <v>1</v>
      </c>
      <c r="E128" s="40" t="b">
        <f>ABS(E127-E84)&lt;=2</f>
        <v>1</v>
      </c>
      <c r="F128" s="40" t="b">
        <f>ABS(F127-F84)&lt;=2</f>
        <v>1</v>
      </c>
      <c r="G128" s="40" t="b">
        <f>ABS(G127-G84)&lt;=2</f>
        <v>1</v>
      </c>
      <c r="H128" s="40" t="b">
        <f>ABS(H127-H84)&lt;=2</f>
        <v>1</v>
      </c>
      <c r="I128" s="40" t="b">
        <f>ABS(I127-I84)&lt;=2</f>
        <v>1</v>
      </c>
      <c r="J128" s="76" t="b">
        <f>ABS(J127-J84)&lt;=2</f>
        <v>1</v>
      </c>
      <c r="K128" s="1" t="s">
        <v>240</v>
      </c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>
      <c r="A130" s="1"/>
      <c r="B130" s="1" t="s">
        <v>241</v>
      </c>
      <c r="C130" s="23">
        <v>43</v>
      </c>
      <c r="D130" s="23">
        <v>25</v>
      </c>
      <c r="E130" s="23">
        <v>32</v>
      </c>
      <c r="F130" s="3">
        <f>G130-C130-D130-E130</f>
        <v>52</v>
      </c>
      <c r="G130" s="23">
        <v>152</v>
      </c>
      <c r="H130" s="23">
        <v>20</v>
      </c>
      <c r="I130" s="23">
        <v>59</v>
      </c>
      <c r="J130" s="57" t="s">
        <v>242</v>
      </c>
      <c r="K130" s="1" t="s">
        <v>243</v>
      </c>
    </row>
    <row r="131">
      <c r="A131" s="1"/>
      <c r="B131" s="1" t="s">
        <v>244</v>
      </c>
      <c r="C131" s="23">
        <v>59</v>
      </c>
      <c r="D131" s="23">
        <v>56</v>
      </c>
      <c r="E131" s="23">
        <v>62</v>
      </c>
      <c r="F131" s="3">
        <f>G131-C131-D131-E131</f>
        <v>74</v>
      </c>
      <c r="G131" s="23">
        <v>251</v>
      </c>
      <c r="H131" s="23">
        <v>70</v>
      </c>
      <c r="I131" s="23">
        <v>69</v>
      </c>
      <c r="J131" s="57" t="s">
        <v>242</v>
      </c>
      <c r="K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>
      <c r="A133" s="1"/>
      <c r="B133" s="13" t="s">
        <v>245</v>
      </c>
      <c r="C133" s="1"/>
      <c r="D133" s="1"/>
      <c r="E133" s="1"/>
      <c r="F133" s="1"/>
      <c r="G133" s="1"/>
      <c r="H133" s="1"/>
      <c r="I133" s="1"/>
      <c r="J133" s="1"/>
      <c r="K133" s="1" t="s">
        <v>246</v>
      </c>
    </row>
    <row r="134">
      <c r="A134" s="1"/>
      <c r="B134" s="26" t="s">
        <v>247</v>
      </c>
      <c r="C134" s="1"/>
      <c r="D134" s="1"/>
      <c r="E134" s="1"/>
      <c r="F134" s="1"/>
      <c r="G134" s="1"/>
      <c r="H134" s="1"/>
      <c r="I134" s="1"/>
      <c r="J134" s="112">
        <v>0.384</v>
      </c>
      <c r="K134" s="1" t="s">
        <v>248</v>
      </c>
    </row>
    <row r="135">
      <c r="A135" s="1"/>
      <c r="B135" s="26" t="s">
        <v>249</v>
      </c>
      <c r="C135" s="1"/>
      <c r="D135" s="1"/>
      <c r="E135" s="1"/>
      <c r="F135" s="1"/>
      <c r="G135" s="1"/>
      <c r="H135" s="1"/>
      <c r="I135" s="1"/>
      <c r="J135" s="112">
        <v>0.178</v>
      </c>
      <c r="K135" s="1"/>
    </row>
    <row r="136">
      <c r="A136" s="1"/>
      <c r="B136" s="1" t="s">
        <v>250</v>
      </c>
      <c r="C136" s="1"/>
      <c r="D136" s="1"/>
      <c r="E136" s="1"/>
      <c r="F136" s="1"/>
      <c r="G136" s="1"/>
      <c r="H136" s="1"/>
      <c r="I136" s="1"/>
      <c r="J136" s="57">
        <v>140</v>
      </c>
      <c r="K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251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61</v>
      </c>
      <c r="C5" s="16" t="s">
        <v>62</v>
      </c>
      <c r="D5" s="16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6" t="s">
        <v>68</v>
      </c>
      <c r="J5" s="43" t="s">
        <v>69</v>
      </c>
      <c r="K5" s="9" t="s">
        <v>4</v>
      </c>
    </row>
    <row r="6">
      <c r="A6" s="1"/>
      <c r="B6" s="6" t="s">
        <v>70</v>
      </c>
      <c r="C6" s="14">
        <v>45745</v>
      </c>
      <c r="D6" s="14">
        <v>45836</v>
      </c>
      <c r="E6" s="14">
        <v>45927</v>
      </c>
      <c r="F6" s="14">
        <v>46022</v>
      </c>
      <c r="G6" s="14">
        <v>46022</v>
      </c>
      <c r="H6" s="14">
        <v>46109</v>
      </c>
      <c r="I6" s="14">
        <v>46200</v>
      </c>
      <c r="J6" s="45">
        <v>46291</v>
      </c>
      <c r="K6" s="6" t="s">
        <v>71</v>
      </c>
    </row>
    <row r="7">
      <c r="A7" s="1"/>
      <c r="B7" s="28" t="s">
        <v>72</v>
      </c>
      <c r="C7" s="22">
        <v>88</v>
      </c>
      <c r="D7" s="11">
        <f>D6-C6</f>
        <v>91</v>
      </c>
      <c r="E7" s="11">
        <f>E6-D6</f>
        <v>91</v>
      </c>
      <c r="F7" s="11">
        <f>F6-E6</f>
        <v>95</v>
      </c>
      <c r="G7" s="22">
        <v>365</v>
      </c>
      <c r="H7" s="11">
        <f>H6-F6</f>
        <v>87</v>
      </c>
      <c r="I7" s="11">
        <f>I6-H6</f>
        <v>91</v>
      </c>
      <c r="J7" s="36">
        <f>J6-I6</f>
        <v>91</v>
      </c>
      <c r="K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252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1" t="s">
        <v>253</v>
      </c>
      <c r="C11" s="23">
        <v>773</v>
      </c>
      <c r="D11" s="23">
        <v>784</v>
      </c>
      <c r="E11" s="23">
        <v>841</v>
      </c>
      <c r="F11" s="3">
        <f>G11-C11-D11-E11</f>
        <v>962</v>
      </c>
      <c r="G11" s="23">
        <v>3360</v>
      </c>
      <c r="H11" s="23">
        <v>798</v>
      </c>
      <c r="I11" s="23">
        <v>821</v>
      </c>
      <c r="J11" s="8">
        <f>J15+J17+J18+J21</f>
        <v>878.6347499999999</v>
      </c>
      <c r="K11" s="1" t="s">
        <v>254</v>
      </c>
    </row>
    <row r="12">
      <c r="A12" s="1"/>
      <c r="B12" s="26" t="s">
        <v>75</v>
      </c>
      <c r="C12" s="103">
        <f>IF(ABS(C15)&lt;10,"n/m",C11/C15-1)</f>
        <v>-0.020278833967046883</v>
      </c>
      <c r="D12" s="103">
        <f>IF(ABS(D15)&lt;10,"n/m",D11/D15-1)</f>
        <v>0.014230271668822736</v>
      </c>
      <c r="E12" s="103">
        <f>IF(ABS(E15)&lt;10,"n/m",E11/E15-1)</f>
        <v>0.04862842892768082</v>
      </c>
      <c r="F12" s="103">
        <f>IF(ABS(F15)&lt;10,"n/m",F11/F15-1)</f>
        <v>0.052516411378555894</v>
      </c>
      <c r="G12" s="103">
        <f>IF(ABS(G15)&lt;10,"n/m",G11/G15-1)</f>
        <v>0.02501525320317266</v>
      </c>
      <c r="H12" s="103">
        <f>IF(ABS(H15)&lt;10,"n/m",H11/H15-1)</f>
        <v>0.03234152652005173</v>
      </c>
      <c r="I12" s="103">
        <f>IF(ABS(I15)&lt;10,"n/m",I11/I15-1)</f>
        <v>0.047193877551020336</v>
      </c>
      <c r="J12" s="108">
        <f>IF(ABS(J15)&lt;10,"n/m",J11/J15-1)</f>
        <v>0.044749999999999845</v>
      </c>
      <c r="K12" s="1"/>
    </row>
    <row r="13">
      <c r="A13" s="1"/>
      <c r="B13" s="26" t="s">
        <v>85</v>
      </c>
      <c r="C13" s="21">
        <f>C11-F15</f>
        <v>-141</v>
      </c>
      <c r="D13" s="21">
        <f>D11-C11</f>
        <v>11</v>
      </c>
      <c r="E13" s="21">
        <f>E11-D11</f>
        <v>57</v>
      </c>
      <c r="F13" s="21">
        <f>F11-E11</f>
        <v>121</v>
      </c>
      <c r="G13" s="1"/>
      <c r="H13" s="21">
        <f>H11-F11</f>
        <v>-164</v>
      </c>
      <c r="I13" s="21">
        <f>I11-H11</f>
        <v>23</v>
      </c>
      <c r="J13" s="60">
        <f>J11-I11</f>
        <v>57.63474999999994</v>
      </c>
      <c r="K13" s="1" t="s">
        <v>167</v>
      </c>
    </row>
    <row r="14">
      <c r="A14" s="1"/>
      <c r="B14" s="26" t="s">
        <v>255</v>
      </c>
      <c r="C14" s="103">
        <f>C11/C52</f>
        <v>0.449941792782305</v>
      </c>
      <c r="D14" s="103">
        <f>D11/D52</f>
        <v>0.4537037037037037</v>
      </c>
      <c r="E14" s="103">
        <f>E11/E52</f>
        <v>0.44426835710512413</v>
      </c>
      <c r="F14" s="103">
        <f>F11/F52</f>
        <v>0.4343115124153499</v>
      </c>
      <c r="G14" s="103">
        <f>G11/G52</f>
        <v>0.44479745830023826</v>
      </c>
      <c r="H14" s="103">
        <f>H11/H52</f>
        <v>0.46503496503496505</v>
      </c>
      <c r="I14" s="103">
        <f>I11/I52</f>
        <v>0.44450460205739034</v>
      </c>
      <c r="J14" s="108">
        <f>J11/J52</f>
        <v>0.44172598532332213</v>
      </c>
      <c r="K14" s="1" t="s">
        <v>256</v>
      </c>
    </row>
    <row r="15">
      <c r="A15" s="1"/>
      <c r="B15" s="1" t="s">
        <v>144</v>
      </c>
      <c r="C15" s="23">
        <v>789</v>
      </c>
      <c r="D15" s="23">
        <v>773</v>
      </c>
      <c r="E15" s="23">
        <v>802</v>
      </c>
      <c r="F15" s="3">
        <f>G15-C15-D15-E15</f>
        <v>914</v>
      </c>
      <c r="G15" s="23">
        <v>3278</v>
      </c>
      <c r="H15" s="3">
        <f>C11</f>
        <v>773</v>
      </c>
      <c r="I15" s="3">
        <f>D11</f>
        <v>784</v>
      </c>
      <c r="J15" s="8">
        <f>E11</f>
        <v>841</v>
      </c>
      <c r="K15" s="1" t="s">
        <v>170</v>
      </c>
    </row>
    <row r="16">
      <c r="A16" s="1"/>
      <c r="B16" s="26" t="s">
        <v>171</v>
      </c>
      <c r="C16" s="109" t="s">
        <v>89</v>
      </c>
      <c r="D16" s="109" t="s">
        <v>89</v>
      </c>
      <c r="E16" s="109" t="s">
        <v>89</v>
      </c>
      <c r="F16" s="109" t="s">
        <v>89</v>
      </c>
      <c r="G16" s="109" t="s">
        <v>89</v>
      </c>
      <c r="H16" s="109" t="s">
        <v>89</v>
      </c>
      <c r="I16" s="109" t="s">
        <v>89</v>
      </c>
      <c r="J16" s="112">
        <v>0.05</v>
      </c>
      <c r="K16" s="1" t="s">
        <v>257</v>
      </c>
    </row>
    <row r="17">
      <c r="A17" s="1"/>
      <c r="B17" s="26" t="s">
        <v>91</v>
      </c>
      <c r="C17" s="58" t="s">
        <v>89</v>
      </c>
      <c r="D17" s="58" t="s">
        <v>89</v>
      </c>
      <c r="E17" s="58" t="s">
        <v>89</v>
      </c>
      <c r="F17" s="58" t="s">
        <v>89</v>
      </c>
      <c r="G17" s="58" t="s">
        <v>89</v>
      </c>
      <c r="H17" s="58" t="s">
        <v>89</v>
      </c>
      <c r="I17" s="58" t="s">
        <v>89</v>
      </c>
      <c r="J17" s="60">
        <f>J15*J16</f>
        <v>42.050000000000004</v>
      </c>
      <c r="K17" s="1" t="s">
        <v>92</v>
      </c>
    </row>
    <row r="18">
      <c r="A18" s="1"/>
      <c r="B18" s="26" t="s">
        <v>173</v>
      </c>
      <c r="C18" s="58" t="s">
        <v>89</v>
      </c>
      <c r="D18" s="58" t="s">
        <v>89</v>
      </c>
      <c r="E18" s="58" t="s">
        <v>89</v>
      </c>
      <c r="F18" s="58" t="s">
        <v>89</v>
      </c>
      <c r="G18" s="58" t="s">
        <v>89</v>
      </c>
      <c r="H18" s="58" t="s">
        <v>89</v>
      </c>
      <c r="I18" s="58" t="s">
        <v>89</v>
      </c>
      <c r="J18" s="75">
        <v>0</v>
      </c>
      <c r="K18" s="1" t="s">
        <v>174</v>
      </c>
    </row>
    <row r="19">
      <c r="A19" s="1"/>
      <c r="B19" s="26" t="s">
        <v>175</v>
      </c>
      <c r="C19" s="109" t="s">
        <v>89</v>
      </c>
      <c r="D19" s="109" t="s">
        <v>89</v>
      </c>
      <c r="E19" s="109" t="s">
        <v>89</v>
      </c>
      <c r="F19" s="109" t="s">
        <v>89</v>
      </c>
      <c r="G19" s="109" t="s">
        <v>89</v>
      </c>
      <c r="H19" s="109" t="s">
        <v>89</v>
      </c>
      <c r="I19" s="109" t="s">
        <v>89</v>
      </c>
      <c r="J19" s="108">
        <f>J18/J15</f>
        <v>0</v>
      </c>
      <c r="K19" s="1" t="s">
        <v>176</v>
      </c>
    </row>
    <row r="20">
      <c r="A20" s="1"/>
      <c r="B20" s="26" t="s">
        <v>95</v>
      </c>
      <c r="C20" s="109" t="s">
        <v>89</v>
      </c>
      <c r="D20" s="109" t="s">
        <v>89</v>
      </c>
      <c r="E20" s="109" t="s">
        <v>89</v>
      </c>
      <c r="F20" s="109" t="s">
        <v>89</v>
      </c>
      <c r="G20" s="109" t="s">
        <v>89</v>
      </c>
      <c r="H20" s="109" t="s">
        <v>89</v>
      </c>
      <c r="I20" s="109" t="s">
        <v>89</v>
      </c>
      <c r="J20" s="113">
        <f>'Revenue summary'!J64</f>
        <v>-0.005</v>
      </c>
      <c r="K20" s="1" t="s">
        <v>177</v>
      </c>
    </row>
    <row r="21">
      <c r="A21" s="1"/>
      <c r="B21" s="26" t="s">
        <v>96</v>
      </c>
      <c r="C21" s="58" t="s">
        <v>89</v>
      </c>
      <c r="D21" s="58" t="s">
        <v>89</v>
      </c>
      <c r="E21" s="58" t="s">
        <v>89</v>
      </c>
      <c r="F21" s="58" t="s">
        <v>89</v>
      </c>
      <c r="G21" s="58" t="s">
        <v>89</v>
      </c>
      <c r="H21" s="58" t="s">
        <v>89</v>
      </c>
      <c r="I21" s="58" t="s">
        <v>89</v>
      </c>
      <c r="J21" s="60">
        <f>(J15+J17+J18)*J20</f>
        <v>-4.4152499999999995</v>
      </c>
      <c r="K21" s="1"/>
    </row>
    <row r="22">
      <c r="A22" s="1"/>
      <c r="B22" s="26" t="s">
        <v>178</v>
      </c>
      <c r="C22" s="109" t="s">
        <v>89</v>
      </c>
      <c r="D22" s="109" t="s">
        <v>89</v>
      </c>
      <c r="E22" s="109" t="s">
        <v>89</v>
      </c>
      <c r="F22" s="109" t="s">
        <v>89</v>
      </c>
      <c r="G22" s="109" t="s">
        <v>89</v>
      </c>
      <c r="H22" s="109" t="s">
        <v>89</v>
      </c>
      <c r="I22" s="109" t="s">
        <v>89</v>
      </c>
      <c r="J22" s="108">
        <f>(1+J12)/((1+J19)*(1+J20))-1</f>
        <v>0.04999999999999982</v>
      </c>
      <c r="K22" s="1" t="s">
        <v>179</v>
      </c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>
      <c r="A24" s="1"/>
      <c r="B24" s="1" t="s">
        <v>258</v>
      </c>
      <c r="C24" s="23">
        <v>286</v>
      </c>
      <c r="D24" s="23">
        <v>292</v>
      </c>
      <c r="E24" s="23">
        <v>320</v>
      </c>
      <c r="F24" s="3">
        <f>G24-C24-D24-E24</f>
        <v>339</v>
      </c>
      <c r="G24" s="23">
        <v>1237</v>
      </c>
      <c r="H24" s="23">
        <v>285</v>
      </c>
      <c r="I24" s="23">
        <v>318</v>
      </c>
      <c r="J24" s="8">
        <f>J28+J30+J31+J34</f>
        <v>331.136</v>
      </c>
      <c r="K24" s="1" t="s">
        <v>166</v>
      </c>
    </row>
    <row r="25">
      <c r="A25" s="1"/>
      <c r="B25" s="26" t="s">
        <v>75</v>
      </c>
      <c r="C25" s="103">
        <f>IF(ABS(C28)&lt;10,"n/m",C24/C28-1)</f>
        <v>-0.10624999999999996</v>
      </c>
      <c r="D25" s="103">
        <f>IF(ABS(D28)&lt;10,"n/m",D24/D28-1)</f>
        <v>-0.09876543209876543</v>
      </c>
      <c r="E25" s="103">
        <f>IF(ABS(E28)&lt;10,"n/m",E24/E28-1)</f>
        <v>-0.03614457831325302</v>
      </c>
      <c r="F25" s="103">
        <f>IF(ABS(F28)&lt;10,"n/m",F24/F28-1)</f>
        <v>0</v>
      </c>
      <c r="G25" s="103">
        <f>IF(ABS(G28)&lt;10,"n/m",G24/G28-1)</f>
        <v>-0.05931558935361214</v>
      </c>
      <c r="H25" s="103">
        <f>IF(ABS(H28)&lt;10,"n/m",H24/H28-1)</f>
        <v>-0.0034965034965035446</v>
      </c>
      <c r="I25" s="103">
        <f>IF(ABS(I28)&lt;10,"n/m",I24/I28-1)</f>
        <v>0.08904109589041087</v>
      </c>
      <c r="J25" s="108">
        <f>IF(ABS(J28)&lt;10,"n/m",J24/J28-1)</f>
        <v>0.034800000000000164</v>
      </c>
      <c r="K25" s="1"/>
    </row>
    <row r="26">
      <c r="A26" s="1"/>
      <c r="B26" s="26" t="s">
        <v>85</v>
      </c>
      <c r="C26" s="21">
        <f>C24-F28</f>
        <v>-53</v>
      </c>
      <c r="D26" s="21">
        <f>D24-C24</f>
        <v>6</v>
      </c>
      <c r="E26" s="21">
        <f>E24-D24</f>
        <v>28</v>
      </c>
      <c r="F26" s="21">
        <f>F24-E24</f>
        <v>19</v>
      </c>
      <c r="G26" s="1"/>
      <c r="H26" s="21">
        <f>H24-F24</f>
        <v>-54</v>
      </c>
      <c r="I26" s="21">
        <f>I24-H24</f>
        <v>33</v>
      </c>
      <c r="J26" s="60">
        <f>J24-I24</f>
        <v>13.136000000000024</v>
      </c>
      <c r="K26" s="1" t="s">
        <v>167</v>
      </c>
    </row>
    <row r="27">
      <c r="A27" s="1"/>
      <c r="B27" s="26" t="s">
        <v>255</v>
      </c>
      <c r="C27" s="103">
        <f>C24/C52</f>
        <v>0.16647264260768335</v>
      </c>
      <c r="D27" s="103">
        <f>D24/D52</f>
        <v>0.16898148148148148</v>
      </c>
      <c r="E27" s="103">
        <f>E24/E52</f>
        <v>0.16904384574749076</v>
      </c>
      <c r="F27" s="103">
        <f>F24/F52</f>
        <v>0.1530474040632054</v>
      </c>
      <c r="G27" s="103">
        <f>G24/G52</f>
        <v>0.16375430235636748</v>
      </c>
      <c r="H27" s="103">
        <f>H24/H52</f>
        <v>0.1660839160839161</v>
      </c>
      <c r="I27" s="103">
        <f>I24/I52</f>
        <v>0.17217108825121819</v>
      </c>
      <c r="J27" s="108">
        <f>J24/J52</f>
        <v>0.16647574646464144</v>
      </c>
      <c r="K27" s="1" t="s">
        <v>256</v>
      </c>
    </row>
    <row r="28">
      <c r="A28" s="1"/>
      <c r="B28" s="1" t="s">
        <v>144</v>
      </c>
      <c r="C28" s="23">
        <v>320</v>
      </c>
      <c r="D28" s="23">
        <v>324</v>
      </c>
      <c r="E28" s="23">
        <v>332</v>
      </c>
      <c r="F28" s="3">
        <f>G28-C28-D28-E28</f>
        <v>339</v>
      </c>
      <c r="G28" s="23">
        <v>1315</v>
      </c>
      <c r="H28" s="3">
        <f>C24</f>
        <v>286</v>
      </c>
      <c r="I28" s="3">
        <f>D24</f>
        <v>292</v>
      </c>
      <c r="J28" s="8">
        <f>E24</f>
        <v>320</v>
      </c>
      <c r="K28" s="1" t="s">
        <v>170</v>
      </c>
    </row>
    <row r="29">
      <c r="A29" s="1"/>
      <c r="B29" s="26" t="s">
        <v>171</v>
      </c>
      <c r="C29" s="109" t="s">
        <v>89</v>
      </c>
      <c r="D29" s="109" t="s">
        <v>89</v>
      </c>
      <c r="E29" s="109" t="s">
        <v>89</v>
      </c>
      <c r="F29" s="109" t="s">
        <v>89</v>
      </c>
      <c r="G29" s="109" t="s">
        <v>89</v>
      </c>
      <c r="H29" s="109" t="s">
        <v>89</v>
      </c>
      <c r="I29" s="109" t="s">
        <v>89</v>
      </c>
      <c r="J29" s="112">
        <v>0.04</v>
      </c>
      <c r="K29" s="1" t="s">
        <v>259</v>
      </c>
    </row>
    <row r="30">
      <c r="A30" s="1"/>
      <c r="B30" s="26" t="s">
        <v>91</v>
      </c>
      <c r="C30" s="58" t="s">
        <v>89</v>
      </c>
      <c r="D30" s="58" t="s">
        <v>89</v>
      </c>
      <c r="E30" s="58" t="s">
        <v>89</v>
      </c>
      <c r="F30" s="58" t="s">
        <v>89</v>
      </c>
      <c r="G30" s="58" t="s">
        <v>89</v>
      </c>
      <c r="H30" s="58" t="s">
        <v>89</v>
      </c>
      <c r="I30" s="58" t="s">
        <v>89</v>
      </c>
      <c r="J30" s="60">
        <f>J28*J29</f>
        <v>12.8</v>
      </c>
      <c r="K30" s="1" t="s">
        <v>92</v>
      </c>
    </row>
    <row r="31">
      <c r="A31" s="1"/>
      <c r="B31" s="26" t="s">
        <v>173</v>
      </c>
      <c r="C31" s="58" t="s">
        <v>89</v>
      </c>
      <c r="D31" s="58" t="s">
        <v>89</v>
      </c>
      <c r="E31" s="58" t="s">
        <v>89</v>
      </c>
      <c r="F31" s="58" t="s">
        <v>89</v>
      </c>
      <c r="G31" s="58" t="s">
        <v>89</v>
      </c>
      <c r="H31" s="58" t="s">
        <v>89</v>
      </c>
      <c r="I31" s="58" t="s">
        <v>89</v>
      </c>
      <c r="J31" s="75">
        <v>0</v>
      </c>
      <c r="K31" s="1" t="s">
        <v>174</v>
      </c>
    </row>
    <row r="32">
      <c r="A32" s="1"/>
      <c r="B32" s="26" t="s">
        <v>175</v>
      </c>
      <c r="C32" s="109" t="s">
        <v>89</v>
      </c>
      <c r="D32" s="109" t="s">
        <v>89</v>
      </c>
      <c r="E32" s="109" t="s">
        <v>89</v>
      </c>
      <c r="F32" s="109" t="s">
        <v>89</v>
      </c>
      <c r="G32" s="109" t="s">
        <v>89</v>
      </c>
      <c r="H32" s="109" t="s">
        <v>89</v>
      </c>
      <c r="I32" s="109" t="s">
        <v>89</v>
      </c>
      <c r="J32" s="108">
        <f>J31/J28</f>
        <v>0</v>
      </c>
      <c r="K32" s="1" t="s">
        <v>176</v>
      </c>
    </row>
    <row r="33">
      <c r="A33" s="1"/>
      <c r="B33" s="26" t="s">
        <v>95</v>
      </c>
      <c r="C33" s="109" t="s">
        <v>89</v>
      </c>
      <c r="D33" s="109" t="s">
        <v>89</v>
      </c>
      <c r="E33" s="109" t="s">
        <v>89</v>
      </c>
      <c r="F33" s="109" t="s">
        <v>89</v>
      </c>
      <c r="G33" s="109" t="s">
        <v>89</v>
      </c>
      <c r="H33" s="109" t="s">
        <v>89</v>
      </c>
      <c r="I33" s="109" t="s">
        <v>89</v>
      </c>
      <c r="J33" s="113">
        <f>'Revenue summary'!J64</f>
        <v>-0.005</v>
      </c>
      <c r="K33" s="1" t="s">
        <v>177</v>
      </c>
    </row>
    <row r="34">
      <c r="A34" s="1"/>
      <c r="B34" s="26" t="s">
        <v>96</v>
      </c>
      <c r="C34" s="58" t="s">
        <v>89</v>
      </c>
      <c r="D34" s="58" t="s">
        <v>89</v>
      </c>
      <c r="E34" s="58" t="s">
        <v>89</v>
      </c>
      <c r="F34" s="58" t="s">
        <v>89</v>
      </c>
      <c r="G34" s="58" t="s">
        <v>89</v>
      </c>
      <c r="H34" s="58" t="s">
        <v>89</v>
      </c>
      <c r="I34" s="58" t="s">
        <v>89</v>
      </c>
      <c r="J34" s="60">
        <f>(J28+J30+J31)*J33</f>
        <v>-1.6640000000000001</v>
      </c>
      <c r="K34" s="1"/>
    </row>
    <row r="35">
      <c r="A35" s="1"/>
      <c r="B35" s="26" t="s">
        <v>178</v>
      </c>
      <c r="C35" s="109" t="s">
        <v>89</v>
      </c>
      <c r="D35" s="109" t="s">
        <v>89</v>
      </c>
      <c r="E35" s="109" t="s">
        <v>89</v>
      </c>
      <c r="F35" s="109" t="s">
        <v>89</v>
      </c>
      <c r="G35" s="109" t="s">
        <v>89</v>
      </c>
      <c r="H35" s="109" t="s">
        <v>89</v>
      </c>
      <c r="I35" s="109" t="s">
        <v>89</v>
      </c>
      <c r="J35" s="108">
        <f>(1+J25)/((1+J32)*(1+J33))-1</f>
        <v>0.04000000000000026</v>
      </c>
      <c r="K35" s="1" t="s">
        <v>179</v>
      </c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>
      <c r="A37" s="1"/>
      <c r="B37" s="1" t="s">
        <v>260</v>
      </c>
      <c r="C37" s="23">
        <v>659</v>
      </c>
      <c r="D37" s="23">
        <v>652</v>
      </c>
      <c r="E37" s="23">
        <v>732</v>
      </c>
      <c r="F37" s="3">
        <f>G37-C37-D37-E37</f>
        <v>914</v>
      </c>
      <c r="G37" s="23">
        <v>2957</v>
      </c>
      <c r="H37" s="23">
        <v>633</v>
      </c>
      <c r="I37" s="23">
        <v>707</v>
      </c>
      <c r="J37" s="8">
        <f>J41+J43+J44+J47</f>
        <v>779.3238</v>
      </c>
      <c r="K37" s="1" t="s">
        <v>166</v>
      </c>
    </row>
    <row r="38">
      <c r="A38" s="1"/>
      <c r="B38" s="26" t="s">
        <v>75</v>
      </c>
      <c r="C38" s="103">
        <f>IF(ABS(C41)&lt;10,"n/m",C37/C41-1)</f>
        <v>0.13816925734024177</v>
      </c>
      <c r="D38" s="103">
        <f>IF(ABS(D41)&lt;10,"n/m",D37/D41-1)</f>
        <v>-0.04678362573099415</v>
      </c>
      <c r="E38" s="103">
        <f>IF(ABS(E41)&lt;10,"n/m",E37/E41-1)</f>
        <v>0.08444444444444454</v>
      </c>
      <c r="F38" s="103">
        <f>IF(ABS(F41)&lt;10,"n/m",F37/F41-1)</f>
        <v>-0.01931330472102999</v>
      </c>
      <c r="G38" s="103">
        <f>IF(ABS(G41)&lt;10,"n/m",G37/G41-1)</f>
        <v>0.03031358885017421</v>
      </c>
      <c r="H38" s="103">
        <f>IF(ABS(H41)&lt;10,"n/m",H37/H41-1)</f>
        <v>-0.039453717754172946</v>
      </c>
      <c r="I38" s="103">
        <f>IF(ABS(I41)&lt;10,"n/m",I37/I41-1)</f>
        <v>0.08435582822085896</v>
      </c>
      <c r="J38" s="108">
        <f>IF(ABS(J41)&lt;10,"n/m",J37/J41-1)</f>
        <v>0.0646500000000001</v>
      </c>
      <c r="K38" s="1"/>
    </row>
    <row r="39">
      <c r="A39" s="1"/>
      <c r="B39" s="26" t="s">
        <v>85</v>
      </c>
      <c r="C39" s="21">
        <f>C37-F41</f>
        <v>-273</v>
      </c>
      <c r="D39" s="21">
        <f>D37-C37</f>
        <v>-7</v>
      </c>
      <c r="E39" s="21">
        <f>E37-D37</f>
        <v>80</v>
      </c>
      <c r="F39" s="21">
        <f>F37-E37</f>
        <v>182</v>
      </c>
      <c r="G39" s="1"/>
      <c r="H39" s="21">
        <f>H37-F37</f>
        <v>-281</v>
      </c>
      <c r="I39" s="21">
        <f>I37-H37</f>
        <v>74</v>
      </c>
      <c r="J39" s="60">
        <f>J37-I37</f>
        <v>72.3238</v>
      </c>
      <c r="K39" s="1" t="s">
        <v>167</v>
      </c>
    </row>
    <row r="40">
      <c r="A40" s="1"/>
      <c r="B40" s="26" t="s">
        <v>255</v>
      </c>
      <c r="C40" s="103">
        <f>C37/C52</f>
        <v>0.38358556461001164</v>
      </c>
      <c r="D40" s="103">
        <f>D37/D52</f>
        <v>0.3773148148148148</v>
      </c>
      <c r="E40" s="103">
        <f>E37/E52</f>
        <v>0.3866877971473851</v>
      </c>
      <c r="F40" s="103">
        <f>F37/F52</f>
        <v>0.4126410835214447</v>
      </c>
      <c r="G40" s="103">
        <f>G37/G52</f>
        <v>0.39144823934339423</v>
      </c>
      <c r="H40" s="103">
        <f>H37/H52</f>
        <v>0.3688811188811189</v>
      </c>
      <c r="I40" s="103">
        <f>I37/I52</f>
        <v>0.3827828911748782</v>
      </c>
      <c r="J40" s="108">
        <f>J37/J52</f>
        <v>0.3917982682120365</v>
      </c>
      <c r="K40" s="1" t="s">
        <v>256</v>
      </c>
    </row>
    <row r="41">
      <c r="A41" s="1"/>
      <c r="B41" s="1" t="s">
        <v>144</v>
      </c>
      <c r="C41" s="23">
        <v>579</v>
      </c>
      <c r="D41" s="23">
        <v>684</v>
      </c>
      <c r="E41" s="23">
        <v>675</v>
      </c>
      <c r="F41" s="3">
        <f>G41-C41-D41-E41</f>
        <v>932</v>
      </c>
      <c r="G41" s="23">
        <v>2870</v>
      </c>
      <c r="H41" s="3">
        <f>C37</f>
        <v>659</v>
      </c>
      <c r="I41" s="3">
        <f>D37</f>
        <v>652</v>
      </c>
      <c r="J41" s="8">
        <f>E37</f>
        <v>732</v>
      </c>
      <c r="K41" s="1" t="s">
        <v>170</v>
      </c>
    </row>
    <row r="42">
      <c r="A42" s="1"/>
      <c r="B42" s="26" t="s">
        <v>171</v>
      </c>
      <c r="C42" s="109" t="s">
        <v>89</v>
      </c>
      <c r="D42" s="109" t="s">
        <v>89</v>
      </c>
      <c r="E42" s="109" t="s">
        <v>89</v>
      </c>
      <c r="F42" s="109" t="s">
        <v>89</v>
      </c>
      <c r="G42" s="109" t="s">
        <v>89</v>
      </c>
      <c r="H42" s="109" t="s">
        <v>89</v>
      </c>
      <c r="I42" s="109" t="s">
        <v>89</v>
      </c>
      <c r="J42" s="112">
        <v>0.07</v>
      </c>
      <c r="K42" s="1" t="s">
        <v>261</v>
      </c>
    </row>
    <row r="43">
      <c r="A43" s="1"/>
      <c r="B43" s="26" t="s">
        <v>91</v>
      </c>
      <c r="C43" s="58" t="s">
        <v>89</v>
      </c>
      <c r="D43" s="58" t="s">
        <v>89</v>
      </c>
      <c r="E43" s="58" t="s">
        <v>89</v>
      </c>
      <c r="F43" s="58" t="s">
        <v>89</v>
      </c>
      <c r="G43" s="58" t="s">
        <v>89</v>
      </c>
      <c r="H43" s="58" t="s">
        <v>89</v>
      </c>
      <c r="I43" s="58" t="s">
        <v>89</v>
      </c>
      <c r="J43" s="60">
        <f>J41*J42</f>
        <v>51.24</v>
      </c>
      <c r="K43" s="1" t="s">
        <v>92</v>
      </c>
    </row>
    <row r="44">
      <c r="A44" s="1"/>
      <c r="B44" s="26" t="s">
        <v>173</v>
      </c>
      <c r="C44" s="58" t="s">
        <v>89</v>
      </c>
      <c r="D44" s="58" t="s">
        <v>89</v>
      </c>
      <c r="E44" s="58" t="s">
        <v>89</v>
      </c>
      <c r="F44" s="58" t="s">
        <v>89</v>
      </c>
      <c r="G44" s="58" t="s">
        <v>89</v>
      </c>
      <c r="H44" s="58" t="s">
        <v>89</v>
      </c>
      <c r="I44" s="58" t="s">
        <v>89</v>
      </c>
      <c r="J44" s="75">
        <v>0</v>
      </c>
      <c r="K44" s="1" t="s">
        <v>174</v>
      </c>
    </row>
    <row r="45">
      <c r="A45" s="1"/>
      <c r="B45" s="26" t="s">
        <v>175</v>
      </c>
      <c r="C45" s="109" t="s">
        <v>89</v>
      </c>
      <c r="D45" s="109" t="s">
        <v>89</v>
      </c>
      <c r="E45" s="109" t="s">
        <v>89</v>
      </c>
      <c r="F45" s="109" t="s">
        <v>89</v>
      </c>
      <c r="G45" s="109" t="s">
        <v>89</v>
      </c>
      <c r="H45" s="109" t="s">
        <v>89</v>
      </c>
      <c r="I45" s="109" t="s">
        <v>89</v>
      </c>
      <c r="J45" s="108">
        <f>J44/J41</f>
        <v>0</v>
      </c>
      <c r="K45" s="1" t="s">
        <v>176</v>
      </c>
    </row>
    <row r="46">
      <c r="A46" s="1"/>
      <c r="B46" s="26" t="s">
        <v>95</v>
      </c>
      <c r="C46" s="109" t="s">
        <v>89</v>
      </c>
      <c r="D46" s="109" t="s">
        <v>89</v>
      </c>
      <c r="E46" s="109" t="s">
        <v>89</v>
      </c>
      <c r="F46" s="109" t="s">
        <v>89</v>
      </c>
      <c r="G46" s="109" t="s">
        <v>89</v>
      </c>
      <c r="H46" s="109" t="s">
        <v>89</v>
      </c>
      <c r="I46" s="109" t="s">
        <v>89</v>
      </c>
      <c r="J46" s="113">
        <f>'Revenue summary'!J64</f>
        <v>-0.005</v>
      </c>
      <c r="K46" s="1" t="s">
        <v>177</v>
      </c>
    </row>
    <row r="47">
      <c r="A47" s="1"/>
      <c r="B47" s="26" t="s">
        <v>96</v>
      </c>
      <c r="C47" s="58" t="s">
        <v>89</v>
      </c>
      <c r="D47" s="58" t="s">
        <v>89</v>
      </c>
      <c r="E47" s="58" t="s">
        <v>89</v>
      </c>
      <c r="F47" s="58" t="s">
        <v>89</v>
      </c>
      <c r="G47" s="58" t="s">
        <v>89</v>
      </c>
      <c r="H47" s="58" t="s">
        <v>89</v>
      </c>
      <c r="I47" s="58" t="s">
        <v>89</v>
      </c>
      <c r="J47" s="60">
        <f>(J41+J43+J44)*J46</f>
        <v>-3.9162000000000003</v>
      </c>
      <c r="K47" s="1"/>
    </row>
    <row r="48">
      <c r="A48" s="1"/>
      <c r="B48" s="26" t="s">
        <v>178</v>
      </c>
      <c r="C48" s="109" t="s">
        <v>89</v>
      </c>
      <c r="D48" s="109" t="s">
        <v>89</v>
      </c>
      <c r="E48" s="109" t="s">
        <v>89</v>
      </c>
      <c r="F48" s="109" t="s">
        <v>89</v>
      </c>
      <c r="G48" s="109" t="s">
        <v>89</v>
      </c>
      <c r="H48" s="109" t="s">
        <v>89</v>
      </c>
      <c r="I48" s="109" t="s">
        <v>89</v>
      </c>
      <c r="J48" s="108">
        <f>(1+J38)/((1+J45)*(1+J46))-1</f>
        <v>0.07000000000000006</v>
      </c>
      <c r="K48" s="1" t="s">
        <v>179</v>
      </c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>
      <c r="A50" s="1"/>
      <c r="B50" s="33" t="s">
        <v>189</v>
      </c>
      <c r="C50" s="55">
        <f>C11+C24+C37</f>
        <v>1718</v>
      </c>
      <c r="D50" s="55">
        <f>D11+D24+D37</f>
        <v>1728</v>
      </c>
      <c r="E50" s="55">
        <f>E11+E24+E37</f>
        <v>1893</v>
      </c>
      <c r="F50" s="55">
        <f>F11+F24+F37</f>
        <v>2215</v>
      </c>
      <c r="G50" s="55">
        <f>G11+G24+G37</f>
        <v>7554</v>
      </c>
      <c r="H50" s="55">
        <f>H11+H24+H37</f>
        <v>1716</v>
      </c>
      <c r="I50" s="55">
        <f>I11+I24+I37</f>
        <v>1846</v>
      </c>
      <c r="J50" s="53">
        <f>J11+J24+J37</f>
        <v>1989.0945499999998</v>
      </c>
      <c r="K50" s="1"/>
    </row>
    <row r="51">
      <c r="A51" s="1"/>
      <c r="B51" s="26" t="s">
        <v>190</v>
      </c>
      <c r="C51" s="21">
        <f>C52-C50</f>
        <v>0</v>
      </c>
      <c r="D51" s="21">
        <f>D52-D50</f>
        <v>0</v>
      </c>
      <c r="E51" s="21">
        <f>E52-E50</f>
        <v>0</v>
      </c>
      <c r="F51" s="21">
        <f>F52-F50</f>
        <v>0</v>
      </c>
      <c r="G51" s="21">
        <f>G52-G50</f>
        <v>0</v>
      </c>
      <c r="H51" s="21">
        <f>H52-H50</f>
        <v>0</v>
      </c>
      <c r="I51" s="21">
        <f>I52-I50</f>
        <v>1</v>
      </c>
      <c r="J51" s="60">
        <f>J52-J50</f>
        <v>0</v>
      </c>
      <c r="K51" s="1" t="s">
        <v>191</v>
      </c>
    </row>
    <row r="52">
      <c r="A52" s="1"/>
      <c r="B52" s="33" t="s">
        <v>262</v>
      </c>
      <c r="C52" s="12">
        <v>1718</v>
      </c>
      <c r="D52" s="12">
        <v>1728</v>
      </c>
      <c r="E52" s="12">
        <v>1893</v>
      </c>
      <c r="F52" s="12">
        <v>2215</v>
      </c>
      <c r="G52" s="55">
        <f>SUM(C52:F52)</f>
        <v>7554</v>
      </c>
      <c r="H52" s="12">
        <v>1716</v>
      </c>
      <c r="I52" s="12">
        <v>1847</v>
      </c>
      <c r="J52" s="53">
        <f>J50</f>
        <v>1989.0945499999998</v>
      </c>
      <c r="K52" s="1" t="s">
        <v>263</v>
      </c>
    </row>
    <row r="53">
      <c r="A53" s="1"/>
      <c r="B53" s="26" t="s">
        <v>75</v>
      </c>
      <c r="C53" s="103">
        <f>C52/C57-1</f>
        <v>0.018375815056312916</v>
      </c>
      <c r="D53" s="103">
        <f>D52/D57-1</f>
        <v>-0.030303030303030276</v>
      </c>
      <c r="E53" s="103">
        <f>E52/E57-1</f>
        <v>0.04701327433628322</v>
      </c>
      <c r="F53" s="103">
        <f>F52/F57-1</f>
        <v>0.013266239707227845</v>
      </c>
      <c r="G53" s="103">
        <f>G52/G57-1</f>
        <v>0.012193487873509268</v>
      </c>
      <c r="H53" s="103">
        <f>H52/H57-1</f>
        <v>-0.0011641443538998875</v>
      </c>
      <c r="I53" s="103">
        <f>I52/I57-1</f>
        <v>0.0688657407407407</v>
      </c>
      <c r="J53" s="108">
        <f>J52/J57-1</f>
        <v>0.050763100898045366</v>
      </c>
      <c r="K53" s="1"/>
    </row>
    <row r="54">
      <c r="A54" s="1"/>
      <c r="B54" s="26" t="s">
        <v>85</v>
      </c>
      <c r="C54" s="21">
        <f>C52-F57</f>
        <v>-468</v>
      </c>
      <c r="D54" s="21">
        <f>D52-C52</f>
        <v>10</v>
      </c>
      <c r="E54" s="21">
        <f>E52-D52</f>
        <v>165</v>
      </c>
      <c r="F54" s="21">
        <f>F52-E52</f>
        <v>322</v>
      </c>
      <c r="G54" s="1"/>
      <c r="H54" s="21">
        <f>H52-F52</f>
        <v>-499</v>
      </c>
      <c r="I54" s="21">
        <f>I52-H52</f>
        <v>131</v>
      </c>
      <c r="J54" s="60">
        <f>J52-I52</f>
        <v>142.0945499999998</v>
      </c>
      <c r="K54" s="1"/>
    </row>
    <row r="55">
      <c r="A55" s="1"/>
      <c r="B55" s="26" t="s">
        <v>76</v>
      </c>
      <c r="C55" s="103">
        <f>C52/F57-1</f>
        <v>-0.21408966148215924</v>
      </c>
      <c r="D55" s="103">
        <f>D52/C52-1</f>
        <v>0.005820721769499437</v>
      </c>
      <c r="E55" s="103">
        <f>E52/D52-1</f>
        <v>0.09548611111111116</v>
      </c>
      <c r="F55" s="103">
        <f>F52/E52-1</f>
        <v>0.17010036978341248</v>
      </c>
      <c r="G55" s="1"/>
      <c r="H55" s="103">
        <f>H52/F52-1</f>
        <v>-0.2252821670428894</v>
      </c>
      <c r="I55" s="103">
        <f>I52/H52-1</f>
        <v>0.07634032634032639</v>
      </c>
      <c r="J55" s="108">
        <f>J52/I52-1</f>
        <v>0.07693262046561977</v>
      </c>
      <c r="K55" s="1"/>
    </row>
    <row r="56">
      <c r="A56" s="1"/>
      <c r="B56" s="26" t="s">
        <v>194</v>
      </c>
      <c r="C56" s="106">
        <f>C52/'Revenue summary'!C48</f>
        <v>0.16576611346970282</v>
      </c>
      <c r="D56" s="106">
        <f>D52/'Revenue summary'!D48</f>
        <v>0.15918931368033165</v>
      </c>
      <c r="E56" s="106">
        <f>E52/'Revenue summary'!E48</f>
        <v>0.1702032008631541</v>
      </c>
      <c r="F56" s="106">
        <f>F52/'Revenue summary'!F48</f>
        <v>0.18133442488743348</v>
      </c>
      <c r="G56" s="106">
        <f>G52/'Revenue summary'!G48</f>
        <v>0.16953945596552653</v>
      </c>
      <c r="H56" s="106">
        <f>H52/'Revenue summary'!H48</f>
        <v>0.1559291231258519</v>
      </c>
      <c r="I56" s="106">
        <f>I52/'Revenue summary'!I48</f>
        <v>0.15399366349841587</v>
      </c>
      <c r="J56" s="113">
        <f>J52/'Revenue summary'!J48</f>
        <v>0.16623083397502972</v>
      </c>
      <c r="K56" s="1"/>
    </row>
    <row r="57">
      <c r="A57" s="1"/>
      <c r="B57" s="1" t="s">
        <v>195</v>
      </c>
      <c r="C57" s="23">
        <v>1687</v>
      </c>
      <c r="D57" s="23">
        <v>1782</v>
      </c>
      <c r="E57" s="23">
        <v>1808</v>
      </c>
      <c r="F57" s="23">
        <v>2186</v>
      </c>
      <c r="G57" s="23">
        <v>7463</v>
      </c>
      <c r="H57" s="3">
        <f>C52</f>
        <v>1718</v>
      </c>
      <c r="I57" s="3">
        <f>D52</f>
        <v>1728</v>
      </c>
      <c r="J57" s="8">
        <f>E52</f>
        <v>1893</v>
      </c>
      <c r="K57" s="1" t="s">
        <v>196</v>
      </c>
    </row>
    <row r="58">
      <c r="A58" s="1"/>
      <c r="B58" s="1" t="s">
        <v>197</v>
      </c>
      <c r="C58" s="40" t="b">
        <f>ABS(C51)&lt;=2</f>
        <v>1</v>
      </c>
      <c r="D58" s="40" t="b">
        <f>ABS(D51)&lt;=2</f>
        <v>1</v>
      </c>
      <c r="E58" s="40" t="b">
        <f>ABS(E51)&lt;=2</f>
        <v>1</v>
      </c>
      <c r="F58" s="40" t="b">
        <f>ABS(F51)&lt;=2</f>
        <v>1</v>
      </c>
      <c r="G58" s="40" t="b">
        <f>ABS(G51)&lt;=2</f>
        <v>1</v>
      </c>
      <c r="H58" s="40" t="b">
        <f>ABS(H51)&lt;=2</f>
        <v>1</v>
      </c>
      <c r="I58" s="40" t="b">
        <f>ABS(I51)&lt;=2</f>
        <v>1</v>
      </c>
      <c r="J58" s="76" t="b">
        <f>ABS(J51)&lt;=2</f>
        <v>1</v>
      </c>
      <c r="K58" s="1" t="s">
        <v>198</v>
      </c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>
      <c r="A60" s="1"/>
      <c r="B60" s="13" t="s">
        <v>199</v>
      </c>
      <c r="C60" s="1"/>
      <c r="D60" s="1"/>
      <c r="E60" s="1"/>
      <c r="F60" s="1"/>
      <c r="G60" s="1"/>
      <c r="H60" s="1"/>
      <c r="I60" s="1"/>
      <c r="J60" s="1"/>
      <c r="K60" s="1"/>
    </row>
    <row r="61">
      <c r="A61" s="1"/>
      <c r="B61" s="26" t="s">
        <v>200</v>
      </c>
      <c r="C61" s="58" t="s">
        <v>89</v>
      </c>
      <c r="D61" s="58" t="s">
        <v>89</v>
      </c>
      <c r="E61" s="58" t="s">
        <v>89</v>
      </c>
      <c r="F61" s="58" t="s">
        <v>89</v>
      </c>
      <c r="G61" s="58" t="s">
        <v>89</v>
      </c>
      <c r="H61" s="58" t="s">
        <v>89</v>
      </c>
      <c r="I61" s="58" t="s">
        <v>89</v>
      </c>
      <c r="J61" s="60">
        <f>J17+J30+J43</f>
        <v>106.09</v>
      </c>
      <c r="K61" s="1" t="s">
        <v>201</v>
      </c>
    </row>
    <row r="62">
      <c r="A62" s="1"/>
      <c r="B62" s="26" t="s">
        <v>202</v>
      </c>
      <c r="C62" s="58" t="s">
        <v>89</v>
      </c>
      <c r="D62" s="58" t="s">
        <v>89</v>
      </c>
      <c r="E62" s="58" t="s">
        <v>89</v>
      </c>
      <c r="F62" s="58" t="s">
        <v>89</v>
      </c>
      <c r="G62" s="58" t="s">
        <v>89</v>
      </c>
      <c r="H62" s="58" t="s">
        <v>89</v>
      </c>
      <c r="I62" s="58" t="s">
        <v>89</v>
      </c>
      <c r="J62" s="60">
        <f>J18+J31+J44</f>
        <v>0</v>
      </c>
      <c r="K62" s="1" t="s">
        <v>203</v>
      </c>
    </row>
    <row r="63">
      <c r="A63" s="1"/>
      <c r="B63" s="26" t="s">
        <v>204</v>
      </c>
      <c r="C63" s="58" t="s">
        <v>89</v>
      </c>
      <c r="D63" s="58" t="s">
        <v>89</v>
      </c>
      <c r="E63" s="58" t="s">
        <v>89</v>
      </c>
      <c r="F63" s="58" t="s">
        <v>89</v>
      </c>
      <c r="G63" s="58" t="s">
        <v>89</v>
      </c>
      <c r="H63" s="58" t="s">
        <v>89</v>
      </c>
      <c r="I63" s="58" t="s">
        <v>89</v>
      </c>
      <c r="J63" s="60">
        <f>J21+J34+J47</f>
        <v>-9.99545</v>
      </c>
      <c r="K63" s="1"/>
    </row>
    <row r="64">
      <c r="A64" s="1"/>
      <c r="B64" s="26" t="s">
        <v>119</v>
      </c>
      <c r="C64" s="109">
        <v>0.02</v>
      </c>
      <c r="D64" s="109">
        <v>-0.03</v>
      </c>
      <c r="E64" s="109">
        <v>0.05</v>
      </c>
      <c r="F64" s="109">
        <v>0.01</v>
      </c>
      <c r="G64" s="109">
        <v>0.01</v>
      </c>
      <c r="H64" s="109">
        <v>0</v>
      </c>
      <c r="I64" s="109">
        <v>0.07</v>
      </c>
      <c r="J64" s="108">
        <f>J53</f>
        <v>0.050763100898045366</v>
      </c>
      <c r="K64" s="1" t="s">
        <v>120</v>
      </c>
    </row>
    <row r="65">
      <c r="A65" s="1"/>
      <c r="B65" s="26" t="s">
        <v>121</v>
      </c>
      <c r="C65" s="109">
        <v>0</v>
      </c>
      <c r="D65" s="109">
        <v>0</v>
      </c>
      <c r="E65" s="109">
        <v>0</v>
      </c>
      <c r="F65" s="109" t="s">
        <v>89</v>
      </c>
      <c r="G65" s="109">
        <v>0</v>
      </c>
      <c r="H65" s="109">
        <v>0</v>
      </c>
      <c r="I65" s="109">
        <v>0</v>
      </c>
      <c r="J65" s="108">
        <f>J62/J57</f>
        <v>0</v>
      </c>
      <c r="K65" s="1" t="s">
        <v>205</v>
      </c>
    </row>
    <row r="66">
      <c r="A66" s="1"/>
      <c r="B66" s="26" t="s">
        <v>123</v>
      </c>
      <c r="C66" s="109">
        <v>-0.01</v>
      </c>
      <c r="D66" s="109">
        <v>0.01</v>
      </c>
      <c r="E66" s="109">
        <v>0.01</v>
      </c>
      <c r="F66" s="109" t="s">
        <v>89</v>
      </c>
      <c r="G66" s="109">
        <v>0.01</v>
      </c>
      <c r="H66" s="109">
        <v>0.02</v>
      </c>
      <c r="I66" s="109">
        <v>0</v>
      </c>
      <c r="J66" s="108">
        <f>J63/J57</f>
        <v>-0.005280216587427364</v>
      </c>
      <c r="K66" s="1" t="s">
        <v>124</v>
      </c>
    </row>
    <row r="67">
      <c r="A67" s="1"/>
      <c r="B67" s="26" t="s">
        <v>125</v>
      </c>
      <c r="C67" s="109">
        <v>0.03</v>
      </c>
      <c r="D67" s="109">
        <v>-0.04</v>
      </c>
      <c r="E67" s="109">
        <v>0.04</v>
      </c>
      <c r="F67" s="109">
        <v>0</v>
      </c>
      <c r="G67" s="109">
        <v>0</v>
      </c>
      <c r="H67" s="109">
        <v>-0.02</v>
      </c>
      <c r="I67" s="109">
        <v>0.07</v>
      </c>
      <c r="J67" s="108">
        <f>J68</f>
        <v>0.056340809160551286</v>
      </c>
      <c r="K67" s="1" t="s">
        <v>206</v>
      </c>
    </row>
    <row r="68">
      <c r="A68" s="1"/>
      <c r="B68" s="26" t="s">
        <v>127</v>
      </c>
      <c r="C68" s="103">
        <f>(1+C53)/((1+C65)*(1+C66))-1</f>
        <v>0.02866243945082103</v>
      </c>
      <c r="D68" s="103">
        <f>(1+D53)/((1+D65)*(1+D66))-1</f>
        <v>-0.03990399039903991</v>
      </c>
      <c r="E68" s="103">
        <f>(1+E53)/((1+E65)*(1+E66))-1</f>
        <v>0.03664680627354766</v>
      </c>
      <c r="F68" s="109" t="s">
        <v>89</v>
      </c>
      <c r="G68" s="103">
        <f>(1+G53)/((1+G65)*(1+G66))-1</f>
        <v>0.002171770171791376</v>
      </c>
      <c r="H68" s="103">
        <f>(1+H53)/((1+H65)*(1+H66))-1</f>
        <v>-0.02074916113127445</v>
      </c>
      <c r="I68" s="103">
        <f>(1+I53)/((1+I65)*(1+I66))-1</f>
        <v>0.0688657407407407</v>
      </c>
      <c r="J68" s="108">
        <f>(1+J53)/((1+J65)*(1+J66))-1</f>
        <v>0.056340809160551286</v>
      </c>
      <c r="K68" s="1" t="s">
        <v>207</v>
      </c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>
      <c r="A70" s="1"/>
      <c r="B70" s="13" t="s">
        <v>208</v>
      </c>
      <c r="C70" s="1"/>
      <c r="D70" s="1"/>
      <c r="E70" s="1"/>
      <c r="F70" s="1"/>
      <c r="G70" s="1"/>
      <c r="H70" s="1"/>
      <c r="I70" s="1"/>
      <c r="J70" s="1"/>
      <c r="K70" s="1"/>
    </row>
    <row r="71">
      <c r="A71" s="1"/>
      <c r="B71" s="33" t="s">
        <v>264</v>
      </c>
      <c r="C71" s="12">
        <v>399</v>
      </c>
      <c r="D71" s="12">
        <v>325</v>
      </c>
      <c r="E71" s="12">
        <v>429</v>
      </c>
      <c r="F71" s="12">
        <v>583</v>
      </c>
      <c r="G71" s="55">
        <f>SUM(C71:F71)</f>
        <v>1736</v>
      </c>
      <c r="H71" s="12">
        <v>355</v>
      </c>
      <c r="I71" s="12">
        <v>424</v>
      </c>
      <c r="J71" s="53">
        <f>J52*J80</f>
        <v>507.21911024999997</v>
      </c>
      <c r="K71" s="1" t="s">
        <v>265</v>
      </c>
    </row>
    <row r="72">
      <c r="A72" s="1"/>
      <c r="B72" s="26" t="s">
        <v>75</v>
      </c>
      <c r="C72" s="103">
        <f>C71/C74-1</f>
        <v>-0.0024999999999999467</v>
      </c>
      <c r="D72" s="103">
        <f>D71/D74-1</f>
        <v>-0.2596810933940774</v>
      </c>
      <c r="E72" s="103">
        <f>E71/E74-1</f>
        <v>-0.04878048780487809</v>
      </c>
      <c r="F72" s="103">
        <f>F71/F74-1</f>
        <v>-0.12462462462462465</v>
      </c>
      <c r="G72" s="103">
        <f>G71/G74-1</f>
        <v>-0.11202046035805624</v>
      </c>
      <c r="H72" s="103">
        <f>H71/H74-1</f>
        <v>-0.11027568922305764</v>
      </c>
      <c r="I72" s="103">
        <f>I71/I74-1</f>
        <v>0.3046153846153845</v>
      </c>
      <c r="J72" s="108">
        <f>J71/J74-1</f>
        <v>0.18232892832167824</v>
      </c>
      <c r="K72" s="1"/>
    </row>
    <row r="73">
      <c r="A73" s="1"/>
      <c r="B73" s="26" t="s">
        <v>85</v>
      </c>
      <c r="C73" s="21">
        <f>C71-F74</f>
        <v>-267</v>
      </c>
      <c r="D73" s="21">
        <f>D71-C71</f>
        <v>-74</v>
      </c>
      <c r="E73" s="21">
        <f>E71-D71</f>
        <v>104</v>
      </c>
      <c r="F73" s="21">
        <f>F71-E71</f>
        <v>154</v>
      </c>
      <c r="G73" s="1"/>
      <c r="H73" s="21">
        <f>H71-F71</f>
        <v>-228</v>
      </c>
      <c r="I73" s="21">
        <f>I71-H71</f>
        <v>69</v>
      </c>
      <c r="J73" s="60">
        <f>J71-I71</f>
        <v>83.21911024999997</v>
      </c>
      <c r="K73" s="1"/>
    </row>
    <row r="74">
      <c r="A74" s="1"/>
      <c r="B74" s="1" t="s">
        <v>211</v>
      </c>
      <c r="C74" s="23">
        <v>400</v>
      </c>
      <c r="D74" s="23">
        <v>439</v>
      </c>
      <c r="E74" s="23">
        <v>451</v>
      </c>
      <c r="F74" s="23">
        <v>666</v>
      </c>
      <c r="G74" s="23">
        <v>1955</v>
      </c>
      <c r="H74" s="3">
        <f>C71</f>
        <v>399</v>
      </c>
      <c r="I74" s="3">
        <f>D71</f>
        <v>325</v>
      </c>
      <c r="J74" s="8">
        <f>E71</f>
        <v>429</v>
      </c>
      <c r="K74" s="1" t="s">
        <v>212</v>
      </c>
    </row>
    <row r="75">
      <c r="A75" s="1"/>
      <c r="B75" s="26" t="s">
        <v>213</v>
      </c>
      <c r="C75" s="103">
        <f>C71/C52</f>
        <v>0.23224679860302677</v>
      </c>
      <c r="D75" s="103">
        <f>D71/D52</f>
        <v>0.1880787037037037</v>
      </c>
      <c r="E75" s="103">
        <f>E71/E52</f>
        <v>0.2266244057052298</v>
      </c>
      <c r="F75" s="103">
        <f>F71/F52</f>
        <v>0.2632054176072235</v>
      </c>
      <c r="G75" s="103">
        <f>G71/G52</f>
        <v>0.22981202012178978</v>
      </c>
      <c r="H75" s="103">
        <f>H71/H52</f>
        <v>0.20687645687645687</v>
      </c>
      <c r="I75" s="103">
        <f>I71/I52</f>
        <v>0.22956145100162426</v>
      </c>
      <c r="J75" s="108">
        <f>J71/J52</f>
        <v>0.255</v>
      </c>
      <c r="K75" s="1"/>
    </row>
    <row r="76">
      <c r="A76" s="1"/>
      <c r="B76" s="26" t="s">
        <v>214</v>
      </c>
      <c r="C76" s="70">
        <f>(C75-C74/C57)*10000</f>
        <v>-48.604924461729816</v>
      </c>
      <c r="D76" s="70">
        <f>(D75-D74/D57)*10000</f>
        <v>-582.7370931537598</v>
      </c>
      <c r="E76" s="70">
        <f>(E75-E74/E57)*10000</f>
        <v>-228.22496949637477</v>
      </c>
      <c r="F76" s="70">
        <f>(F75-F74/F57)*10000</f>
        <v>-414.6063911738768</v>
      </c>
      <c r="G76" s="70">
        <f>(G75-G74/G57)*10000</f>
        <v>-321.4697760030591</v>
      </c>
      <c r="H76" s="70">
        <f>(H75-H74/H57)*10000</f>
        <v>-253.70341726569907</v>
      </c>
      <c r="I76" s="70">
        <f>(I75-I74/I57)*10000</f>
        <v>414.82747297920565</v>
      </c>
      <c r="J76" s="69">
        <f>(J75-J74/J57)*10000</f>
        <v>283.7559429477021</v>
      </c>
      <c r="K76" s="1"/>
    </row>
    <row r="77">
      <c r="A77" s="1"/>
      <c r="B77" s="26" t="s">
        <v>215</v>
      </c>
      <c r="C77" s="70">
        <f>(C75-F74/F57)*10000</f>
        <v>-724.1925812158439</v>
      </c>
      <c r="D77" s="70">
        <f>(D75-C75)*10000</f>
        <v>-441.6809489932308</v>
      </c>
      <c r="E77" s="70">
        <f>(E75-D75)*10000</f>
        <v>385.457020015261</v>
      </c>
      <c r="F77" s="70">
        <f>(F75-E75)*10000</f>
        <v>365.81011901993696</v>
      </c>
      <c r="G77" s="1"/>
      <c r="H77" s="70">
        <f>(H75-F75)*10000</f>
        <v>-563.2896073076663</v>
      </c>
      <c r="I77" s="70">
        <f>(I75-H75)*10000</f>
        <v>226.8499412516739</v>
      </c>
      <c r="J77" s="69">
        <f>(J75-I75)*10000</f>
        <v>254.38548998375748</v>
      </c>
      <c r="K77" s="1"/>
    </row>
    <row r="78">
      <c r="A78" s="1"/>
      <c r="B78" s="26" t="s">
        <v>216</v>
      </c>
      <c r="C78" s="103">
        <f>C74/C57</f>
        <v>0.23710729104919975</v>
      </c>
      <c r="D78" s="103">
        <f>D74/D57</f>
        <v>0.24635241301907967</v>
      </c>
      <c r="E78" s="103">
        <f>E74/E57</f>
        <v>0.24944690265486727</v>
      </c>
      <c r="F78" s="103">
        <f>F74/F57</f>
        <v>0.30466605672461117</v>
      </c>
      <c r="G78" s="103">
        <f>G74/G57</f>
        <v>0.2619589977220957</v>
      </c>
      <c r="H78" s="103">
        <f>H74/H57</f>
        <v>0.23224679860302677</v>
      </c>
      <c r="I78" s="103">
        <f>I74/I57</f>
        <v>0.1880787037037037</v>
      </c>
      <c r="J78" s="108">
        <f>J74/J57</f>
        <v>0.2266244057052298</v>
      </c>
      <c r="K78" s="1" t="s">
        <v>217</v>
      </c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>
      <c r="A80" s="1"/>
      <c r="B80" s="26" t="s">
        <v>218</v>
      </c>
      <c r="C80" s="1"/>
      <c r="D80" s="1"/>
      <c r="E80" s="1"/>
      <c r="F80" s="1"/>
      <c r="G80" s="1"/>
      <c r="H80" s="1"/>
      <c r="I80" s="1"/>
      <c r="J80" s="112">
        <v>0.255</v>
      </c>
      <c r="K80" s="1" t="s">
        <v>266</v>
      </c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66">
      <c r="A82" s="1"/>
      <c r="B82" s="13" t="s">
        <v>220</v>
      </c>
      <c r="C82" s="1"/>
      <c r="D82" s="1"/>
      <c r="E82" s="1"/>
      <c r="F82" s="1"/>
      <c r="G82" s="1"/>
      <c r="H82" s="1"/>
      <c r="I82" s="1"/>
      <c r="J82" s="1"/>
      <c r="K82" s="118" t="s">
        <v>221</v>
      </c>
    </row>
    <row r="83">
      <c r="A83" s="1"/>
      <c r="B83" s="1" t="s">
        <v>222</v>
      </c>
      <c r="C83" s="23">
        <v>1677</v>
      </c>
      <c r="D83" s="23">
        <v>1669</v>
      </c>
      <c r="E83" s="23">
        <v>1847</v>
      </c>
      <c r="F83" s="3">
        <f>G83-C83-D83-E83</f>
        <v>2160</v>
      </c>
      <c r="G83" s="23">
        <v>7353</v>
      </c>
      <c r="H83" s="23">
        <v>1667</v>
      </c>
      <c r="I83" s="23">
        <v>1799</v>
      </c>
      <c r="J83" s="8">
        <f>J52-J86</f>
        <v>1941.9459903578527</v>
      </c>
      <c r="K83" s="1" t="s">
        <v>223</v>
      </c>
    </row>
    <row r="84">
      <c r="A84" s="1"/>
      <c r="B84" s="26" t="s">
        <v>85</v>
      </c>
      <c r="C84" s="58" t="s">
        <v>34</v>
      </c>
      <c r="D84" s="21">
        <f>D83-C83</f>
        <v>-8</v>
      </c>
      <c r="E84" s="21">
        <f>E83-D83</f>
        <v>178</v>
      </c>
      <c r="F84" s="21">
        <f>F83-E83</f>
        <v>313</v>
      </c>
      <c r="G84" s="1"/>
      <c r="H84" s="21">
        <f>H83-F83</f>
        <v>-493</v>
      </c>
      <c r="I84" s="21">
        <f>I83-H83</f>
        <v>132</v>
      </c>
      <c r="J84" s="60">
        <f>J83-I83</f>
        <v>142.94599035785268</v>
      </c>
      <c r="K84" s="1"/>
    </row>
    <row r="85">
      <c r="A85" s="1"/>
      <c r="B85" s="26" t="s">
        <v>75</v>
      </c>
      <c r="C85" s="109" t="s">
        <v>34</v>
      </c>
      <c r="D85" s="109" t="s">
        <v>34</v>
      </c>
      <c r="E85" s="109" t="s">
        <v>34</v>
      </c>
      <c r="F85" s="109" t="s">
        <v>34</v>
      </c>
      <c r="G85" s="109" t="s">
        <v>34</v>
      </c>
      <c r="H85" s="103">
        <f>H83/C83-1</f>
        <v>-0.005963029218843174</v>
      </c>
      <c r="I85" s="103">
        <f>I83/D83-1</f>
        <v>0.07789095266626722</v>
      </c>
      <c r="J85" s="108">
        <f>J83/E83-1</f>
        <v>0.05140551724843134</v>
      </c>
      <c r="K85" s="1"/>
    </row>
    <row r="86">
      <c r="A86" s="1"/>
      <c r="B86" s="1" t="s">
        <v>224</v>
      </c>
      <c r="C86" s="23">
        <v>41</v>
      </c>
      <c r="D86" s="23">
        <v>58</v>
      </c>
      <c r="E86" s="23">
        <v>46</v>
      </c>
      <c r="F86" s="3">
        <f>G86-C86-D86-E86</f>
        <v>56</v>
      </c>
      <c r="G86" s="23">
        <v>201</v>
      </c>
      <c r="H86" s="23">
        <v>49</v>
      </c>
      <c r="I86" s="23">
        <v>47</v>
      </c>
      <c r="J86" s="50">
        <f>E86*'Revenue summary'!J28/'Revenue summary'!E28</f>
        <v>47.14855964214712</v>
      </c>
      <c r="K86" s="1" t="s">
        <v>225</v>
      </c>
    </row>
    <row r="87">
      <c r="A87" s="1"/>
      <c r="B87" s="26" t="s">
        <v>85</v>
      </c>
      <c r="C87" s="58" t="s">
        <v>34</v>
      </c>
      <c r="D87" s="21">
        <f>D86-C86</f>
        <v>17</v>
      </c>
      <c r="E87" s="21">
        <f>E86-D86</f>
        <v>-12</v>
      </c>
      <c r="F87" s="21">
        <f>F86-E86</f>
        <v>10</v>
      </c>
      <c r="G87" s="1"/>
      <c r="H87" s="21">
        <f>H86-F86</f>
        <v>-7</v>
      </c>
      <c r="I87" s="21">
        <f>I86-H86</f>
        <v>-2</v>
      </c>
      <c r="J87" s="60">
        <f>J86-I86</f>
        <v>0.14855964214712003</v>
      </c>
      <c r="K87" s="1"/>
    </row>
    <row r="88">
      <c r="A88" s="1"/>
      <c r="B88" s="26" t="s">
        <v>75</v>
      </c>
      <c r="C88" s="109" t="s">
        <v>34</v>
      </c>
      <c r="D88" s="109" t="s">
        <v>34</v>
      </c>
      <c r="E88" s="109" t="s">
        <v>34</v>
      </c>
      <c r="F88" s="109" t="s">
        <v>34</v>
      </c>
      <c r="G88" s="109" t="s">
        <v>34</v>
      </c>
      <c r="H88" s="103">
        <f>H86/C86-1</f>
        <v>0.19512195121951215</v>
      </c>
      <c r="I88" s="103">
        <f>I86/D86-1</f>
        <v>-0.18965517241379315</v>
      </c>
      <c r="J88" s="108">
        <f>J86/E86-1</f>
        <v>0.024968687872763518</v>
      </c>
      <c r="K88" s="1"/>
    </row>
    <row r="89">
      <c r="A89" s="1"/>
      <c r="B89" s="26" t="s">
        <v>226</v>
      </c>
      <c r="C89" s="103">
        <f>C86/C52</f>
        <v>0.023864959254947613</v>
      </c>
      <c r="D89" s="103">
        <f>D86/D52</f>
        <v>0.03356481481481482</v>
      </c>
      <c r="E89" s="103">
        <f>E86/E52</f>
        <v>0.024300052826201797</v>
      </c>
      <c r="F89" s="103">
        <f>F86/F52</f>
        <v>0.02528216704288939</v>
      </c>
      <c r="G89" s="103">
        <f>G86/G52</f>
        <v>0.02660841938046068</v>
      </c>
      <c r="H89" s="103">
        <f>H86/H52</f>
        <v>0.028554778554778556</v>
      </c>
      <c r="I89" s="103">
        <f>I86/I52</f>
        <v>0.025446670276123445</v>
      </c>
      <c r="J89" s="108">
        <f>J86/J52</f>
        <v>0.023703528644300555</v>
      </c>
      <c r="K89" s="1"/>
    </row>
    <row r="90">
      <c r="A90" s="1"/>
      <c r="B90" s="26" t="s">
        <v>214</v>
      </c>
      <c r="C90" s="65" t="s">
        <v>34</v>
      </c>
      <c r="D90" s="65" t="s">
        <v>34</v>
      </c>
      <c r="E90" s="65" t="s">
        <v>34</v>
      </c>
      <c r="F90" s="65" t="s">
        <v>34</v>
      </c>
      <c r="G90" s="65" t="s">
        <v>34</v>
      </c>
      <c r="H90" s="70">
        <f>(H89-C89)*10000</f>
        <v>46.898192998309426</v>
      </c>
      <c r="I90" s="70">
        <f>(I89-D89)*10000</f>
        <v>-81.18144538691374</v>
      </c>
      <c r="J90" s="69">
        <f>(J89-E89)*10000</f>
        <v>-5.965241819012417</v>
      </c>
      <c r="K90" s="1"/>
    </row>
    <row r="91">
      <c r="A91" s="1"/>
      <c r="B91" s="26" t="s">
        <v>215</v>
      </c>
      <c r="C91" s="65" t="s">
        <v>34</v>
      </c>
      <c r="D91" s="70">
        <f>(D89-C89)*10000</f>
        <v>96.99855559867206</v>
      </c>
      <c r="E91" s="70">
        <f>(E89-D89)*10000</f>
        <v>-92.64761988613022</v>
      </c>
      <c r="F91" s="70">
        <f>(F89-E89)*10000</f>
        <v>9.821142166875942</v>
      </c>
      <c r="G91" s="1"/>
      <c r="H91" s="70">
        <f>(H89-F89)*10000</f>
        <v>32.72611511889165</v>
      </c>
      <c r="I91" s="70">
        <f>(I89-H89)*10000</f>
        <v>-31.08108278655111</v>
      </c>
      <c r="J91" s="69">
        <f>(J89-I89)*10000</f>
        <v>-17.431416318228894</v>
      </c>
      <c r="K91" s="1"/>
    </row>
    <row r="92">
      <c r="A92" s="1"/>
      <c r="B92" s="33" t="s">
        <v>227</v>
      </c>
      <c r="C92" s="55">
        <f>C83+C86</f>
        <v>1718</v>
      </c>
      <c r="D92" s="55">
        <f>D83+D86</f>
        <v>1727</v>
      </c>
      <c r="E92" s="55">
        <f>E83+E86</f>
        <v>1893</v>
      </c>
      <c r="F92" s="55">
        <f>F83+F86</f>
        <v>2216</v>
      </c>
      <c r="G92" s="55">
        <f>G83+G86</f>
        <v>7554</v>
      </c>
      <c r="H92" s="55">
        <f>H83+H86</f>
        <v>1716</v>
      </c>
      <c r="I92" s="55">
        <f>I83+I86</f>
        <v>1846</v>
      </c>
      <c r="J92" s="53">
        <f>J83+J86</f>
        <v>1989.0945499999998</v>
      </c>
      <c r="K92" s="1" t="s">
        <v>228</v>
      </c>
    </row>
    <row r="93">
      <c r="A93" s="1"/>
      <c r="B93" s="1" t="s">
        <v>229</v>
      </c>
      <c r="C93" s="40" t="b">
        <f>ABS(C92-C52)&lt;=2</f>
        <v>1</v>
      </c>
      <c r="D93" s="40" t="b">
        <f>ABS(D92-D52)&lt;=2</f>
        <v>1</v>
      </c>
      <c r="E93" s="40" t="b">
        <f>ABS(E92-E52)&lt;=2</f>
        <v>1</v>
      </c>
      <c r="F93" s="40" t="b">
        <f>ABS(F92-F52)&lt;=2</f>
        <v>1</v>
      </c>
      <c r="G93" s="40" t="b">
        <f>ABS(G92-G52)&lt;=2</f>
        <v>1</v>
      </c>
      <c r="H93" s="40" t="b">
        <f>ABS(H92-H52)&lt;=2</f>
        <v>1</v>
      </c>
      <c r="I93" s="40" t="b">
        <f>ABS(I92-I52)&lt;=2</f>
        <v>1</v>
      </c>
      <c r="J93" s="76" t="b">
        <f>ABS(J92-J52)&lt;=2</f>
        <v>1</v>
      </c>
      <c r="K93" s="1" t="s">
        <v>230</v>
      </c>
    </row>
    <row r="94">
      <c r="A94" s="1"/>
      <c r="B94" s="1" t="s">
        <v>231</v>
      </c>
      <c r="C94" s="23">
        <v>835</v>
      </c>
      <c r="D94" s="23">
        <v>902</v>
      </c>
      <c r="E94" s="23">
        <v>975</v>
      </c>
      <c r="F94" s="3">
        <f>G94-C94-D94-E94</f>
        <v>1138</v>
      </c>
      <c r="G94" s="23">
        <v>3850</v>
      </c>
      <c r="H94" s="23">
        <v>876</v>
      </c>
      <c r="I94" s="23">
        <v>925</v>
      </c>
      <c r="J94" s="8">
        <f>J92*J121</f>
        <v>984.6018022499999</v>
      </c>
      <c r="K94" s="1"/>
    </row>
    <row r="95">
      <c r="A95" s="1"/>
      <c r="B95" s="26" t="s">
        <v>85</v>
      </c>
      <c r="C95" s="58" t="s">
        <v>34</v>
      </c>
      <c r="D95" s="21">
        <f>D94-C94</f>
        <v>67</v>
      </c>
      <c r="E95" s="21">
        <f>E94-D94</f>
        <v>73</v>
      </c>
      <c r="F95" s="21">
        <f>F94-E94</f>
        <v>163</v>
      </c>
      <c r="G95" s="1"/>
      <c r="H95" s="21">
        <f>H94-F94</f>
        <v>-262</v>
      </c>
      <c r="I95" s="21">
        <f>I94-H94</f>
        <v>49</v>
      </c>
      <c r="J95" s="60">
        <f>J94-I94</f>
        <v>59.60180224999988</v>
      </c>
      <c r="K95" s="1"/>
    </row>
    <row r="96">
      <c r="A96" s="1"/>
      <c r="B96" s="26" t="s">
        <v>75</v>
      </c>
      <c r="C96" s="109" t="s">
        <v>34</v>
      </c>
      <c r="D96" s="109" t="s">
        <v>34</v>
      </c>
      <c r="E96" s="109" t="s">
        <v>34</v>
      </c>
      <c r="F96" s="109" t="s">
        <v>34</v>
      </c>
      <c r="G96" s="109" t="s">
        <v>34</v>
      </c>
      <c r="H96" s="103">
        <f>H94/C94-1</f>
        <v>0.049101796407185594</v>
      </c>
      <c r="I96" s="103">
        <f>I94/D94-1</f>
        <v>0.02549889135254979</v>
      </c>
      <c r="J96" s="108">
        <f>J94/E94-1</f>
        <v>0.009848002307692116</v>
      </c>
      <c r="K96" s="1"/>
    </row>
    <row r="97">
      <c r="A97" s="1"/>
      <c r="B97" s="26" t="s">
        <v>226</v>
      </c>
      <c r="C97" s="103">
        <f>C94/C92</f>
        <v>0.4860302677532014</v>
      </c>
      <c r="D97" s="103">
        <f>D94/D92</f>
        <v>0.5222929936305732</v>
      </c>
      <c r="E97" s="103">
        <f>E94/E92</f>
        <v>0.5150554675118859</v>
      </c>
      <c r="F97" s="103">
        <f>F94/F92</f>
        <v>0.5135379061371841</v>
      </c>
      <c r="G97" s="103">
        <f>G94/G92</f>
        <v>0.5096637543023563</v>
      </c>
      <c r="H97" s="103">
        <f>H94/H92</f>
        <v>0.5104895104895105</v>
      </c>
      <c r="I97" s="103">
        <f>I94/I92</f>
        <v>0.5010834236186349</v>
      </c>
      <c r="J97" s="108">
        <f>J94/J92</f>
        <v>0.495</v>
      </c>
      <c r="K97" s="1"/>
    </row>
    <row r="98">
      <c r="A98" s="1"/>
      <c r="B98" s="26" t="s">
        <v>214</v>
      </c>
      <c r="C98" s="65" t="s">
        <v>34</v>
      </c>
      <c r="D98" s="65" t="s">
        <v>34</v>
      </c>
      <c r="E98" s="65" t="s">
        <v>34</v>
      </c>
      <c r="F98" s="65" t="s">
        <v>34</v>
      </c>
      <c r="G98" s="65" t="s">
        <v>34</v>
      </c>
      <c r="H98" s="70">
        <f>(H97-C97)*10000</f>
        <v>244.59242736309116</v>
      </c>
      <c r="I98" s="70">
        <f>(I97-D97)*10000</f>
        <v>-212.0957001193835</v>
      </c>
      <c r="J98" s="69">
        <f>(J97-E97)*10000</f>
        <v>-200.55467511885917</v>
      </c>
      <c r="K98" s="1"/>
    </row>
    <row r="99">
      <c r="A99" s="1"/>
      <c r="B99" s="26" t="s">
        <v>215</v>
      </c>
      <c r="C99" s="65" t="s">
        <v>34</v>
      </c>
      <c r="D99" s="70">
        <f>(D97-C97)*10000</f>
        <v>362.6272587737184</v>
      </c>
      <c r="E99" s="70">
        <f>(E97-D97)*10000</f>
        <v>-72.37526118687332</v>
      </c>
      <c r="F99" s="70">
        <f>(F97-E97)*10000</f>
        <v>-15.175613747018257</v>
      </c>
      <c r="G99" s="1"/>
      <c r="H99" s="70">
        <f>(H97-F97)*10000</f>
        <v>-30.483956476735628</v>
      </c>
      <c r="I99" s="70">
        <f>(I97-H97)*10000</f>
        <v>-94.06086870875629</v>
      </c>
      <c r="J99" s="69">
        <f>(J97-I97)*10000</f>
        <v>-60.834236186348974</v>
      </c>
      <c r="K99" s="1"/>
    </row>
    <row r="100">
      <c r="A100" s="1"/>
      <c r="B100" s="1" t="s">
        <v>232</v>
      </c>
      <c r="C100" s="23">
        <v>313</v>
      </c>
      <c r="D100" s="23">
        <v>317</v>
      </c>
      <c r="E100" s="23">
        <v>307</v>
      </c>
      <c r="F100" s="3">
        <f>G100-C100-D100-E100</f>
        <v>307</v>
      </c>
      <c r="G100" s="23">
        <v>1244</v>
      </c>
      <c r="H100" s="23">
        <v>313</v>
      </c>
      <c r="I100" s="23">
        <v>315</v>
      </c>
      <c r="J100" s="8">
        <f>J92*J122</f>
        <v>328.20060075</v>
      </c>
      <c r="K100" s="1" t="s">
        <v>233</v>
      </c>
    </row>
    <row r="101">
      <c r="A101" s="1"/>
      <c r="B101" s="26" t="s">
        <v>85</v>
      </c>
      <c r="C101" s="58" t="s">
        <v>34</v>
      </c>
      <c r="D101" s="21">
        <f>D100-C100</f>
        <v>4</v>
      </c>
      <c r="E101" s="21">
        <f>E100-D100</f>
        <v>-10</v>
      </c>
      <c r="F101" s="21">
        <f>F100-E100</f>
        <v>0</v>
      </c>
      <c r="G101" s="1"/>
      <c r="H101" s="21">
        <f>H100-F100</f>
        <v>6</v>
      </c>
      <c r="I101" s="21">
        <f>I100-H100</f>
        <v>2</v>
      </c>
      <c r="J101" s="60">
        <f>J100-I100</f>
        <v>13.200600749999978</v>
      </c>
      <c r="K101" s="1"/>
    </row>
    <row r="102">
      <c r="A102" s="1"/>
      <c r="B102" s="26" t="s">
        <v>75</v>
      </c>
      <c r="C102" s="109" t="s">
        <v>34</v>
      </c>
      <c r="D102" s="109" t="s">
        <v>34</v>
      </c>
      <c r="E102" s="109" t="s">
        <v>34</v>
      </c>
      <c r="F102" s="109" t="s">
        <v>34</v>
      </c>
      <c r="G102" s="109" t="s">
        <v>34</v>
      </c>
      <c r="H102" s="103">
        <f>H100/C100-1</f>
        <v>0</v>
      </c>
      <c r="I102" s="103">
        <f>I100/D100-1</f>
        <v>-0.006309148264984188</v>
      </c>
      <c r="J102" s="108">
        <f>J100/E100-1</f>
        <v>0.06905733143322479</v>
      </c>
      <c r="K102" s="1"/>
    </row>
    <row r="103">
      <c r="A103" s="1"/>
      <c r="B103" s="26" t="s">
        <v>226</v>
      </c>
      <c r="C103" s="103">
        <f>C100/C92</f>
        <v>0.18218859138533178</v>
      </c>
      <c r="D103" s="103">
        <f>D100/D92</f>
        <v>0.18355529820497973</v>
      </c>
      <c r="E103" s="103">
        <f>E100/E92</f>
        <v>0.16217643951399893</v>
      </c>
      <c r="F103" s="103">
        <f>F100/F92</f>
        <v>0.1385379061371841</v>
      </c>
      <c r="G103" s="103">
        <f>G100/G92</f>
        <v>0.1646809637278263</v>
      </c>
      <c r="H103" s="103">
        <f>H100/H92</f>
        <v>0.18240093240093241</v>
      </c>
      <c r="I103" s="103">
        <f>I100/I92</f>
        <v>0.1706392199349946</v>
      </c>
      <c r="J103" s="108">
        <f>J100/J92</f>
        <v>0.165</v>
      </c>
      <c r="K103" s="1"/>
    </row>
    <row r="104">
      <c r="A104" s="1"/>
      <c r="B104" s="26" t="s">
        <v>214</v>
      </c>
      <c r="C104" s="65" t="s">
        <v>34</v>
      </c>
      <c r="D104" s="65" t="s">
        <v>34</v>
      </c>
      <c r="E104" s="65" t="s">
        <v>34</v>
      </c>
      <c r="F104" s="65" t="s">
        <v>34</v>
      </c>
      <c r="G104" s="65" t="s">
        <v>34</v>
      </c>
      <c r="H104" s="70">
        <f>(H103-C103)*10000</f>
        <v>2.1234101560063667</v>
      </c>
      <c r="I104" s="70">
        <f>(I103-D103)*10000</f>
        <v>-129.16078269985144</v>
      </c>
      <c r="J104" s="69">
        <f>(J103-E103)*10000</f>
        <v>28.235604860010753</v>
      </c>
      <c r="K104" s="1"/>
    </row>
    <row r="105">
      <c r="A105" s="1"/>
      <c r="B105" s="26" t="s">
        <v>215</v>
      </c>
      <c r="C105" s="65" t="s">
        <v>34</v>
      </c>
      <c r="D105" s="70">
        <f>(D103-C103)*10000</f>
        <v>13.667068196479558</v>
      </c>
      <c r="E105" s="70">
        <f>(E103-D103)*10000</f>
        <v>-213.788586909808</v>
      </c>
      <c r="F105" s="70">
        <f>(F103-E103)*10000</f>
        <v>-236.3853337681482</v>
      </c>
      <c r="G105" s="1"/>
      <c r="H105" s="70">
        <f>(H103-F103)*10000</f>
        <v>438.630262637483</v>
      </c>
      <c r="I105" s="70">
        <f>(I103-H103)*10000</f>
        <v>-117.61712465937823</v>
      </c>
      <c r="J105" s="69">
        <f>(J103-I103)*10000</f>
        <v>-56.39219934994583</v>
      </c>
      <c r="K105" s="1"/>
    </row>
    <row r="106">
      <c r="A106" s="1"/>
      <c r="B106" s="1" t="s">
        <v>234</v>
      </c>
      <c r="C106" s="23">
        <v>137</v>
      </c>
      <c r="D106" s="23">
        <v>145</v>
      </c>
      <c r="E106" s="23">
        <v>144</v>
      </c>
      <c r="F106" s="3">
        <f>G106-C106-D106-E106</f>
        <v>147</v>
      </c>
      <c r="G106" s="23">
        <v>573</v>
      </c>
      <c r="H106" s="23">
        <v>139</v>
      </c>
      <c r="I106" s="23">
        <v>140</v>
      </c>
      <c r="J106" s="8">
        <f>J123</f>
        <v>142</v>
      </c>
      <c r="K106" s="1"/>
    </row>
    <row r="107">
      <c r="A107" s="1"/>
      <c r="B107" s="26" t="s">
        <v>85</v>
      </c>
      <c r="C107" s="58" t="s">
        <v>34</v>
      </c>
      <c r="D107" s="21">
        <f>D106-C106</f>
        <v>8</v>
      </c>
      <c r="E107" s="21">
        <f>E106-D106</f>
        <v>-1</v>
      </c>
      <c r="F107" s="21">
        <f>F106-E106</f>
        <v>3</v>
      </c>
      <c r="G107" s="1"/>
      <c r="H107" s="21">
        <f>H106-F106</f>
        <v>-8</v>
      </c>
      <c r="I107" s="21">
        <f>I106-H106</f>
        <v>1</v>
      </c>
      <c r="J107" s="60">
        <f>J106-I106</f>
        <v>2</v>
      </c>
      <c r="K107" s="1"/>
    </row>
    <row r="108">
      <c r="A108" s="1"/>
      <c r="B108" s="26" t="s">
        <v>75</v>
      </c>
      <c r="C108" s="109" t="s">
        <v>34</v>
      </c>
      <c r="D108" s="109" t="s">
        <v>34</v>
      </c>
      <c r="E108" s="109" t="s">
        <v>34</v>
      </c>
      <c r="F108" s="109" t="s">
        <v>34</v>
      </c>
      <c r="G108" s="109" t="s">
        <v>34</v>
      </c>
      <c r="H108" s="103">
        <f>H106/C106-1</f>
        <v>0.014598540145985384</v>
      </c>
      <c r="I108" s="103">
        <f>I106/D106-1</f>
        <v>-0.03448275862068961</v>
      </c>
      <c r="J108" s="108">
        <f>J106/E106-1</f>
        <v>-0.01388888888888884</v>
      </c>
      <c r="K108" s="1"/>
    </row>
    <row r="109">
      <c r="A109" s="1"/>
      <c r="B109" s="26" t="s">
        <v>226</v>
      </c>
      <c r="C109" s="103">
        <f>C106/C92</f>
        <v>0.07974388824214203</v>
      </c>
      <c r="D109" s="103">
        <f>D106/D92</f>
        <v>0.08396062536189924</v>
      </c>
      <c r="E109" s="103">
        <f>E106/E92</f>
        <v>0.07606973058637084</v>
      </c>
      <c r="F109" s="103">
        <f>F106/F92</f>
        <v>0.06633574007220217</v>
      </c>
      <c r="G109" s="103">
        <f>G106/G92</f>
        <v>0.07585385226370135</v>
      </c>
      <c r="H109" s="103">
        <f>H106/H92</f>
        <v>0.08100233100233101</v>
      </c>
      <c r="I109" s="103">
        <f>I106/I92</f>
        <v>0.07583965330444203</v>
      </c>
      <c r="J109" s="108">
        <f>J106/J92</f>
        <v>0.07138926603564422</v>
      </c>
      <c r="K109" s="1"/>
    </row>
    <row r="110">
      <c r="A110" s="1"/>
      <c r="B110" s="26" t="s">
        <v>214</v>
      </c>
      <c r="C110" s="65" t="s">
        <v>34</v>
      </c>
      <c r="D110" s="65" t="s">
        <v>34</v>
      </c>
      <c r="E110" s="65" t="s">
        <v>34</v>
      </c>
      <c r="F110" s="65" t="s">
        <v>34</v>
      </c>
      <c r="G110" s="65" t="s">
        <v>34</v>
      </c>
      <c r="H110" s="70">
        <f>(H109-C109)*10000</f>
        <v>12.584427601889796</v>
      </c>
      <c r="I110" s="70">
        <f>(I109-D109)*10000</f>
        <v>-81.2097205745721</v>
      </c>
      <c r="J110" s="69">
        <f>(J109-E109)*10000</f>
        <v>-46.804645507266265</v>
      </c>
      <c r="K110" s="1"/>
    </row>
    <row r="111">
      <c r="A111" s="1"/>
      <c r="B111" s="26" t="s">
        <v>215</v>
      </c>
      <c r="C111" s="65" t="s">
        <v>34</v>
      </c>
      <c r="D111" s="70">
        <f>(D109-C109)*10000</f>
        <v>42.16737119757216</v>
      </c>
      <c r="E111" s="70">
        <f>(E109-D109)*10000</f>
        <v>-78.908947755284</v>
      </c>
      <c r="F111" s="70">
        <f>(F109-E109)*10000</f>
        <v>-97.33990514168678</v>
      </c>
      <c r="G111" s="1"/>
      <c r="H111" s="70">
        <f>(H109-F109)*10000</f>
        <v>146.66590930128842</v>
      </c>
      <c r="I111" s="70">
        <f>(I109-H109)*10000</f>
        <v>-51.62677697888973</v>
      </c>
      <c r="J111" s="69">
        <f>(J109-I109)*10000</f>
        <v>-44.50387268797817</v>
      </c>
      <c r="K111" s="1"/>
    </row>
    <row r="112">
      <c r="A112" s="1"/>
      <c r="B112" s="1" t="s">
        <v>235</v>
      </c>
      <c r="C112" s="23">
        <v>33</v>
      </c>
      <c r="D112" s="23">
        <v>39</v>
      </c>
      <c r="E112" s="23">
        <v>39</v>
      </c>
      <c r="F112" s="3">
        <f>G112-C112-D112-E112</f>
        <v>40</v>
      </c>
      <c r="G112" s="23">
        <v>151</v>
      </c>
      <c r="H112" s="23">
        <v>34</v>
      </c>
      <c r="I112" s="23">
        <v>43</v>
      </c>
      <c r="J112" s="8">
        <f>J92-J94-J100-J106-J71</f>
        <v>27.073036749999915</v>
      </c>
      <c r="K112" s="1" t="s">
        <v>267</v>
      </c>
    </row>
    <row r="113">
      <c r="A113" s="1"/>
      <c r="B113" s="26" t="s">
        <v>85</v>
      </c>
      <c r="C113" s="58" t="s">
        <v>34</v>
      </c>
      <c r="D113" s="21">
        <f>D112-C112</f>
        <v>6</v>
      </c>
      <c r="E113" s="21">
        <f>E112-D112</f>
        <v>0</v>
      </c>
      <c r="F113" s="21">
        <f>F112-E112</f>
        <v>1</v>
      </c>
      <c r="G113" s="1"/>
      <c r="H113" s="21">
        <f>H112-F112</f>
        <v>-6</v>
      </c>
      <c r="I113" s="21">
        <f>I112-H112</f>
        <v>9</v>
      </c>
      <c r="J113" s="60">
        <f>J112-I112</f>
        <v>-15.926963250000085</v>
      </c>
      <c r="K113" s="1"/>
    </row>
    <row r="114">
      <c r="A114" s="1"/>
      <c r="B114" s="33" t="s">
        <v>237</v>
      </c>
      <c r="C114" s="55">
        <f>C92-C94-C100-C106-C112</f>
        <v>400</v>
      </c>
      <c r="D114" s="55">
        <f>D92-D94-D100-D106-D112</f>
        <v>324</v>
      </c>
      <c r="E114" s="55">
        <f>E92-E94-E100-E106-E112</f>
        <v>428</v>
      </c>
      <c r="F114" s="55">
        <f>F92-F94-F100-F106-F112</f>
        <v>584</v>
      </c>
      <c r="G114" s="55">
        <f>G92-G94-G100-G106-G112</f>
        <v>1736</v>
      </c>
      <c r="H114" s="55">
        <f>H92-H94-H100-H106-H112</f>
        <v>354</v>
      </c>
      <c r="I114" s="55">
        <f>I92-I94-I100-I106-I112</f>
        <v>423</v>
      </c>
      <c r="J114" s="53">
        <f>J92-J94-J100-J106-J112</f>
        <v>507.21911024999997</v>
      </c>
      <c r="K114" s="1" t="s">
        <v>238</v>
      </c>
    </row>
    <row r="115">
      <c r="A115" s="1"/>
      <c r="B115" s="1" t="s">
        <v>239</v>
      </c>
      <c r="C115" s="40" t="b">
        <f>ABS(C114-C71)&lt;=2</f>
        <v>1</v>
      </c>
      <c r="D115" s="40" t="b">
        <f>ABS(D114-D71)&lt;=2</f>
        <v>1</v>
      </c>
      <c r="E115" s="40" t="b">
        <f>ABS(E114-E71)&lt;=2</f>
        <v>1</v>
      </c>
      <c r="F115" s="40" t="b">
        <f>ABS(F114-F71)&lt;=2</f>
        <v>1</v>
      </c>
      <c r="G115" s="40" t="b">
        <f>ABS(G114-G71)&lt;=2</f>
        <v>1</v>
      </c>
      <c r="H115" s="40" t="b">
        <f>ABS(H114-H71)&lt;=2</f>
        <v>1</v>
      </c>
      <c r="I115" s="40" t="b">
        <f>ABS(I114-I71)&lt;=2</f>
        <v>1</v>
      </c>
      <c r="J115" s="76" t="b">
        <f>ABS(J114-J71)&lt;=2</f>
        <v>1</v>
      </c>
      <c r="K115" s="1" t="s">
        <v>240</v>
      </c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>
      <c r="A117" s="1"/>
      <c r="B117" s="1" t="s">
        <v>241</v>
      </c>
      <c r="C117" s="23">
        <v>44</v>
      </c>
      <c r="D117" s="23">
        <v>13</v>
      </c>
      <c r="E117" s="23">
        <v>18</v>
      </c>
      <c r="F117" s="3">
        <f>G117-C117-D117-E117</f>
        <v>49</v>
      </c>
      <c r="G117" s="23">
        <v>124</v>
      </c>
      <c r="H117" s="23">
        <v>36</v>
      </c>
      <c r="I117" s="23">
        <v>17</v>
      </c>
      <c r="J117" s="57" t="s">
        <v>242</v>
      </c>
      <c r="K117" s="1" t="s">
        <v>243</v>
      </c>
    </row>
    <row r="118">
      <c r="A118" s="1"/>
      <c r="B118" s="1" t="s">
        <v>244</v>
      </c>
      <c r="C118" s="23">
        <v>24</v>
      </c>
      <c r="D118" s="23">
        <v>26</v>
      </c>
      <c r="E118" s="23">
        <v>26</v>
      </c>
      <c r="F118" s="3">
        <f>G118-C118-D118-E118</f>
        <v>28</v>
      </c>
      <c r="G118" s="23">
        <v>104</v>
      </c>
      <c r="H118" s="23">
        <v>26</v>
      </c>
      <c r="I118" s="23">
        <v>27</v>
      </c>
      <c r="J118" s="57" t="s">
        <v>242</v>
      </c>
      <c r="K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>
      <c r="A120" s="1"/>
      <c r="B120" s="13" t="s">
        <v>245</v>
      </c>
      <c r="C120" s="1"/>
      <c r="D120" s="1"/>
      <c r="E120" s="1"/>
      <c r="F120" s="1"/>
      <c r="G120" s="1"/>
      <c r="H120" s="1"/>
      <c r="I120" s="1"/>
      <c r="J120" s="1"/>
      <c r="K120" s="1" t="s">
        <v>268</v>
      </c>
    </row>
    <row r="121">
      <c r="A121" s="1"/>
      <c r="B121" s="26" t="s">
        <v>247</v>
      </c>
      <c r="C121" s="1"/>
      <c r="D121" s="1"/>
      <c r="E121" s="1"/>
      <c r="F121" s="1"/>
      <c r="G121" s="1"/>
      <c r="H121" s="1"/>
      <c r="I121" s="1"/>
      <c r="J121" s="112">
        <v>0.495</v>
      </c>
      <c r="K121" s="1" t="s">
        <v>269</v>
      </c>
    </row>
    <row r="122">
      <c r="A122" s="1"/>
      <c r="B122" s="26" t="s">
        <v>249</v>
      </c>
      <c r="C122" s="1"/>
      <c r="D122" s="1"/>
      <c r="E122" s="1"/>
      <c r="F122" s="1"/>
      <c r="G122" s="1"/>
      <c r="H122" s="1"/>
      <c r="I122" s="1"/>
      <c r="J122" s="112">
        <v>0.165</v>
      </c>
      <c r="K122" s="1"/>
    </row>
    <row r="123">
      <c r="A123" s="1"/>
      <c r="B123" s="1" t="s">
        <v>250</v>
      </c>
      <c r="C123" s="1"/>
      <c r="D123" s="1"/>
      <c r="E123" s="1"/>
      <c r="F123" s="1"/>
      <c r="G123" s="1"/>
      <c r="H123" s="1"/>
      <c r="I123" s="1"/>
      <c r="J123" s="57">
        <v>142</v>
      </c>
      <c r="K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6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270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61</v>
      </c>
      <c r="C5" s="16" t="s">
        <v>62</v>
      </c>
      <c r="D5" s="16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6" t="s">
        <v>68</v>
      </c>
      <c r="J5" s="43" t="s">
        <v>69</v>
      </c>
      <c r="K5" s="9" t="s">
        <v>4</v>
      </c>
    </row>
    <row r="6">
      <c r="A6" s="1"/>
      <c r="B6" s="6" t="s">
        <v>70</v>
      </c>
      <c r="C6" s="14">
        <v>45745</v>
      </c>
      <c r="D6" s="14">
        <v>45836</v>
      </c>
      <c r="E6" s="14">
        <v>45927</v>
      </c>
      <c r="F6" s="14">
        <v>46022</v>
      </c>
      <c r="G6" s="14">
        <v>46022</v>
      </c>
      <c r="H6" s="14">
        <v>46109</v>
      </c>
      <c r="I6" s="14">
        <v>46200</v>
      </c>
      <c r="J6" s="45">
        <v>46291</v>
      </c>
      <c r="K6" s="6" t="s">
        <v>71</v>
      </c>
    </row>
    <row r="7">
      <c r="A7" s="1"/>
      <c r="B7" s="28" t="s">
        <v>72</v>
      </c>
      <c r="C7" s="22">
        <v>88</v>
      </c>
      <c r="D7" s="11">
        <f>D6-C6</f>
        <v>91</v>
      </c>
      <c r="E7" s="11">
        <f>E6-D6</f>
        <v>91</v>
      </c>
      <c r="F7" s="11">
        <f>F6-E6</f>
        <v>95</v>
      </c>
      <c r="G7" s="22">
        <v>365</v>
      </c>
      <c r="H7" s="11">
        <f>H6-F6</f>
        <v>87</v>
      </c>
      <c r="I7" s="11">
        <f>I6-H6</f>
        <v>91</v>
      </c>
      <c r="J7" s="36">
        <f>J6-I6</f>
        <v>91</v>
      </c>
      <c r="K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271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1" t="s">
        <v>272</v>
      </c>
      <c r="C11" s="23">
        <v>263</v>
      </c>
      <c r="D11" s="23">
        <v>276</v>
      </c>
      <c r="E11" s="23">
        <v>283</v>
      </c>
      <c r="F11" s="3">
        <f>G11-C11-D11-E11</f>
        <v>293</v>
      </c>
      <c r="G11" s="23">
        <v>1115</v>
      </c>
      <c r="H11" s="23">
        <v>271</v>
      </c>
      <c r="I11" s="23">
        <v>290</v>
      </c>
      <c r="J11" s="8">
        <f>J15+J17+J18+J21</f>
        <v>290.03255</v>
      </c>
      <c r="K11" s="1" t="s">
        <v>166</v>
      </c>
    </row>
    <row r="12">
      <c r="A12" s="1"/>
      <c r="B12" s="26" t="s">
        <v>75</v>
      </c>
      <c r="C12" s="103">
        <f>IF(ABS(C15)&lt;10,"n/m",C11/C15-1)</f>
        <v>0</v>
      </c>
      <c r="D12" s="103">
        <f>IF(ABS(D15)&lt;10,"n/m",D11/D15-1)</f>
        <v>0.01098901098901095</v>
      </c>
      <c r="E12" s="103">
        <f>IF(ABS(E15)&lt;10,"n/m",E11/E15-1)</f>
        <v>0.06390977443609014</v>
      </c>
      <c r="F12" s="103">
        <f>IF(ABS(F15)&lt;10,"n/m",F11/F15-1)</f>
        <v>0.12260536398467425</v>
      </c>
      <c r="G12" s="103">
        <f>IF(ABS(G15)&lt;10,"n/m",G11/G15-1)</f>
        <v>0.04891815616180617</v>
      </c>
      <c r="H12" s="103">
        <f>IF(ABS(H15)&lt;10,"n/m",H11/H15-1)</f>
        <v>0.03041825095057038</v>
      </c>
      <c r="I12" s="103">
        <f>IF(ABS(I15)&lt;10,"n/m",I11/I15-1)</f>
        <v>0.050724637681159424</v>
      </c>
      <c r="J12" s="108">
        <f>IF(ABS(J15)&lt;10,"n/m",J11/J15-1)</f>
        <v>0.02485000000000004</v>
      </c>
      <c r="K12" s="1"/>
    </row>
    <row r="13">
      <c r="A13" s="1"/>
      <c r="B13" s="26" t="s">
        <v>85</v>
      </c>
      <c r="C13" s="21">
        <f>C11-F15</f>
        <v>2</v>
      </c>
      <c r="D13" s="21">
        <f>D11-C11</f>
        <v>13</v>
      </c>
      <c r="E13" s="21">
        <f>E11-D11</f>
        <v>7</v>
      </c>
      <c r="F13" s="21">
        <f>F11-E11</f>
        <v>10</v>
      </c>
      <c r="G13" s="1"/>
      <c r="H13" s="21">
        <f>H11-F11</f>
        <v>-22</v>
      </c>
      <c r="I13" s="21">
        <f>I11-H11</f>
        <v>19</v>
      </c>
      <c r="J13" s="60">
        <f>J11-I11</f>
        <v>0.032550000000014734</v>
      </c>
      <c r="K13" s="1" t="s">
        <v>167</v>
      </c>
    </row>
    <row r="14">
      <c r="A14" s="1"/>
      <c r="B14" s="26" t="s">
        <v>273</v>
      </c>
      <c r="C14" s="103">
        <f>C11/C91</f>
        <v>0.22909407665505227</v>
      </c>
      <c r="D14" s="103">
        <f>D11/D91</f>
        <v>0.24338624338624337</v>
      </c>
      <c r="E14" s="103">
        <f>E11/E91</f>
        <v>0.24105621805792163</v>
      </c>
      <c r="F14" s="103">
        <f>F11/F91</f>
        <v>0.24016393442622952</v>
      </c>
      <c r="G14" s="103">
        <f>G11/G91</f>
        <v>0.23845166809238666</v>
      </c>
      <c r="H14" s="103">
        <f>H11/H91</f>
        <v>0.2373029772329247</v>
      </c>
      <c r="I14" s="103">
        <f>I11/I91</f>
        <v>0.24066390041493776</v>
      </c>
      <c r="J14" s="108">
        <f>J11/J91</f>
        <v>0.2547459727742396</v>
      </c>
      <c r="K14" s="1" t="s">
        <v>274</v>
      </c>
    </row>
    <row r="15">
      <c r="A15" s="1"/>
      <c r="B15" s="1" t="s">
        <v>144</v>
      </c>
      <c r="C15" s="23">
        <v>263</v>
      </c>
      <c r="D15" s="23">
        <v>273</v>
      </c>
      <c r="E15" s="23">
        <v>266</v>
      </c>
      <c r="F15" s="3">
        <f>G15-C15-D15-E15</f>
        <v>261</v>
      </c>
      <c r="G15" s="23">
        <v>1063</v>
      </c>
      <c r="H15" s="3">
        <f>C11</f>
        <v>263</v>
      </c>
      <c r="I15" s="3">
        <f>D11</f>
        <v>276</v>
      </c>
      <c r="J15" s="8">
        <f>E11</f>
        <v>283</v>
      </c>
      <c r="K15" s="1" t="s">
        <v>170</v>
      </c>
    </row>
    <row r="16">
      <c r="A16" s="1"/>
      <c r="B16" s="26" t="s">
        <v>171</v>
      </c>
      <c r="C16" s="109" t="s">
        <v>89</v>
      </c>
      <c r="D16" s="109" t="s">
        <v>89</v>
      </c>
      <c r="E16" s="109" t="s">
        <v>89</v>
      </c>
      <c r="F16" s="109" t="s">
        <v>89</v>
      </c>
      <c r="G16" s="109" t="s">
        <v>89</v>
      </c>
      <c r="H16" s="109" t="s">
        <v>89</v>
      </c>
      <c r="I16" s="109" t="s">
        <v>89</v>
      </c>
      <c r="J16" s="112">
        <v>0.03</v>
      </c>
      <c r="K16" s="1" t="s">
        <v>275</v>
      </c>
    </row>
    <row r="17">
      <c r="A17" s="1"/>
      <c r="B17" s="26" t="s">
        <v>91</v>
      </c>
      <c r="C17" s="58" t="s">
        <v>89</v>
      </c>
      <c r="D17" s="58" t="s">
        <v>89</v>
      </c>
      <c r="E17" s="58" t="s">
        <v>89</v>
      </c>
      <c r="F17" s="58" t="s">
        <v>89</v>
      </c>
      <c r="G17" s="58" t="s">
        <v>89</v>
      </c>
      <c r="H17" s="58" t="s">
        <v>89</v>
      </c>
      <c r="I17" s="58" t="s">
        <v>89</v>
      </c>
      <c r="J17" s="60">
        <f>J15*J16</f>
        <v>8.49</v>
      </c>
      <c r="K17" s="1" t="s">
        <v>92</v>
      </c>
    </row>
    <row r="18">
      <c r="A18" s="1"/>
      <c r="B18" s="26" t="s">
        <v>173</v>
      </c>
      <c r="C18" s="58" t="s">
        <v>89</v>
      </c>
      <c r="D18" s="58" t="s">
        <v>89</v>
      </c>
      <c r="E18" s="58" t="s">
        <v>89</v>
      </c>
      <c r="F18" s="58" t="s">
        <v>89</v>
      </c>
      <c r="G18" s="58" t="s">
        <v>89</v>
      </c>
      <c r="H18" s="58" t="s">
        <v>89</v>
      </c>
      <c r="I18" s="58" t="s">
        <v>89</v>
      </c>
      <c r="J18" s="75">
        <v>0</v>
      </c>
      <c r="K18" s="1" t="s">
        <v>174</v>
      </c>
    </row>
    <row r="19">
      <c r="A19" s="1"/>
      <c r="B19" s="26" t="s">
        <v>175</v>
      </c>
      <c r="C19" s="109" t="s">
        <v>89</v>
      </c>
      <c r="D19" s="109" t="s">
        <v>89</v>
      </c>
      <c r="E19" s="109" t="s">
        <v>89</v>
      </c>
      <c r="F19" s="109" t="s">
        <v>89</v>
      </c>
      <c r="G19" s="109" t="s">
        <v>89</v>
      </c>
      <c r="H19" s="109" t="s">
        <v>89</v>
      </c>
      <c r="I19" s="109" t="s">
        <v>89</v>
      </c>
      <c r="J19" s="108">
        <f>J18/J15</f>
        <v>0</v>
      </c>
      <c r="K19" s="1" t="s">
        <v>176</v>
      </c>
    </row>
    <row r="20">
      <c r="A20" s="1"/>
      <c r="B20" s="26" t="s">
        <v>95</v>
      </c>
      <c r="C20" s="109" t="s">
        <v>89</v>
      </c>
      <c r="D20" s="109" t="s">
        <v>89</v>
      </c>
      <c r="E20" s="109" t="s">
        <v>89</v>
      </c>
      <c r="F20" s="109" t="s">
        <v>89</v>
      </c>
      <c r="G20" s="109" t="s">
        <v>89</v>
      </c>
      <c r="H20" s="109" t="s">
        <v>89</v>
      </c>
      <c r="I20" s="109" t="s">
        <v>89</v>
      </c>
      <c r="J20" s="113">
        <f>'Revenue summary'!J64</f>
        <v>-0.005</v>
      </c>
      <c r="K20" s="1" t="s">
        <v>177</v>
      </c>
    </row>
    <row r="21">
      <c r="A21" s="1"/>
      <c r="B21" s="26" t="s">
        <v>96</v>
      </c>
      <c r="C21" s="58" t="s">
        <v>89</v>
      </c>
      <c r="D21" s="58" t="s">
        <v>89</v>
      </c>
      <c r="E21" s="58" t="s">
        <v>89</v>
      </c>
      <c r="F21" s="58" t="s">
        <v>89</v>
      </c>
      <c r="G21" s="58" t="s">
        <v>89</v>
      </c>
      <c r="H21" s="58" t="s">
        <v>89</v>
      </c>
      <c r="I21" s="58" t="s">
        <v>89</v>
      </c>
      <c r="J21" s="60">
        <f>(J15+J17+J18)*J20</f>
        <v>-1.4574500000000001</v>
      </c>
      <c r="K21" s="1"/>
    </row>
    <row r="22">
      <c r="A22" s="1"/>
      <c r="B22" s="26" t="s">
        <v>178</v>
      </c>
      <c r="C22" s="109" t="s">
        <v>89</v>
      </c>
      <c r="D22" s="109" t="s">
        <v>89</v>
      </c>
      <c r="E22" s="109" t="s">
        <v>89</v>
      </c>
      <c r="F22" s="109" t="s">
        <v>89</v>
      </c>
      <c r="G22" s="109" t="s">
        <v>89</v>
      </c>
      <c r="H22" s="109" t="s">
        <v>89</v>
      </c>
      <c r="I22" s="109" t="s">
        <v>89</v>
      </c>
      <c r="J22" s="108">
        <f>(1+J12)/((1+J19)*(1+J20))-1</f>
        <v>0.030000000000000027</v>
      </c>
      <c r="K22" s="1" t="s">
        <v>179</v>
      </c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>
      <c r="A24" s="1"/>
      <c r="B24" s="1" t="s">
        <v>276</v>
      </c>
      <c r="C24" s="23">
        <v>217</v>
      </c>
      <c r="D24" s="23">
        <v>234</v>
      </c>
      <c r="E24" s="23">
        <v>230</v>
      </c>
      <c r="F24" s="3">
        <f>G24-C24-D24-E24</f>
        <v>231</v>
      </c>
      <c r="G24" s="23">
        <v>912</v>
      </c>
      <c r="H24" s="23">
        <v>230</v>
      </c>
      <c r="I24" s="23">
        <v>248</v>
      </c>
      <c r="J24" s="8">
        <f>J28+J30+J31+J34</f>
        <v>240.2925</v>
      </c>
      <c r="K24" s="1" t="s">
        <v>166</v>
      </c>
    </row>
    <row r="25">
      <c r="A25" s="1"/>
      <c r="B25" s="26" t="s">
        <v>75</v>
      </c>
      <c r="C25" s="103">
        <f>IF(ABS(C28)&lt;10,"n/m",C24/C28-1)</f>
        <v>0.02358490566037741</v>
      </c>
      <c r="D25" s="103">
        <f>IF(ABS(D28)&lt;10,"n/m",D24/D28-1)</f>
        <v>0.03539823008849563</v>
      </c>
      <c r="E25" s="103">
        <f>IF(ABS(E28)&lt;10,"n/m",E24/E28-1)</f>
        <v>0.08490566037735858</v>
      </c>
      <c r="F25" s="103">
        <f>IF(ABS(F28)&lt;10,"n/m",F24/F28-1)</f>
        <v>0.07943925233644866</v>
      </c>
      <c r="G25" s="103">
        <f>IF(ABS(G28)&lt;10,"n/m",G24/G28-1)</f>
        <v>0.05555555555555558</v>
      </c>
      <c r="H25" s="103">
        <f>IF(ABS(H28)&lt;10,"n/m",H24/H28-1)</f>
        <v>0.05990783410138256</v>
      </c>
      <c r="I25" s="103">
        <f>IF(ABS(I28)&lt;10,"n/m",I24/I28-1)</f>
        <v>0.05982905982905984</v>
      </c>
      <c r="J25" s="108">
        <f>IF(ABS(J28)&lt;10,"n/m",J24/J28-1)</f>
        <v>0.044749999999999845</v>
      </c>
      <c r="K25" s="1"/>
    </row>
    <row r="26">
      <c r="A26" s="1"/>
      <c r="B26" s="26" t="s">
        <v>85</v>
      </c>
      <c r="C26" s="21">
        <f>C24-F28</f>
        <v>3</v>
      </c>
      <c r="D26" s="21">
        <f>D24-C24</f>
        <v>17</v>
      </c>
      <c r="E26" s="21">
        <f>E24-D24</f>
        <v>-4</v>
      </c>
      <c r="F26" s="21">
        <f>F24-E24</f>
        <v>1</v>
      </c>
      <c r="G26" s="1"/>
      <c r="H26" s="21">
        <f>H24-F24</f>
        <v>-1</v>
      </c>
      <c r="I26" s="21">
        <f>I24-H24</f>
        <v>18</v>
      </c>
      <c r="J26" s="60">
        <f>J24-I24</f>
        <v>-7.70750000000001</v>
      </c>
      <c r="K26" s="1" t="s">
        <v>167</v>
      </c>
    </row>
    <row r="27">
      <c r="A27" s="1"/>
      <c r="B27" s="26" t="s">
        <v>273</v>
      </c>
      <c r="C27" s="103">
        <f>C24/C91</f>
        <v>0.18902439024390244</v>
      </c>
      <c r="D27" s="103">
        <f>D24/D91</f>
        <v>0.20634920634920634</v>
      </c>
      <c r="E27" s="103">
        <f>E24/E91</f>
        <v>0.19591141396933562</v>
      </c>
      <c r="F27" s="103">
        <f>F24/F91</f>
        <v>0.18934426229508197</v>
      </c>
      <c r="G27" s="103">
        <f>G24/G91</f>
        <v>0.19503849443969204</v>
      </c>
      <c r="H27" s="103">
        <f>H24/H91</f>
        <v>0.20140105078809106</v>
      </c>
      <c r="I27" s="103">
        <f>I24/I91</f>
        <v>0.20580912863070538</v>
      </c>
      <c r="J27" s="108">
        <f>J24/J91</f>
        <v>0.21105750600356396</v>
      </c>
      <c r="K27" s="1" t="s">
        <v>274</v>
      </c>
    </row>
    <row r="28">
      <c r="A28" s="1"/>
      <c r="B28" s="1" t="s">
        <v>144</v>
      </c>
      <c r="C28" s="23">
        <v>212</v>
      </c>
      <c r="D28" s="23">
        <v>226</v>
      </c>
      <c r="E28" s="23">
        <v>212</v>
      </c>
      <c r="F28" s="3">
        <f>G28-C28-D28-E28</f>
        <v>214</v>
      </c>
      <c r="G28" s="23">
        <v>864</v>
      </c>
      <c r="H28" s="3">
        <f>C24</f>
        <v>217</v>
      </c>
      <c r="I28" s="3">
        <f>D24</f>
        <v>234</v>
      </c>
      <c r="J28" s="8">
        <f>E24</f>
        <v>230</v>
      </c>
      <c r="K28" s="1" t="s">
        <v>170</v>
      </c>
    </row>
    <row r="29">
      <c r="A29" s="1"/>
      <c r="B29" s="26" t="s">
        <v>171</v>
      </c>
      <c r="C29" s="109" t="s">
        <v>89</v>
      </c>
      <c r="D29" s="109" t="s">
        <v>89</v>
      </c>
      <c r="E29" s="109" t="s">
        <v>89</v>
      </c>
      <c r="F29" s="109" t="s">
        <v>89</v>
      </c>
      <c r="G29" s="109" t="s">
        <v>89</v>
      </c>
      <c r="H29" s="109" t="s">
        <v>89</v>
      </c>
      <c r="I29" s="109" t="s">
        <v>89</v>
      </c>
      <c r="J29" s="112">
        <v>0.05</v>
      </c>
      <c r="K29" s="1" t="s">
        <v>277</v>
      </c>
    </row>
    <row r="30">
      <c r="A30" s="1"/>
      <c r="B30" s="26" t="s">
        <v>91</v>
      </c>
      <c r="C30" s="58" t="s">
        <v>89</v>
      </c>
      <c r="D30" s="58" t="s">
        <v>89</v>
      </c>
      <c r="E30" s="58" t="s">
        <v>89</v>
      </c>
      <c r="F30" s="58" t="s">
        <v>89</v>
      </c>
      <c r="G30" s="58" t="s">
        <v>89</v>
      </c>
      <c r="H30" s="58" t="s">
        <v>89</v>
      </c>
      <c r="I30" s="58" t="s">
        <v>89</v>
      </c>
      <c r="J30" s="60">
        <f>J28*J29</f>
        <v>11.5</v>
      </c>
      <c r="K30" s="1" t="s">
        <v>92</v>
      </c>
    </row>
    <row r="31">
      <c r="A31" s="1"/>
      <c r="B31" s="26" t="s">
        <v>173</v>
      </c>
      <c r="C31" s="58" t="s">
        <v>89</v>
      </c>
      <c r="D31" s="58" t="s">
        <v>89</v>
      </c>
      <c r="E31" s="58" t="s">
        <v>89</v>
      </c>
      <c r="F31" s="58" t="s">
        <v>89</v>
      </c>
      <c r="G31" s="58" t="s">
        <v>89</v>
      </c>
      <c r="H31" s="58" t="s">
        <v>89</v>
      </c>
      <c r="I31" s="58" t="s">
        <v>89</v>
      </c>
      <c r="J31" s="75">
        <v>0</v>
      </c>
      <c r="K31" s="1" t="s">
        <v>174</v>
      </c>
    </row>
    <row r="32">
      <c r="A32" s="1"/>
      <c r="B32" s="26" t="s">
        <v>175</v>
      </c>
      <c r="C32" s="109" t="s">
        <v>89</v>
      </c>
      <c r="D32" s="109" t="s">
        <v>89</v>
      </c>
      <c r="E32" s="109" t="s">
        <v>89</v>
      </c>
      <c r="F32" s="109" t="s">
        <v>89</v>
      </c>
      <c r="G32" s="109" t="s">
        <v>89</v>
      </c>
      <c r="H32" s="109" t="s">
        <v>89</v>
      </c>
      <c r="I32" s="109" t="s">
        <v>89</v>
      </c>
      <c r="J32" s="108">
        <f>J31/J28</f>
        <v>0</v>
      </c>
      <c r="K32" s="1" t="s">
        <v>176</v>
      </c>
    </row>
    <row r="33">
      <c r="A33" s="1"/>
      <c r="B33" s="26" t="s">
        <v>95</v>
      </c>
      <c r="C33" s="109" t="s">
        <v>89</v>
      </c>
      <c r="D33" s="109" t="s">
        <v>89</v>
      </c>
      <c r="E33" s="109" t="s">
        <v>89</v>
      </c>
      <c r="F33" s="109" t="s">
        <v>89</v>
      </c>
      <c r="G33" s="109" t="s">
        <v>89</v>
      </c>
      <c r="H33" s="109" t="s">
        <v>89</v>
      </c>
      <c r="I33" s="109" t="s">
        <v>89</v>
      </c>
      <c r="J33" s="113">
        <f>'Revenue summary'!J64</f>
        <v>-0.005</v>
      </c>
      <c r="K33" s="1" t="s">
        <v>177</v>
      </c>
    </row>
    <row r="34">
      <c r="A34" s="1"/>
      <c r="B34" s="26" t="s">
        <v>96</v>
      </c>
      <c r="C34" s="58" t="s">
        <v>89</v>
      </c>
      <c r="D34" s="58" t="s">
        <v>89</v>
      </c>
      <c r="E34" s="58" t="s">
        <v>89</v>
      </c>
      <c r="F34" s="58" t="s">
        <v>89</v>
      </c>
      <c r="G34" s="58" t="s">
        <v>89</v>
      </c>
      <c r="H34" s="58" t="s">
        <v>89</v>
      </c>
      <c r="I34" s="58" t="s">
        <v>89</v>
      </c>
      <c r="J34" s="60">
        <f>(J28+J30+J31)*J33</f>
        <v>-1.2075</v>
      </c>
      <c r="K34" s="1"/>
    </row>
    <row r="35">
      <c r="A35" s="1"/>
      <c r="B35" s="26" t="s">
        <v>178</v>
      </c>
      <c r="C35" s="109" t="s">
        <v>89</v>
      </c>
      <c r="D35" s="109" t="s">
        <v>89</v>
      </c>
      <c r="E35" s="109" t="s">
        <v>89</v>
      </c>
      <c r="F35" s="109" t="s">
        <v>89</v>
      </c>
      <c r="G35" s="109" t="s">
        <v>89</v>
      </c>
      <c r="H35" s="109" t="s">
        <v>89</v>
      </c>
      <c r="I35" s="109" t="s">
        <v>89</v>
      </c>
      <c r="J35" s="108">
        <f>(1+J25)/((1+J32)*(1+J33))-1</f>
        <v>0.04999999999999982</v>
      </c>
      <c r="K35" s="1" t="s">
        <v>179</v>
      </c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>
      <c r="A37" s="1"/>
      <c r="B37" s="1" t="s">
        <v>278</v>
      </c>
      <c r="C37" s="23">
        <v>152</v>
      </c>
      <c r="D37" s="23">
        <v>159</v>
      </c>
      <c r="E37" s="23">
        <v>162</v>
      </c>
      <c r="F37" s="3">
        <f>G37-C37-D37-E37</f>
        <v>172</v>
      </c>
      <c r="G37" s="23">
        <v>645</v>
      </c>
      <c r="H37" s="23">
        <v>160</v>
      </c>
      <c r="I37" s="23">
        <v>166</v>
      </c>
      <c r="J37" s="8">
        <f>J41+J43+J44+J47</f>
        <v>83.11027252747255</v>
      </c>
      <c r="K37" s="1" t="s">
        <v>279</v>
      </c>
    </row>
    <row r="38">
      <c r="A38" s="1"/>
      <c r="B38" s="26" t="s">
        <v>75</v>
      </c>
      <c r="C38" s="103">
        <f>IF(ABS(C41)&lt;10,"n/m",C37/C41-1)</f>
        <v>-0.006535947712418277</v>
      </c>
      <c r="D38" s="103">
        <f>IF(ABS(D41)&lt;10,"n/m",D37/D41-1)</f>
        <v>0.006329113924050667</v>
      </c>
      <c r="E38" s="103">
        <f>IF(ABS(E41)&lt;10,"n/m",E37/E41-1)</f>
        <v>0.018867924528301883</v>
      </c>
      <c r="F38" s="103">
        <f>IF(ABS(F41)&lt;10,"n/m",F37/F41-1)</f>
        <v>0.05521472392638027</v>
      </c>
      <c r="G38" s="103">
        <f>IF(ABS(G41)&lt;10,"n/m",G37/G41-1)</f>
        <v>0.018957345971563955</v>
      </c>
      <c r="H38" s="103">
        <f>IF(ABS(H41)&lt;10,"n/m",H37/H41-1)</f>
        <v>0.05263157894736836</v>
      </c>
      <c r="I38" s="103">
        <f>IF(ABS(I41)&lt;10,"n/m",I37/I41-1)</f>
        <v>0.04402515723270439</v>
      </c>
      <c r="J38" s="108">
        <f>IF(ABS(J41)&lt;10,"n/m",J37/J41-1)</f>
        <v>-0.4869736263736263</v>
      </c>
      <c r="K38" s="1"/>
    </row>
    <row r="39">
      <c r="A39" s="1"/>
      <c r="B39" s="26" t="s">
        <v>85</v>
      </c>
      <c r="C39" s="21">
        <f>C37-F41</f>
        <v>-11</v>
      </c>
      <c r="D39" s="21">
        <f>D37-C37</f>
        <v>7</v>
      </c>
      <c r="E39" s="21">
        <f>E37-D37</f>
        <v>3</v>
      </c>
      <c r="F39" s="21">
        <f>F37-E37</f>
        <v>10</v>
      </c>
      <c r="G39" s="1"/>
      <c r="H39" s="21">
        <f>H37-F37</f>
        <v>-12</v>
      </c>
      <c r="I39" s="21">
        <f>I37-H37</f>
        <v>6</v>
      </c>
      <c r="J39" s="60">
        <f>J37-I37</f>
        <v>-82.88972747252745</v>
      </c>
      <c r="K39" s="1" t="s">
        <v>167</v>
      </c>
    </row>
    <row r="40">
      <c r="A40" s="1"/>
      <c r="B40" s="26" t="s">
        <v>273</v>
      </c>
      <c r="C40" s="103">
        <f>C37/C91</f>
        <v>0.13240418118466898</v>
      </c>
      <c r="D40" s="103">
        <f>D37/D91</f>
        <v>0.1402116402116402</v>
      </c>
      <c r="E40" s="103">
        <f>E37/E91</f>
        <v>0.13798977853492334</v>
      </c>
      <c r="F40" s="103">
        <f>F37/F91</f>
        <v>0.14098360655737704</v>
      </c>
      <c r="G40" s="103">
        <f>G37/G91</f>
        <v>0.13793840889649273</v>
      </c>
      <c r="H40" s="103">
        <f>H37/H91</f>
        <v>0.14010507880910683</v>
      </c>
      <c r="I40" s="103">
        <f>I37/I91</f>
        <v>0.13775933609958507</v>
      </c>
      <c r="J40" s="108">
        <f>J37/J91</f>
        <v>0.07299872797912908</v>
      </c>
      <c r="K40" s="1" t="s">
        <v>274</v>
      </c>
    </row>
    <row r="41">
      <c r="A41" s="1"/>
      <c r="B41" s="1" t="s">
        <v>144</v>
      </c>
      <c r="C41" s="23">
        <v>153</v>
      </c>
      <c r="D41" s="23">
        <v>158</v>
      </c>
      <c r="E41" s="23">
        <v>159</v>
      </c>
      <c r="F41" s="3">
        <f>G41-C41-D41-E41</f>
        <v>163</v>
      </c>
      <c r="G41" s="23">
        <v>633</v>
      </c>
      <c r="H41" s="3">
        <f>C37</f>
        <v>152</v>
      </c>
      <c r="I41" s="3">
        <f>D37</f>
        <v>159</v>
      </c>
      <c r="J41" s="8">
        <f>E37</f>
        <v>162</v>
      </c>
      <c r="K41" s="1" t="s">
        <v>170</v>
      </c>
    </row>
    <row r="42">
      <c r="A42" s="1"/>
      <c r="B42" s="26" t="s">
        <v>171</v>
      </c>
      <c r="C42" s="109" t="s">
        <v>89</v>
      </c>
      <c r="D42" s="109" t="s">
        <v>89</v>
      </c>
      <c r="E42" s="109" t="s">
        <v>89</v>
      </c>
      <c r="F42" s="109" t="s">
        <v>89</v>
      </c>
      <c r="G42" s="109" t="s">
        <v>89</v>
      </c>
      <c r="H42" s="109" t="s">
        <v>89</v>
      </c>
      <c r="I42" s="109" t="s">
        <v>89</v>
      </c>
      <c r="J42" s="112">
        <v>0.02</v>
      </c>
      <c r="K42" s="1" t="s">
        <v>280</v>
      </c>
    </row>
    <row r="43">
      <c r="A43" s="1"/>
      <c r="B43" s="26" t="s">
        <v>91</v>
      </c>
      <c r="C43" s="58" t="s">
        <v>89</v>
      </c>
      <c r="D43" s="58" t="s">
        <v>89</v>
      </c>
      <c r="E43" s="58" t="s">
        <v>89</v>
      </c>
      <c r="F43" s="58" t="s">
        <v>89</v>
      </c>
      <c r="G43" s="58" t="s">
        <v>89</v>
      </c>
      <c r="H43" s="58" t="s">
        <v>89</v>
      </c>
      <c r="I43" s="58" t="s">
        <v>89</v>
      </c>
      <c r="J43" s="60">
        <f>J41*J42</f>
        <v>3.24</v>
      </c>
      <c r="K43" s="1" t="s">
        <v>92</v>
      </c>
    </row>
    <row r="44">
      <c r="A44" s="1"/>
      <c r="B44" s="26" t="s">
        <v>173</v>
      </c>
      <c r="C44" s="58" t="s">
        <v>89</v>
      </c>
      <c r="D44" s="58" t="s">
        <v>89</v>
      </c>
      <c r="E44" s="58" t="s">
        <v>89</v>
      </c>
      <c r="F44" s="58" t="s">
        <v>89</v>
      </c>
      <c r="G44" s="58" t="s">
        <v>89</v>
      </c>
      <c r="H44" s="58" t="s">
        <v>89</v>
      </c>
      <c r="I44" s="58" t="s">
        <v>89</v>
      </c>
      <c r="J44" s="60">
        <f>-(J41+J43)*J166/J$7</f>
        <v>-81.71208791208791</v>
      </c>
      <c r="K44" s="1" t="s">
        <v>281</v>
      </c>
    </row>
    <row r="45">
      <c r="A45" s="1"/>
      <c r="B45" s="26" t="s">
        <v>175</v>
      </c>
      <c r="C45" s="109" t="s">
        <v>89</v>
      </c>
      <c r="D45" s="109" t="s">
        <v>89</v>
      </c>
      <c r="E45" s="109" t="s">
        <v>89</v>
      </c>
      <c r="F45" s="109" t="s">
        <v>89</v>
      </c>
      <c r="G45" s="109" t="s">
        <v>89</v>
      </c>
      <c r="H45" s="109" t="s">
        <v>89</v>
      </c>
      <c r="I45" s="109" t="s">
        <v>89</v>
      </c>
      <c r="J45" s="108">
        <f>J44/J41</f>
        <v>-0.5043956043956044</v>
      </c>
      <c r="K45" s="1" t="s">
        <v>176</v>
      </c>
    </row>
    <row r="46">
      <c r="A46" s="1"/>
      <c r="B46" s="26" t="s">
        <v>95</v>
      </c>
      <c r="C46" s="109" t="s">
        <v>89</v>
      </c>
      <c r="D46" s="109" t="s">
        <v>89</v>
      </c>
      <c r="E46" s="109" t="s">
        <v>89</v>
      </c>
      <c r="F46" s="109" t="s">
        <v>89</v>
      </c>
      <c r="G46" s="109" t="s">
        <v>89</v>
      </c>
      <c r="H46" s="109" t="s">
        <v>89</v>
      </c>
      <c r="I46" s="109" t="s">
        <v>89</v>
      </c>
      <c r="J46" s="113">
        <f>'Revenue summary'!J64</f>
        <v>-0.005</v>
      </c>
      <c r="K46" s="1" t="s">
        <v>177</v>
      </c>
    </row>
    <row r="47">
      <c r="A47" s="1"/>
      <c r="B47" s="26" t="s">
        <v>96</v>
      </c>
      <c r="C47" s="58" t="s">
        <v>89</v>
      </c>
      <c r="D47" s="58" t="s">
        <v>89</v>
      </c>
      <c r="E47" s="58" t="s">
        <v>89</v>
      </c>
      <c r="F47" s="58" t="s">
        <v>89</v>
      </c>
      <c r="G47" s="58" t="s">
        <v>89</v>
      </c>
      <c r="H47" s="58" t="s">
        <v>89</v>
      </c>
      <c r="I47" s="58" t="s">
        <v>89</v>
      </c>
      <c r="J47" s="60">
        <f>(J41+J43+J44)*J46</f>
        <v>-0.4176395604395605</v>
      </c>
      <c r="K47" s="1"/>
    </row>
    <row r="48">
      <c r="A48" s="1"/>
      <c r="B48" s="26" t="s">
        <v>178</v>
      </c>
      <c r="C48" s="109" t="s">
        <v>89</v>
      </c>
      <c r="D48" s="109" t="s">
        <v>89</v>
      </c>
      <c r="E48" s="109" t="s">
        <v>89</v>
      </c>
      <c r="F48" s="109" t="s">
        <v>89</v>
      </c>
      <c r="G48" s="109" t="s">
        <v>89</v>
      </c>
      <c r="H48" s="109" t="s">
        <v>89</v>
      </c>
      <c r="I48" s="109" t="s">
        <v>89</v>
      </c>
      <c r="J48" s="108">
        <f>(1+J38)/((1+J45)*(1+J46))-1</f>
        <v>0.040354767184035634</v>
      </c>
      <c r="K48" s="1" t="s">
        <v>179</v>
      </c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>
      <c r="A50" s="1"/>
      <c r="B50" s="1" t="s">
        <v>282</v>
      </c>
      <c r="C50" s="23">
        <v>113</v>
      </c>
      <c r="D50" s="23">
        <v>124</v>
      </c>
      <c r="E50" s="23">
        <v>125</v>
      </c>
      <c r="F50" s="3">
        <f>G50-C50-D50-E50</f>
        <v>130</v>
      </c>
      <c r="G50" s="23">
        <v>492</v>
      </c>
      <c r="H50" s="23">
        <v>121</v>
      </c>
      <c r="I50" s="23">
        <v>134</v>
      </c>
      <c r="J50" s="8">
        <f>J54+J56+J57+J60</f>
        <v>131.8375</v>
      </c>
      <c r="K50" s="1" t="s">
        <v>166</v>
      </c>
    </row>
    <row r="51">
      <c r="A51" s="1"/>
      <c r="B51" s="26" t="s">
        <v>75</v>
      </c>
      <c r="C51" s="103">
        <f>IF(ABS(C54)&lt;10,"n/m",C50/C54-1)</f>
        <v>0.0660377358490567</v>
      </c>
      <c r="D51" s="103">
        <f>IF(ABS(D54)&lt;10,"n/m",D50/D54-1)</f>
        <v>0.11711711711711703</v>
      </c>
      <c r="E51" s="103">
        <f>IF(ABS(E54)&lt;10,"n/m",E50/E54-1)</f>
        <v>0.09649122807017552</v>
      </c>
      <c r="F51" s="103">
        <f>IF(ABS(F54)&lt;10,"n/m",F50/F54-1)</f>
        <v>0.05691056910569103</v>
      </c>
      <c r="G51" s="103">
        <f>IF(ABS(G54)&lt;10,"n/m",G50/G54-1)</f>
        <v>0.08370044052863435</v>
      </c>
      <c r="H51" s="103">
        <f>IF(ABS(H54)&lt;10,"n/m",H50/H54-1)</f>
        <v>0.07079646017699126</v>
      </c>
      <c r="I51" s="103">
        <f>IF(ABS(I54)&lt;10,"n/m",I50/I54-1)</f>
        <v>0.08064516129032251</v>
      </c>
      <c r="J51" s="108">
        <f>IF(ABS(J54)&lt;10,"n/m",J50/J54-1)</f>
        <v>0.05469999999999997</v>
      </c>
      <c r="K51" s="1"/>
    </row>
    <row r="52">
      <c r="A52" s="1"/>
      <c r="B52" s="26" t="s">
        <v>85</v>
      </c>
      <c r="C52" s="21">
        <f>C50-F54</f>
        <v>-10</v>
      </c>
      <c r="D52" s="21">
        <f>D50-C50</f>
        <v>11</v>
      </c>
      <c r="E52" s="21">
        <f>E50-D50</f>
        <v>1</v>
      </c>
      <c r="F52" s="21">
        <f>F50-E50</f>
        <v>5</v>
      </c>
      <c r="G52" s="1"/>
      <c r="H52" s="21">
        <f>H50-F50</f>
        <v>-9</v>
      </c>
      <c r="I52" s="21">
        <f>I50-H50</f>
        <v>13</v>
      </c>
      <c r="J52" s="60">
        <f>J50-I50</f>
        <v>-2.1624999999999943</v>
      </c>
      <c r="K52" s="1" t="s">
        <v>167</v>
      </c>
    </row>
    <row r="53">
      <c r="A53" s="1"/>
      <c r="B53" s="26" t="s">
        <v>273</v>
      </c>
      <c r="C53" s="103">
        <f>C50/C91</f>
        <v>0.09843205574912892</v>
      </c>
      <c r="D53" s="103">
        <f>D50/D91</f>
        <v>0.10934744268077601</v>
      </c>
      <c r="E53" s="103">
        <f>E50/E91</f>
        <v>0.10647359454855196</v>
      </c>
      <c r="F53" s="103">
        <f>F50/F91</f>
        <v>0.10655737704918032</v>
      </c>
      <c r="G53" s="103">
        <f>G50/G91</f>
        <v>0.10521813515825491</v>
      </c>
      <c r="H53" s="103">
        <f>H50/H91</f>
        <v>0.10595446584938704</v>
      </c>
      <c r="I53" s="103">
        <f>I50/I91</f>
        <v>0.11120331950207468</v>
      </c>
      <c r="J53" s="108">
        <f>J50/J91</f>
        <v>0.11579759646158273</v>
      </c>
      <c r="K53" s="1" t="s">
        <v>274</v>
      </c>
    </row>
    <row r="54">
      <c r="A54" s="1"/>
      <c r="B54" s="1" t="s">
        <v>144</v>
      </c>
      <c r="C54" s="23">
        <v>106</v>
      </c>
      <c r="D54" s="23">
        <v>111</v>
      </c>
      <c r="E54" s="23">
        <v>114</v>
      </c>
      <c r="F54" s="3">
        <f>G54-C54-D54-E54</f>
        <v>123</v>
      </c>
      <c r="G54" s="23">
        <v>454</v>
      </c>
      <c r="H54" s="3">
        <f>C50</f>
        <v>113</v>
      </c>
      <c r="I54" s="3">
        <f>D50</f>
        <v>124</v>
      </c>
      <c r="J54" s="8">
        <f>E50</f>
        <v>125</v>
      </c>
      <c r="K54" s="1" t="s">
        <v>170</v>
      </c>
    </row>
    <row r="55">
      <c r="A55" s="1"/>
      <c r="B55" s="26" t="s">
        <v>171</v>
      </c>
      <c r="C55" s="109" t="s">
        <v>89</v>
      </c>
      <c r="D55" s="109" t="s">
        <v>89</v>
      </c>
      <c r="E55" s="109" t="s">
        <v>89</v>
      </c>
      <c r="F55" s="109" t="s">
        <v>89</v>
      </c>
      <c r="G55" s="109" t="s">
        <v>89</v>
      </c>
      <c r="H55" s="109" t="s">
        <v>89</v>
      </c>
      <c r="I55" s="109" t="s">
        <v>89</v>
      </c>
      <c r="J55" s="112">
        <v>0.06</v>
      </c>
      <c r="K55" s="1" t="s">
        <v>283</v>
      </c>
    </row>
    <row r="56">
      <c r="A56" s="1"/>
      <c r="B56" s="26" t="s">
        <v>91</v>
      </c>
      <c r="C56" s="58" t="s">
        <v>89</v>
      </c>
      <c r="D56" s="58" t="s">
        <v>89</v>
      </c>
      <c r="E56" s="58" t="s">
        <v>89</v>
      </c>
      <c r="F56" s="58" t="s">
        <v>89</v>
      </c>
      <c r="G56" s="58" t="s">
        <v>89</v>
      </c>
      <c r="H56" s="58" t="s">
        <v>89</v>
      </c>
      <c r="I56" s="58" t="s">
        <v>89</v>
      </c>
      <c r="J56" s="60">
        <f>J54*J55</f>
        <v>7.5</v>
      </c>
      <c r="K56" s="1" t="s">
        <v>92</v>
      </c>
    </row>
    <row r="57">
      <c r="A57" s="1"/>
      <c r="B57" s="26" t="s">
        <v>173</v>
      </c>
      <c r="C57" s="58" t="s">
        <v>89</v>
      </c>
      <c r="D57" s="58" t="s">
        <v>89</v>
      </c>
      <c r="E57" s="58" t="s">
        <v>89</v>
      </c>
      <c r="F57" s="58" t="s">
        <v>89</v>
      </c>
      <c r="G57" s="58" t="s">
        <v>89</v>
      </c>
      <c r="H57" s="58" t="s">
        <v>89</v>
      </c>
      <c r="I57" s="58" t="s">
        <v>89</v>
      </c>
      <c r="J57" s="75">
        <v>0</v>
      </c>
      <c r="K57" s="1" t="s">
        <v>174</v>
      </c>
    </row>
    <row r="58">
      <c r="A58" s="1"/>
      <c r="B58" s="26" t="s">
        <v>175</v>
      </c>
      <c r="C58" s="109" t="s">
        <v>89</v>
      </c>
      <c r="D58" s="109" t="s">
        <v>89</v>
      </c>
      <c r="E58" s="109" t="s">
        <v>89</v>
      </c>
      <c r="F58" s="109" t="s">
        <v>89</v>
      </c>
      <c r="G58" s="109" t="s">
        <v>89</v>
      </c>
      <c r="H58" s="109" t="s">
        <v>89</v>
      </c>
      <c r="I58" s="109" t="s">
        <v>89</v>
      </c>
      <c r="J58" s="108">
        <f>J57/J54</f>
        <v>0</v>
      </c>
      <c r="K58" s="1" t="s">
        <v>176</v>
      </c>
    </row>
    <row r="59">
      <c r="A59" s="1"/>
      <c r="B59" s="26" t="s">
        <v>95</v>
      </c>
      <c r="C59" s="109" t="s">
        <v>89</v>
      </c>
      <c r="D59" s="109" t="s">
        <v>89</v>
      </c>
      <c r="E59" s="109" t="s">
        <v>89</v>
      </c>
      <c r="F59" s="109" t="s">
        <v>89</v>
      </c>
      <c r="G59" s="109" t="s">
        <v>89</v>
      </c>
      <c r="H59" s="109" t="s">
        <v>89</v>
      </c>
      <c r="I59" s="109" t="s">
        <v>89</v>
      </c>
      <c r="J59" s="113">
        <f>'Revenue summary'!J64</f>
        <v>-0.005</v>
      </c>
      <c r="K59" s="1" t="s">
        <v>177</v>
      </c>
    </row>
    <row r="60">
      <c r="A60" s="1"/>
      <c r="B60" s="26" t="s">
        <v>96</v>
      </c>
      <c r="C60" s="58" t="s">
        <v>89</v>
      </c>
      <c r="D60" s="58" t="s">
        <v>89</v>
      </c>
      <c r="E60" s="58" t="s">
        <v>89</v>
      </c>
      <c r="F60" s="58" t="s">
        <v>89</v>
      </c>
      <c r="G60" s="58" t="s">
        <v>89</v>
      </c>
      <c r="H60" s="58" t="s">
        <v>89</v>
      </c>
      <c r="I60" s="58" t="s">
        <v>89</v>
      </c>
      <c r="J60" s="60">
        <f>(J54+J56+J57)*J59</f>
        <v>-0.6625</v>
      </c>
      <c r="K60" s="1"/>
    </row>
    <row r="61">
      <c r="A61" s="1"/>
      <c r="B61" s="26" t="s">
        <v>178</v>
      </c>
      <c r="C61" s="109" t="s">
        <v>89</v>
      </c>
      <c r="D61" s="109" t="s">
        <v>89</v>
      </c>
      <c r="E61" s="109" t="s">
        <v>89</v>
      </c>
      <c r="F61" s="109" t="s">
        <v>89</v>
      </c>
      <c r="G61" s="109" t="s">
        <v>89</v>
      </c>
      <c r="H61" s="109" t="s">
        <v>89</v>
      </c>
      <c r="I61" s="109" t="s">
        <v>89</v>
      </c>
      <c r="J61" s="108">
        <f>(1+J51)/((1+J58)*(1+J59))-1</f>
        <v>0.06000000000000005</v>
      </c>
      <c r="K61" s="1" t="s">
        <v>179</v>
      </c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>
      <c r="A63" s="1"/>
      <c r="B63" s="1" t="s">
        <v>284</v>
      </c>
      <c r="C63" s="23">
        <v>474</v>
      </c>
      <c r="D63" s="23">
        <v>407</v>
      </c>
      <c r="E63" s="23">
        <v>444</v>
      </c>
      <c r="F63" s="3">
        <f>G63-C63-D63-E63</f>
        <v>463</v>
      </c>
      <c r="G63" s="23">
        <v>1788</v>
      </c>
      <c r="H63" s="23">
        <v>430</v>
      </c>
      <c r="I63" s="23">
        <v>442</v>
      </c>
      <c r="J63" s="8">
        <f>J67+J69+J70+J73</f>
        <v>455.0334</v>
      </c>
      <c r="K63" s="1" t="s">
        <v>285</v>
      </c>
    </row>
    <row r="64">
      <c r="A64" s="1"/>
      <c r="B64" s="26" t="s">
        <v>75</v>
      </c>
      <c r="C64" s="103">
        <f>IF(ABS(C67)&lt;10,"n/m",C63/C67-1)</f>
        <v>0.08219178082191791</v>
      </c>
      <c r="D64" s="103">
        <f>IF(ABS(D67)&lt;10,"n/m",D63/D67-1)</f>
        <v>-0.009732360097323589</v>
      </c>
      <c r="E64" s="103">
        <f>IF(ABS(E67)&lt;10,"n/m",E63/E67-1)</f>
        <v>-0.019867549668874163</v>
      </c>
      <c r="F64" s="103">
        <f>IF(ABS(F67)&lt;10,"n/m",F63/F67-1)</f>
        <v>0.0021645021645022577</v>
      </c>
      <c r="G64" s="103">
        <f>IF(ABS(G67)&lt;10,"n/m",G63/G67-1)</f>
        <v>0.013605442176870763</v>
      </c>
      <c r="H64" s="103">
        <f>IF(ABS(H67)&lt;10,"n/m",H63/H67-1)</f>
        <v>-0.09282700421940926</v>
      </c>
      <c r="I64" s="103">
        <f>IF(ABS(I67)&lt;10,"n/m",I63/I67-1)</f>
        <v>0.08599508599508598</v>
      </c>
      <c r="J64" s="108">
        <f>IF(ABS(J67)&lt;10,"n/m",J63/J67-1)</f>
        <v>0.02485000000000004</v>
      </c>
      <c r="K64" s="1"/>
    </row>
    <row r="65">
      <c r="A65" s="1"/>
      <c r="B65" s="26" t="s">
        <v>85</v>
      </c>
      <c r="C65" s="21">
        <f>C63-F67</f>
        <v>12</v>
      </c>
      <c r="D65" s="21">
        <f>D63-C63</f>
        <v>-67</v>
      </c>
      <c r="E65" s="21">
        <f>E63-D63</f>
        <v>37</v>
      </c>
      <c r="F65" s="21">
        <f>F63-E63</f>
        <v>19</v>
      </c>
      <c r="G65" s="1"/>
      <c r="H65" s="21">
        <f>H63-F63</f>
        <v>-33</v>
      </c>
      <c r="I65" s="21">
        <f>I63-H63</f>
        <v>12</v>
      </c>
      <c r="J65" s="60">
        <f>J63-I63</f>
        <v>13.033399999999972</v>
      </c>
      <c r="K65" s="1" t="s">
        <v>167</v>
      </c>
    </row>
    <row r="66">
      <c r="A66" s="1"/>
      <c r="B66" s="26" t="s">
        <v>273</v>
      </c>
      <c r="C66" s="103">
        <f>C63/C91</f>
        <v>0.41289198606271776</v>
      </c>
      <c r="D66" s="103">
        <f>D63/D91</f>
        <v>0.35890652557319225</v>
      </c>
      <c r="E66" s="103">
        <f>E63/E91</f>
        <v>0.3781942078364566</v>
      </c>
      <c r="F66" s="103">
        <f>F63/F91</f>
        <v>0.3795081967213115</v>
      </c>
      <c r="G66" s="103">
        <f>G63/G91</f>
        <v>0.3823781009409752</v>
      </c>
      <c r="H66" s="103">
        <f>H63/H91</f>
        <v>0.37653239929947463</v>
      </c>
      <c r="I66" s="103">
        <f>I63/I91</f>
        <v>0.366804979253112</v>
      </c>
      <c r="J66" s="108">
        <f>J63/J91</f>
        <v>0.39967212689668685</v>
      </c>
      <c r="K66" s="1" t="s">
        <v>274</v>
      </c>
    </row>
    <row r="67">
      <c r="A67" s="1"/>
      <c r="B67" s="1" t="s">
        <v>144</v>
      </c>
      <c r="C67" s="23">
        <v>438</v>
      </c>
      <c r="D67" s="23">
        <v>411</v>
      </c>
      <c r="E67" s="23">
        <v>453</v>
      </c>
      <c r="F67" s="3">
        <f>G67-C67-D67-E67</f>
        <v>462</v>
      </c>
      <c r="G67" s="23">
        <v>1764</v>
      </c>
      <c r="H67" s="3">
        <f>C63</f>
        <v>474</v>
      </c>
      <c r="I67" s="3">
        <f>D63</f>
        <v>407</v>
      </c>
      <c r="J67" s="8">
        <f>E63</f>
        <v>444</v>
      </c>
      <c r="K67" s="1" t="s">
        <v>170</v>
      </c>
    </row>
    <row r="68">
      <c r="A68" s="1"/>
      <c r="B68" s="26" t="s">
        <v>171</v>
      </c>
      <c r="C68" s="109" t="s">
        <v>89</v>
      </c>
      <c r="D68" s="109" t="s">
        <v>89</v>
      </c>
      <c r="E68" s="109" t="s">
        <v>89</v>
      </c>
      <c r="F68" s="109" t="s">
        <v>89</v>
      </c>
      <c r="G68" s="109" t="s">
        <v>89</v>
      </c>
      <c r="H68" s="109" t="s">
        <v>89</v>
      </c>
      <c r="I68" s="109" t="s">
        <v>89</v>
      </c>
      <c r="J68" s="112">
        <v>0.03</v>
      </c>
      <c r="K68" s="1" t="s">
        <v>286</v>
      </c>
    </row>
    <row r="69">
      <c r="A69" s="1"/>
      <c r="B69" s="26" t="s">
        <v>91</v>
      </c>
      <c r="C69" s="58" t="s">
        <v>89</v>
      </c>
      <c r="D69" s="58" t="s">
        <v>89</v>
      </c>
      <c r="E69" s="58" t="s">
        <v>89</v>
      </c>
      <c r="F69" s="58" t="s">
        <v>89</v>
      </c>
      <c r="G69" s="58" t="s">
        <v>89</v>
      </c>
      <c r="H69" s="58" t="s">
        <v>89</v>
      </c>
      <c r="I69" s="58" t="s">
        <v>89</v>
      </c>
      <c r="J69" s="60">
        <f>J67*J68</f>
        <v>13.32</v>
      </c>
      <c r="K69" s="1" t="s">
        <v>92</v>
      </c>
    </row>
    <row r="70">
      <c r="A70" s="1"/>
      <c r="B70" s="26" t="s">
        <v>173</v>
      </c>
      <c r="C70" s="58" t="s">
        <v>89</v>
      </c>
      <c r="D70" s="58" t="s">
        <v>89</v>
      </c>
      <c r="E70" s="58" t="s">
        <v>89</v>
      </c>
      <c r="F70" s="58" t="s">
        <v>89</v>
      </c>
      <c r="G70" s="58" t="s">
        <v>89</v>
      </c>
      <c r="H70" s="58" t="s">
        <v>89</v>
      </c>
      <c r="I70" s="58" t="s">
        <v>89</v>
      </c>
      <c r="J70" s="75">
        <v>0</v>
      </c>
      <c r="K70" s="1" t="s">
        <v>174</v>
      </c>
    </row>
    <row r="71">
      <c r="A71" s="1"/>
      <c r="B71" s="26" t="s">
        <v>175</v>
      </c>
      <c r="C71" s="109" t="s">
        <v>89</v>
      </c>
      <c r="D71" s="109" t="s">
        <v>89</v>
      </c>
      <c r="E71" s="109" t="s">
        <v>89</v>
      </c>
      <c r="F71" s="109" t="s">
        <v>89</v>
      </c>
      <c r="G71" s="109" t="s">
        <v>89</v>
      </c>
      <c r="H71" s="109" t="s">
        <v>89</v>
      </c>
      <c r="I71" s="109" t="s">
        <v>89</v>
      </c>
      <c r="J71" s="108">
        <f>J70/J67</f>
        <v>0</v>
      </c>
      <c r="K71" s="1" t="s">
        <v>176</v>
      </c>
    </row>
    <row r="72">
      <c r="A72" s="1"/>
      <c r="B72" s="26" t="s">
        <v>95</v>
      </c>
      <c r="C72" s="109" t="s">
        <v>89</v>
      </c>
      <c r="D72" s="109" t="s">
        <v>89</v>
      </c>
      <c r="E72" s="109" t="s">
        <v>89</v>
      </c>
      <c r="F72" s="109" t="s">
        <v>89</v>
      </c>
      <c r="G72" s="109" t="s">
        <v>89</v>
      </c>
      <c r="H72" s="109" t="s">
        <v>89</v>
      </c>
      <c r="I72" s="109" t="s">
        <v>89</v>
      </c>
      <c r="J72" s="113">
        <f>'Revenue summary'!J64</f>
        <v>-0.005</v>
      </c>
      <c r="K72" s="1" t="s">
        <v>177</v>
      </c>
    </row>
    <row r="73">
      <c r="A73" s="1"/>
      <c r="B73" s="26" t="s">
        <v>96</v>
      </c>
      <c r="C73" s="58" t="s">
        <v>89</v>
      </c>
      <c r="D73" s="58" t="s">
        <v>89</v>
      </c>
      <c r="E73" s="58" t="s">
        <v>89</v>
      </c>
      <c r="F73" s="58" t="s">
        <v>89</v>
      </c>
      <c r="G73" s="58" t="s">
        <v>89</v>
      </c>
      <c r="H73" s="58" t="s">
        <v>89</v>
      </c>
      <c r="I73" s="58" t="s">
        <v>89</v>
      </c>
      <c r="J73" s="60">
        <f>(J67+J69+J70)*J72</f>
        <v>-2.2866</v>
      </c>
      <c r="K73" s="1"/>
    </row>
    <row r="74">
      <c r="A74" s="1"/>
      <c r="B74" s="26" t="s">
        <v>178</v>
      </c>
      <c r="C74" s="109" t="s">
        <v>89</v>
      </c>
      <c r="D74" s="109" t="s">
        <v>89</v>
      </c>
      <c r="E74" s="109" t="s">
        <v>89</v>
      </c>
      <c r="F74" s="109" t="s">
        <v>89</v>
      </c>
      <c r="G74" s="109" t="s">
        <v>89</v>
      </c>
      <c r="H74" s="109" t="s">
        <v>89</v>
      </c>
      <c r="I74" s="109" t="s">
        <v>89</v>
      </c>
      <c r="J74" s="108">
        <f>(1+J64)/((1+J71)*(1+J72))-1</f>
        <v>0.030000000000000027</v>
      </c>
      <c r="K74" s="1" t="s">
        <v>179</v>
      </c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>
      <c r="A76" s="1"/>
      <c r="B76" s="1" t="s">
        <v>287</v>
      </c>
      <c r="C76" s="23">
        <v>-72</v>
      </c>
      <c r="D76" s="23">
        <v>-65</v>
      </c>
      <c r="E76" s="23">
        <v>-70</v>
      </c>
      <c r="F76" s="3">
        <f>G76-C76-D76-E76</f>
        <v>-68</v>
      </c>
      <c r="G76" s="23">
        <v>-275</v>
      </c>
      <c r="H76" s="23">
        <v>-71</v>
      </c>
      <c r="I76" s="23">
        <v>-75</v>
      </c>
      <c r="J76" s="8">
        <f>J80+J82+J83+J86</f>
        <v>-61.7895</v>
      </c>
      <c r="K76" s="1" t="s">
        <v>288</v>
      </c>
    </row>
    <row r="77">
      <c r="A77" s="1"/>
      <c r="B77" s="26" t="s">
        <v>75</v>
      </c>
      <c r="C77" s="103">
        <f>IF(ABS(C80)&lt;10,"n/m",C76/C80-1)</f>
        <v>0.1428571428571428</v>
      </c>
      <c r="D77" s="103">
        <f>IF(ABS(D80)&lt;10,"n/m",D76/D80-1)</f>
        <v>0.048387096774193505</v>
      </c>
      <c r="E77" s="103">
        <f>IF(ABS(E80)&lt;10,"n/m",E76/E80-1)</f>
        <v>-0.06666666666666665</v>
      </c>
      <c r="F77" s="103">
        <f>IF(ABS(F80)&lt;10,"n/m",F76/F80-1)</f>
        <v>0.030303030303030276</v>
      </c>
      <c r="G77" s="103">
        <f>IF(ABS(G80)&lt;10,"n/m",G76/G80-1)</f>
        <v>0.03383458646616533</v>
      </c>
      <c r="H77" s="103">
        <f>IF(ABS(H80)&lt;10,"n/m",H76/H80-1)</f>
        <v>-0.01388888888888884</v>
      </c>
      <c r="I77" s="103">
        <f>IF(ABS(I80)&lt;10,"n/m",I76/I80-1)</f>
        <v>0.15384615384615374</v>
      </c>
      <c r="J77" s="108">
        <f>IF(ABS(J80)&lt;10,"n/m",J76/J80-1)</f>
        <v>-0.1172928571428572</v>
      </c>
      <c r="K77" s="1"/>
    </row>
    <row r="78">
      <c r="A78" s="1"/>
      <c r="B78" s="26" t="s">
        <v>85</v>
      </c>
      <c r="C78" s="21">
        <f>C76-F80</f>
        <v>-6</v>
      </c>
      <c r="D78" s="21">
        <f>D76-C76</f>
        <v>7</v>
      </c>
      <c r="E78" s="21">
        <f>E76-D76</f>
        <v>-5</v>
      </c>
      <c r="F78" s="21">
        <f>F76-E76</f>
        <v>2</v>
      </c>
      <c r="G78" s="1"/>
      <c r="H78" s="21">
        <f>H76-F76</f>
        <v>-3</v>
      </c>
      <c r="I78" s="21">
        <f>I76-H76</f>
        <v>-4</v>
      </c>
      <c r="J78" s="60">
        <f>J76-I76</f>
        <v>13.210500000000003</v>
      </c>
      <c r="K78" s="1" t="s">
        <v>167</v>
      </c>
    </row>
    <row r="79">
      <c r="A79" s="1"/>
      <c r="B79" s="26" t="s">
        <v>273</v>
      </c>
      <c r="C79" s="103">
        <f>C76/C91</f>
        <v>-0.0627177700348432</v>
      </c>
      <c r="D79" s="103">
        <f>D76/D91</f>
        <v>-0.05731922398589065</v>
      </c>
      <c r="E79" s="103">
        <f>E76/E91</f>
        <v>-0.059625212947189095</v>
      </c>
      <c r="F79" s="103">
        <f>F76/F91</f>
        <v>-0.05573770491803279</v>
      </c>
      <c r="G79" s="103">
        <f>G76/G91</f>
        <v>-0.0588109495295124</v>
      </c>
      <c r="H79" s="103">
        <f>H76/H91</f>
        <v>-0.06217162872154115</v>
      </c>
      <c r="I79" s="103">
        <f>I76/I91</f>
        <v>-0.06224066390041494</v>
      </c>
      <c r="J79" s="108">
        <f>J76/J91</f>
        <v>-0.05427193011520216</v>
      </c>
      <c r="K79" s="1" t="s">
        <v>274</v>
      </c>
    </row>
    <row r="80">
      <c r="A80" s="1"/>
      <c r="B80" s="1" t="s">
        <v>144</v>
      </c>
      <c r="C80" s="23">
        <v>-63</v>
      </c>
      <c r="D80" s="23">
        <v>-62</v>
      </c>
      <c r="E80" s="23">
        <v>-75</v>
      </c>
      <c r="F80" s="3">
        <f>G80-C80-D80-E80</f>
        <v>-66</v>
      </c>
      <c r="G80" s="23">
        <v>-266</v>
      </c>
      <c r="H80" s="3">
        <f>C76</f>
        <v>-72</v>
      </c>
      <c r="I80" s="3">
        <f>D76</f>
        <v>-65</v>
      </c>
      <c r="J80" s="8">
        <f>E76</f>
        <v>-70</v>
      </c>
      <c r="K80" s="1" t="s">
        <v>170</v>
      </c>
    </row>
    <row r="81">
      <c r="A81" s="1"/>
      <c r="B81" s="26" t="s">
        <v>171</v>
      </c>
      <c r="C81" s="109" t="s">
        <v>89</v>
      </c>
      <c r="D81" s="109" t="s">
        <v>89</v>
      </c>
      <c r="E81" s="109" t="s">
        <v>89</v>
      </c>
      <c r="F81" s="109" t="s">
        <v>89</v>
      </c>
      <c r="G81" s="109" t="s">
        <v>89</v>
      </c>
      <c r="H81" s="109" t="s">
        <v>89</v>
      </c>
      <c r="I81" s="109" t="s">
        <v>89</v>
      </c>
      <c r="J81" s="112">
        <v>0.03</v>
      </c>
      <c r="K81" s="1" t="s">
        <v>289</v>
      </c>
    </row>
    <row r="82">
      <c r="A82" s="1"/>
      <c r="B82" s="26" t="s">
        <v>91</v>
      </c>
      <c r="C82" s="58" t="s">
        <v>89</v>
      </c>
      <c r="D82" s="58" t="s">
        <v>89</v>
      </c>
      <c r="E82" s="58" t="s">
        <v>89</v>
      </c>
      <c r="F82" s="58" t="s">
        <v>89</v>
      </c>
      <c r="G82" s="58" t="s">
        <v>89</v>
      </c>
      <c r="H82" s="58" t="s">
        <v>89</v>
      </c>
      <c r="I82" s="58" t="s">
        <v>89</v>
      </c>
      <c r="J82" s="60">
        <f>J80*J81</f>
        <v>-2.1</v>
      </c>
      <c r="K82" s="1" t="s">
        <v>92</v>
      </c>
    </row>
    <row r="83">
      <c r="A83" s="1"/>
      <c r="B83" s="26" t="s">
        <v>173</v>
      </c>
      <c r="C83" s="58" t="s">
        <v>89</v>
      </c>
      <c r="D83" s="58" t="s">
        <v>89</v>
      </c>
      <c r="E83" s="58" t="s">
        <v>89</v>
      </c>
      <c r="F83" s="58" t="s">
        <v>89</v>
      </c>
      <c r="G83" s="58" t="s">
        <v>89</v>
      </c>
      <c r="H83" s="58" t="s">
        <v>89</v>
      </c>
      <c r="I83" s="58" t="s">
        <v>89</v>
      </c>
      <c r="J83" s="75">
        <v>10</v>
      </c>
      <c r="K83" s="1" t="s">
        <v>290</v>
      </c>
    </row>
    <row r="84">
      <c r="A84" s="1"/>
      <c r="B84" s="26" t="s">
        <v>175</v>
      </c>
      <c r="C84" s="109" t="s">
        <v>89</v>
      </c>
      <c r="D84" s="109" t="s">
        <v>89</v>
      </c>
      <c r="E84" s="109" t="s">
        <v>89</v>
      </c>
      <c r="F84" s="109" t="s">
        <v>89</v>
      </c>
      <c r="G84" s="109" t="s">
        <v>89</v>
      </c>
      <c r="H84" s="109" t="s">
        <v>89</v>
      </c>
      <c r="I84" s="109" t="s">
        <v>89</v>
      </c>
      <c r="J84" s="108">
        <f>J83/J80</f>
        <v>-0.14285714285714285</v>
      </c>
      <c r="K84" s="1" t="s">
        <v>176</v>
      </c>
    </row>
    <row r="85">
      <c r="A85" s="1"/>
      <c r="B85" s="26" t="s">
        <v>95</v>
      </c>
      <c r="C85" s="109" t="s">
        <v>89</v>
      </c>
      <c r="D85" s="109" t="s">
        <v>89</v>
      </c>
      <c r="E85" s="109" t="s">
        <v>89</v>
      </c>
      <c r="F85" s="109" t="s">
        <v>89</v>
      </c>
      <c r="G85" s="109" t="s">
        <v>89</v>
      </c>
      <c r="H85" s="109" t="s">
        <v>89</v>
      </c>
      <c r="I85" s="109" t="s">
        <v>89</v>
      </c>
      <c r="J85" s="113">
        <f>'Revenue summary'!J64</f>
        <v>-0.005</v>
      </c>
      <c r="K85" s="1" t="s">
        <v>177</v>
      </c>
    </row>
    <row r="86">
      <c r="A86" s="1"/>
      <c r="B86" s="26" t="s">
        <v>96</v>
      </c>
      <c r="C86" s="58" t="s">
        <v>89</v>
      </c>
      <c r="D86" s="58" t="s">
        <v>89</v>
      </c>
      <c r="E86" s="58" t="s">
        <v>89</v>
      </c>
      <c r="F86" s="58" t="s">
        <v>89</v>
      </c>
      <c r="G86" s="58" t="s">
        <v>89</v>
      </c>
      <c r="H86" s="58" t="s">
        <v>89</v>
      </c>
      <c r="I86" s="58" t="s">
        <v>89</v>
      </c>
      <c r="J86" s="60">
        <f>(J80+J82+J83)*J85</f>
        <v>0.3105</v>
      </c>
      <c r="K86" s="1"/>
    </row>
    <row r="87">
      <c r="A87" s="1"/>
      <c r="B87" s="26" t="s">
        <v>178</v>
      </c>
      <c r="C87" s="109" t="s">
        <v>89</v>
      </c>
      <c r="D87" s="109" t="s">
        <v>89</v>
      </c>
      <c r="E87" s="109" t="s">
        <v>89</v>
      </c>
      <c r="F87" s="109" t="s">
        <v>89</v>
      </c>
      <c r="G87" s="109" t="s">
        <v>89</v>
      </c>
      <c r="H87" s="109" t="s">
        <v>89</v>
      </c>
      <c r="I87" s="109" t="s">
        <v>89</v>
      </c>
      <c r="J87" s="108">
        <f>(1+J77)/((1+J84)*(1+J85))-1</f>
        <v>0.03499999999999992</v>
      </c>
      <c r="K87" s="1" t="s">
        <v>179</v>
      </c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>
      <c r="A89" s="1"/>
      <c r="B89" s="33" t="s">
        <v>189</v>
      </c>
      <c r="C89" s="55">
        <f>C11+C24+C37+C50+C63+C76</f>
        <v>1147</v>
      </c>
      <c r="D89" s="55">
        <f>D11+D24+D37+D50+D63+D76</f>
        <v>1135</v>
      </c>
      <c r="E89" s="55">
        <f>E11+E24+E37+E50+E63+E76</f>
        <v>1174</v>
      </c>
      <c r="F89" s="55">
        <f>F11+F24+F37+F50+F63+F76</f>
        <v>1221</v>
      </c>
      <c r="G89" s="55">
        <f>G11+G24+G37+G50+G63+G76</f>
        <v>4677</v>
      </c>
      <c r="H89" s="55">
        <f>H11+H24+H37+H50+H63+H76</f>
        <v>1141</v>
      </c>
      <c r="I89" s="55">
        <f>I11+I24+I37+I50+I63+I76</f>
        <v>1205</v>
      </c>
      <c r="J89" s="53">
        <f>J11+J24+J37+J50+J63+J76</f>
        <v>1138.5167225274724</v>
      </c>
      <c r="K89" s="1"/>
    </row>
    <row r="90">
      <c r="A90" s="1"/>
      <c r="B90" s="26" t="s">
        <v>190</v>
      </c>
      <c r="C90" s="21">
        <f>C91-C89</f>
        <v>1</v>
      </c>
      <c r="D90" s="21">
        <f>D91-D89</f>
        <v>-1</v>
      </c>
      <c r="E90" s="21">
        <f>E91-E89</f>
        <v>0</v>
      </c>
      <c r="F90" s="21">
        <f>F91-F89</f>
        <v>-1</v>
      </c>
      <c r="G90" s="21">
        <f>G91-G89</f>
        <v>-1</v>
      </c>
      <c r="H90" s="21">
        <f>H91-H89</f>
        <v>1</v>
      </c>
      <c r="I90" s="21">
        <f>I91-I89</f>
        <v>0</v>
      </c>
      <c r="J90" s="60">
        <f>J91-J89</f>
        <v>0</v>
      </c>
      <c r="K90" s="1" t="s">
        <v>191</v>
      </c>
    </row>
    <row r="91">
      <c r="A91" s="1"/>
      <c r="B91" s="33" t="s">
        <v>291</v>
      </c>
      <c r="C91" s="12">
        <v>1148</v>
      </c>
      <c r="D91" s="12">
        <v>1134</v>
      </c>
      <c r="E91" s="12">
        <v>1174</v>
      </c>
      <c r="F91" s="12">
        <v>1220</v>
      </c>
      <c r="G91" s="55">
        <f>SUM(C91:F91)</f>
        <v>4676</v>
      </c>
      <c r="H91" s="12">
        <v>1142</v>
      </c>
      <c r="I91" s="12">
        <v>1205</v>
      </c>
      <c r="J91" s="53">
        <f>J89</f>
        <v>1138.5167225274724</v>
      </c>
      <c r="K91" s="1" t="s">
        <v>292</v>
      </c>
    </row>
    <row r="92">
      <c r="A92" s="1"/>
      <c r="B92" s="26" t="s">
        <v>75</v>
      </c>
      <c r="C92" s="103">
        <f>C91/C96-1</f>
        <v>0.035166816952209246</v>
      </c>
      <c r="D92" s="103">
        <f>D91/D96-1</f>
        <v>0.015219337511190645</v>
      </c>
      <c r="E92" s="103">
        <f>E91/E96-1</f>
        <v>0.039858281665190454</v>
      </c>
      <c r="F92" s="103">
        <f>F91/F96-1</f>
        <v>0.054451166810717266</v>
      </c>
      <c r="G92" s="103">
        <f>G91/G96-1</f>
        <v>0.03634751773049638</v>
      </c>
      <c r="H92" s="103">
        <f>H91/H96-1</f>
        <v>-0.005226480836236891</v>
      </c>
      <c r="I92" s="103">
        <f>I91/I96-1</f>
        <v>0.06261022927689597</v>
      </c>
      <c r="J92" s="108">
        <f>J91/J96-1</f>
        <v>-0.030224256790909343</v>
      </c>
      <c r="K92" s="1"/>
    </row>
    <row r="93">
      <c r="A93" s="1"/>
      <c r="B93" s="26" t="s">
        <v>85</v>
      </c>
      <c r="C93" s="21">
        <f>C91-F96</f>
        <v>-9</v>
      </c>
      <c r="D93" s="21">
        <f>D91-C91</f>
        <v>-14</v>
      </c>
      <c r="E93" s="21">
        <f>E91-D91</f>
        <v>40</v>
      </c>
      <c r="F93" s="21">
        <f>F91-E91</f>
        <v>46</v>
      </c>
      <c r="G93" s="1"/>
      <c r="H93" s="21">
        <f>H91-F91</f>
        <v>-78</v>
      </c>
      <c r="I93" s="21">
        <f>I91-H91</f>
        <v>63</v>
      </c>
      <c r="J93" s="60">
        <f>J91-I91</f>
        <v>-66.48327747252756</v>
      </c>
      <c r="K93" s="1"/>
    </row>
    <row r="94">
      <c r="A94" s="1"/>
      <c r="B94" s="26" t="s">
        <v>76</v>
      </c>
      <c r="C94" s="103">
        <f>C91/F96-1</f>
        <v>-0.007778738115816752</v>
      </c>
      <c r="D94" s="103">
        <f>D91/C91-1</f>
        <v>-0.012195121951219523</v>
      </c>
      <c r="E94" s="103">
        <f>E91/D91-1</f>
        <v>0.03527336860670194</v>
      </c>
      <c r="F94" s="103">
        <f>F91/E91-1</f>
        <v>0.03918228279386704</v>
      </c>
      <c r="G94" s="1"/>
      <c r="H94" s="103">
        <f>H91/F91-1</f>
        <v>-0.06393442622950818</v>
      </c>
      <c r="I94" s="103">
        <f>I91/H91-1</f>
        <v>0.05516637478108577</v>
      </c>
      <c r="J94" s="108">
        <f>J91/I91-1</f>
        <v>-0.055172844375541596</v>
      </c>
      <c r="K94" s="1"/>
    </row>
    <row r="95">
      <c r="A95" s="1"/>
      <c r="B95" s="26" t="s">
        <v>194</v>
      </c>
      <c r="C95" s="106">
        <f>C91/'Revenue summary'!C48</f>
        <v>0.11076804322655345</v>
      </c>
      <c r="D95" s="106">
        <f>D91/'Revenue summary'!D48</f>
        <v>0.10446798710271764</v>
      </c>
      <c r="E95" s="106">
        <f>E91/'Revenue summary'!E48</f>
        <v>0.10555655457651501</v>
      </c>
      <c r="F95" s="106">
        <f>F91/'Revenue summary'!F48</f>
        <v>0.09987720016373311</v>
      </c>
      <c r="G95" s="106">
        <f>G91/'Revenue summary'!G48</f>
        <v>0.10494658407397432</v>
      </c>
      <c r="H95" s="106">
        <f>H91/'Revenue summary'!H48</f>
        <v>0.10377101317582917</v>
      </c>
      <c r="I95" s="106">
        <f>I91/'Revenue summary'!I48</f>
        <v>0.10046690011672503</v>
      </c>
      <c r="J95" s="113">
        <f>J91/'Revenue summary'!J48</f>
        <v>0.09514710312803344</v>
      </c>
      <c r="K95" s="1"/>
    </row>
    <row r="96">
      <c r="A96" s="1"/>
      <c r="B96" s="1" t="s">
        <v>195</v>
      </c>
      <c r="C96" s="23">
        <v>1109</v>
      </c>
      <c r="D96" s="23">
        <v>1117</v>
      </c>
      <c r="E96" s="23">
        <v>1129</v>
      </c>
      <c r="F96" s="23">
        <v>1157</v>
      </c>
      <c r="G96" s="23">
        <v>4512</v>
      </c>
      <c r="H96" s="3">
        <f>C91</f>
        <v>1148</v>
      </c>
      <c r="I96" s="3">
        <f>D91</f>
        <v>1134</v>
      </c>
      <c r="J96" s="8">
        <f>E91</f>
        <v>1174</v>
      </c>
      <c r="K96" s="1" t="s">
        <v>196</v>
      </c>
    </row>
    <row r="97">
      <c r="A97" s="1"/>
      <c r="B97" s="1" t="s">
        <v>197</v>
      </c>
      <c r="C97" s="40" t="b">
        <f>ABS(C90)&lt;=2</f>
        <v>1</v>
      </c>
      <c r="D97" s="40" t="b">
        <f>ABS(D90)&lt;=2</f>
        <v>1</v>
      </c>
      <c r="E97" s="40" t="b">
        <f>ABS(E90)&lt;=2</f>
        <v>1</v>
      </c>
      <c r="F97" s="40" t="b">
        <f>ABS(F90)&lt;=2</f>
        <v>1</v>
      </c>
      <c r="G97" s="40" t="b">
        <f>ABS(G90)&lt;=2</f>
        <v>1</v>
      </c>
      <c r="H97" s="40" t="b">
        <f>ABS(H90)&lt;=2</f>
        <v>1</v>
      </c>
      <c r="I97" s="40" t="b">
        <f>ABS(I90)&lt;=2</f>
        <v>1</v>
      </c>
      <c r="J97" s="76" t="b">
        <f>ABS(J90)&lt;=2</f>
        <v>1</v>
      </c>
      <c r="K97" s="1" t="s">
        <v>198</v>
      </c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>
      <c r="A99" s="1"/>
      <c r="B99" s="13" t="s">
        <v>199</v>
      </c>
      <c r="C99" s="1"/>
      <c r="D99" s="1"/>
      <c r="E99" s="1"/>
      <c r="F99" s="1"/>
      <c r="G99" s="1"/>
      <c r="H99" s="1"/>
      <c r="I99" s="1"/>
      <c r="J99" s="1"/>
      <c r="K99" s="1"/>
    </row>
    <row r="100">
      <c r="A100" s="1"/>
      <c r="B100" s="26" t="s">
        <v>200</v>
      </c>
      <c r="C100" s="58" t="s">
        <v>89</v>
      </c>
      <c r="D100" s="58" t="s">
        <v>89</v>
      </c>
      <c r="E100" s="58" t="s">
        <v>89</v>
      </c>
      <c r="F100" s="58" t="s">
        <v>89</v>
      </c>
      <c r="G100" s="58" t="s">
        <v>89</v>
      </c>
      <c r="H100" s="58" t="s">
        <v>89</v>
      </c>
      <c r="I100" s="58" t="s">
        <v>89</v>
      </c>
      <c r="J100" s="60">
        <f>J17+J30+J43+J56+J69+J82</f>
        <v>41.95</v>
      </c>
      <c r="K100" s="1" t="s">
        <v>201</v>
      </c>
    </row>
    <row r="101">
      <c r="A101" s="1"/>
      <c r="B101" s="26" t="s">
        <v>202</v>
      </c>
      <c r="C101" s="58" t="s">
        <v>89</v>
      </c>
      <c r="D101" s="58" t="s">
        <v>89</v>
      </c>
      <c r="E101" s="58" t="s">
        <v>89</v>
      </c>
      <c r="F101" s="58" t="s">
        <v>89</v>
      </c>
      <c r="G101" s="58" t="s">
        <v>89</v>
      </c>
      <c r="H101" s="58" t="s">
        <v>89</v>
      </c>
      <c r="I101" s="58" t="s">
        <v>89</v>
      </c>
      <c r="J101" s="60">
        <f>J18+J31+J44+J57+J70+J83</f>
        <v>-71.71208791208791</v>
      </c>
      <c r="K101" s="1" t="s">
        <v>203</v>
      </c>
    </row>
    <row r="102">
      <c r="A102" s="1"/>
      <c r="B102" s="26" t="s">
        <v>204</v>
      </c>
      <c r="C102" s="58" t="s">
        <v>89</v>
      </c>
      <c r="D102" s="58" t="s">
        <v>89</v>
      </c>
      <c r="E102" s="58" t="s">
        <v>89</v>
      </c>
      <c r="F102" s="58" t="s">
        <v>89</v>
      </c>
      <c r="G102" s="58" t="s">
        <v>89</v>
      </c>
      <c r="H102" s="58" t="s">
        <v>89</v>
      </c>
      <c r="I102" s="58" t="s">
        <v>89</v>
      </c>
      <c r="J102" s="60">
        <f>J21+J34+J47+J60+J73+J86</f>
        <v>-5.72118956043956</v>
      </c>
      <c r="K102" s="1"/>
    </row>
    <row r="103">
      <c r="A103" s="1"/>
      <c r="B103" s="26" t="s">
        <v>119</v>
      </c>
      <c r="C103" s="109">
        <v>0.03</v>
      </c>
      <c r="D103" s="109">
        <v>0.02</v>
      </c>
      <c r="E103" s="109">
        <v>0.04</v>
      </c>
      <c r="F103" s="109">
        <v>0.05</v>
      </c>
      <c r="G103" s="109">
        <v>0.04</v>
      </c>
      <c r="H103" s="109">
        <v>-0.01</v>
      </c>
      <c r="I103" s="109">
        <v>0.06</v>
      </c>
      <c r="J103" s="108">
        <f>J92</f>
        <v>-0.030224256790909343</v>
      </c>
      <c r="K103" s="1" t="s">
        <v>120</v>
      </c>
    </row>
    <row r="104">
      <c r="A104" s="1"/>
      <c r="B104" s="26" t="s">
        <v>121</v>
      </c>
      <c r="C104" s="109">
        <v>0</v>
      </c>
      <c r="D104" s="109">
        <v>0</v>
      </c>
      <c r="E104" s="109">
        <v>0</v>
      </c>
      <c r="F104" s="109" t="s">
        <v>89</v>
      </c>
      <c r="G104" s="109">
        <v>0</v>
      </c>
      <c r="H104" s="109">
        <v>0</v>
      </c>
      <c r="I104" s="109">
        <v>0</v>
      </c>
      <c r="J104" s="108">
        <f>J101/J96</f>
        <v>-0.061083550180654096</v>
      </c>
      <c r="K104" s="1" t="s">
        <v>205</v>
      </c>
    </row>
    <row r="105">
      <c r="A105" s="1"/>
      <c r="B105" s="26" t="s">
        <v>123</v>
      </c>
      <c r="C105" s="109">
        <v>-0.01</v>
      </c>
      <c r="D105" s="109">
        <v>0.01</v>
      </c>
      <c r="E105" s="109">
        <v>0.02</v>
      </c>
      <c r="F105" s="109" t="s">
        <v>89</v>
      </c>
      <c r="G105" s="109">
        <v>0.01</v>
      </c>
      <c r="H105" s="109">
        <v>0.03</v>
      </c>
      <c r="I105" s="109">
        <v>0.01</v>
      </c>
      <c r="J105" s="108">
        <f>J102/J96</f>
        <v>-0.0048732449407491996</v>
      </c>
      <c r="K105" s="1" t="s">
        <v>124</v>
      </c>
    </row>
    <row r="106">
      <c r="A106" s="1"/>
      <c r="B106" s="26" t="s">
        <v>125</v>
      </c>
      <c r="C106" s="109">
        <v>0.04</v>
      </c>
      <c r="D106" s="109">
        <v>0</v>
      </c>
      <c r="E106" s="109">
        <v>0.02</v>
      </c>
      <c r="F106" s="109">
        <v>0.03</v>
      </c>
      <c r="G106" s="109">
        <v>0.02</v>
      </c>
      <c r="H106" s="109">
        <v>-0.03</v>
      </c>
      <c r="I106" s="109">
        <v>0.05</v>
      </c>
      <c r="J106" s="108">
        <f>J107</f>
        <v>0.037924984326227484</v>
      </c>
      <c r="K106" s="1" t="s">
        <v>206</v>
      </c>
    </row>
    <row r="107">
      <c r="A107" s="1"/>
      <c r="B107" s="26" t="s">
        <v>127</v>
      </c>
      <c r="C107" s="103">
        <f>(1+C92)/((1+C104)*(1+C105))-1</f>
        <v>0.04562304742647405</v>
      </c>
      <c r="D107" s="103">
        <f>(1+D92)/((1+D104)*(1+D105))-1</f>
        <v>0.0051676609021689135</v>
      </c>
      <c r="E107" s="103">
        <f>(1+E92)/((1+E104)*(1+E105))-1</f>
        <v>0.019468903593323983</v>
      </c>
      <c r="F107" s="109" t="s">
        <v>89</v>
      </c>
      <c r="G107" s="103">
        <f>(1+G92)/((1+G104)*(1+G105))-1</f>
        <v>0.026086651218313328</v>
      </c>
      <c r="H107" s="103">
        <f>(1+H92)/((1+H104)*(1+H105))-1</f>
        <v>-0.03420046683129796</v>
      </c>
      <c r="I107" s="103">
        <f>(1+I92)/((1+I104)*(1+I105))-1</f>
        <v>0.052089335917718804</v>
      </c>
      <c r="J107" s="108">
        <f>(1+J92)/((1+J104)*(1+J105))-1</f>
        <v>0.037924984326227484</v>
      </c>
      <c r="K107" s="1" t="s">
        <v>207</v>
      </c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>
      <c r="A109" s="1"/>
      <c r="B109" s="13" t="s">
        <v>208</v>
      </c>
      <c r="C109" s="1"/>
      <c r="D109" s="1"/>
      <c r="E109" s="1"/>
      <c r="F109" s="1"/>
      <c r="G109" s="1"/>
      <c r="H109" s="1"/>
      <c r="I109" s="1"/>
      <c r="J109" s="1"/>
      <c r="K109" s="1"/>
    </row>
    <row r="110">
      <c r="A110" s="1"/>
      <c r="B110" s="33" t="s">
        <v>293</v>
      </c>
      <c r="C110" s="12">
        <v>304</v>
      </c>
      <c r="D110" s="12">
        <v>306</v>
      </c>
      <c r="E110" s="12">
        <v>321</v>
      </c>
      <c r="F110" s="12">
        <v>324</v>
      </c>
      <c r="G110" s="55">
        <f>SUM(C110:F110)</f>
        <v>1255</v>
      </c>
      <c r="H110" s="12">
        <v>313</v>
      </c>
      <c r="I110" s="12">
        <v>334</v>
      </c>
      <c r="J110" s="53">
        <f>J91*J119</f>
        <v>318.7846823076923</v>
      </c>
      <c r="K110" s="1" t="s">
        <v>294</v>
      </c>
    </row>
    <row r="111">
      <c r="A111" s="1"/>
      <c r="B111" s="26" t="s">
        <v>75</v>
      </c>
      <c r="C111" s="103">
        <f>C110/C113-1</f>
        <v>0.03401360544217691</v>
      </c>
      <c r="D111" s="103">
        <f>D110/D113-1</f>
        <v>0.02341137123745818</v>
      </c>
      <c r="E111" s="103">
        <f>E110/E113-1</f>
        <v>0.0955631399317407</v>
      </c>
      <c r="F111" s="103">
        <f>F110/F113-1</f>
        <v>0.18681318681318682</v>
      </c>
      <c r="G111" s="103">
        <f>G110/G113-1</f>
        <v>0.08283002588438304</v>
      </c>
      <c r="H111" s="103">
        <f>H110/H113-1</f>
        <v>0.02960526315789469</v>
      </c>
      <c r="I111" s="103">
        <f>I110/I113-1</f>
        <v>0.0915032679738561</v>
      </c>
      <c r="J111" s="108">
        <f>J110/J113-1</f>
        <v>-0.006901301222142275</v>
      </c>
      <c r="K111" s="1"/>
    </row>
    <row r="112">
      <c r="A112" s="1"/>
      <c r="B112" s="26" t="s">
        <v>85</v>
      </c>
      <c r="C112" s="21">
        <f>C110-F113</f>
        <v>31</v>
      </c>
      <c r="D112" s="21">
        <f>D110-C110</f>
        <v>2</v>
      </c>
      <c r="E112" s="21">
        <f>E110-D110</f>
        <v>15</v>
      </c>
      <c r="F112" s="21">
        <f>F110-E110</f>
        <v>3</v>
      </c>
      <c r="G112" s="1"/>
      <c r="H112" s="21">
        <f>H110-F110</f>
        <v>-11</v>
      </c>
      <c r="I112" s="21">
        <f>I110-H110</f>
        <v>21</v>
      </c>
      <c r="J112" s="60">
        <f>J110-I110</f>
        <v>-15.215317692307678</v>
      </c>
      <c r="K112" s="1"/>
    </row>
    <row r="113">
      <c r="A113" s="1"/>
      <c r="B113" s="1" t="s">
        <v>211</v>
      </c>
      <c r="C113" s="23">
        <v>294</v>
      </c>
      <c r="D113" s="23">
        <v>299</v>
      </c>
      <c r="E113" s="23">
        <v>293</v>
      </c>
      <c r="F113" s="23">
        <v>273</v>
      </c>
      <c r="G113" s="23">
        <v>1159</v>
      </c>
      <c r="H113" s="3">
        <f>C110</f>
        <v>304</v>
      </c>
      <c r="I113" s="3">
        <f>D110</f>
        <v>306</v>
      </c>
      <c r="J113" s="8">
        <f>E110</f>
        <v>321</v>
      </c>
      <c r="K113" s="1" t="s">
        <v>212</v>
      </c>
    </row>
    <row r="114">
      <c r="A114" s="1"/>
      <c r="B114" s="26" t="s">
        <v>213</v>
      </c>
      <c r="C114" s="103">
        <f>C110/C91</f>
        <v>0.26480836236933797</v>
      </c>
      <c r="D114" s="103">
        <f>D110/D91</f>
        <v>0.2698412698412698</v>
      </c>
      <c r="E114" s="103">
        <f>E110/E91</f>
        <v>0.2734241908006814</v>
      </c>
      <c r="F114" s="103">
        <f>F110/F91</f>
        <v>0.26557377049180325</v>
      </c>
      <c r="G114" s="103">
        <f>G110/G91</f>
        <v>0.2683917878528657</v>
      </c>
      <c r="H114" s="103">
        <f>H110/H91</f>
        <v>0.27408056042031526</v>
      </c>
      <c r="I114" s="103">
        <f>I110/I91</f>
        <v>0.27717842323651454</v>
      </c>
      <c r="J114" s="108">
        <f>J110/J91</f>
        <v>0.28</v>
      </c>
      <c r="K114" s="1"/>
    </row>
    <row r="115">
      <c r="A115" s="1"/>
      <c r="B115" s="26" t="s">
        <v>214</v>
      </c>
      <c r="C115" s="70">
        <f>(C114-C113/C96)*10000</f>
        <v>-2.953346550083058</v>
      </c>
      <c r="D115" s="70">
        <f>(D114-D113/D96)*10000</f>
        <v>21.59980673857087</v>
      </c>
      <c r="E115" s="70">
        <f>(E114-E113/E96)*10000</f>
        <v>139.02490180663696</v>
      </c>
      <c r="F115" s="70">
        <f>(F114-F113/F96)*10000</f>
        <v>296.18714312027976</v>
      </c>
      <c r="G115" s="70">
        <f>(G114-G113/G96)*10000</f>
        <v>115.21220476979177</v>
      </c>
      <c r="H115" s="70">
        <f>(H114-H113/H96)*10000</f>
        <v>92.72198050977288</v>
      </c>
      <c r="I115" s="70">
        <f>(I114-I113/I96)*10000</f>
        <v>73.37153395244711</v>
      </c>
      <c r="J115" s="69">
        <f>(J114-J113/J96)*10000</f>
        <v>65.75809199318606</v>
      </c>
      <c r="K115" s="1"/>
    </row>
    <row r="116">
      <c r="A116" s="1"/>
      <c r="B116" s="26" t="s">
        <v>215</v>
      </c>
      <c r="C116" s="70">
        <f>(C114-F113/F96)*10000</f>
        <v>288.53306189562693</v>
      </c>
      <c r="D116" s="70">
        <f>(D114-C114)*10000</f>
        <v>50.32907471931858</v>
      </c>
      <c r="E116" s="70">
        <f>(E114-D114)*10000</f>
        <v>35.82920959411595</v>
      </c>
      <c r="F116" s="70">
        <f>(F114-E114)*10000</f>
        <v>-78.5042030887817</v>
      </c>
      <c r="G116" s="1"/>
      <c r="H116" s="70">
        <f>(H114-F114)*10000</f>
        <v>85.06789928512003</v>
      </c>
      <c r="I116" s="70">
        <f>(I114-H114)*10000</f>
        <v>30.978628161992816</v>
      </c>
      <c r="J116" s="69">
        <f>(J114-I114)*10000</f>
        <v>28.215767634854892</v>
      </c>
      <c r="K116" s="1"/>
    </row>
    <row r="117">
      <c r="A117" s="1"/>
      <c r="B117" s="26" t="s">
        <v>216</v>
      </c>
      <c r="C117" s="103">
        <f>C113/C96</f>
        <v>0.2651036970243463</v>
      </c>
      <c r="D117" s="103">
        <f>D113/D96</f>
        <v>0.26768128916741274</v>
      </c>
      <c r="E117" s="103">
        <f>E113/E96</f>
        <v>0.2595217006200177</v>
      </c>
      <c r="F117" s="103">
        <f>F113/F96</f>
        <v>0.23595505617977527</v>
      </c>
      <c r="G117" s="103">
        <f>G113/G96</f>
        <v>0.25687056737588654</v>
      </c>
      <c r="H117" s="103">
        <f>H113/H96</f>
        <v>0.26480836236933797</v>
      </c>
      <c r="I117" s="103">
        <f>I113/I96</f>
        <v>0.2698412698412698</v>
      </c>
      <c r="J117" s="108">
        <f>J113/J96</f>
        <v>0.2734241908006814</v>
      </c>
      <c r="K117" s="1" t="s">
        <v>217</v>
      </c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>
      <c r="A119" s="1"/>
      <c r="B119" s="26" t="s">
        <v>218</v>
      </c>
      <c r="C119" s="1"/>
      <c r="D119" s="1"/>
      <c r="E119" s="1"/>
      <c r="F119" s="1"/>
      <c r="G119" s="1"/>
      <c r="H119" s="1"/>
      <c r="I119" s="1"/>
      <c r="J119" s="112">
        <v>0.28</v>
      </c>
      <c r="K119" s="1" t="s">
        <v>295</v>
      </c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ht="66">
      <c r="A121" s="1"/>
      <c r="B121" s="13" t="s">
        <v>220</v>
      </c>
      <c r="C121" s="1"/>
      <c r="D121" s="1"/>
      <c r="E121" s="1"/>
      <c r="F121" s="1"/>
      <c r="G121" s="1"/>
      <c r="H121" s="1"/>
      <c r="I121" s="1"/>
      <c r="J121" s="1"/>
      <c r="K121" s="118" t="s">
        <v>221</v>
      </c>
    </row>
    <row r="122">
      <c r="A122" s="1"/>
      <c r="B122" s="1" t="s">
        <v>222</v>
      </c>
      <c r="C122" s="23">
        <v>1130</v>
      </c>
      <c r="D122" s="23">
        <v>1118</v>
      </c>
      <c r="E122" s="23">
        <v>1154</v>
      </c>
      <c r="F122" s="3">
        <f>G122-C122-D122-E122</f>
        <v>1202</v>
      </c>
      <c r="G122" s="23">
        <v>4604</v>
      </c>
      <c r="H122" s="23">
        <v>1124</v>
      </c>
      <c r="I122" s="23">
        <v>1188</v>
      </c>
      <c r="J122" s="8">
        <f>J91-J125</f>
        <v>1118.0173487700172</v>
      </c>
      <c r="K122" s="1" t="s">
        <v>223</v>
      </c>
    </row>
    <row r="123">
      <c r="A123" s="1"/>
      <c r="B123" s="26" t="s">
        <v>85</v>
      </c>
      <c r="C123" s="58" t="s">
        <v>34</v>
      </c>
      <c r="D123" s="21">
        <f>D122-C122</f>
        <v>-12</v>
      </c>
      <c r="E123" s="21">
        <f>E122-D122</f>
        <v>36</v>
      </c>
      <c r="F123" s="21">
        <f>F122-E122</f>
        <v>48</v>
      </c>
      <c r="G123" s="1"/>
      <c r="H123" s="21">
        <f>H122-F122</f>
        <v>-78</v>
      </c>
      <c r="I123" s="21">
        <f>I122-H122</f>
        <v>64</v>
      </c>
      <c r="J123" s="60">
        <f>J122-I122</f>
        <v>-69.98265122998282</v>
      </c>
      <c r="K123" s="1"/>
    </row>
    <row r="124">
      <c r="A124" s="1"/>
      <c r="B124" s="26" t="s">
        <v>75</v>
      </c>
      <c r="C124" s="109" t="s">
        <v>34</v>
      </c>
      <c r="D124" s="109" t="s">
        <v>34</v>
      </c>
      <c r="E124" s="109" t="s">
        <v>34</v>
      </c>
      <c r="F124" s="109" t="s">
        <v>34</v>
      </c>
      <c r="G124" s="109" t="s">
        <v>34</v>
      </c>
      <c r="H124" s="103">
        <f>H122/C122-1</f>
        <v>-0.005309734513274322</v>
      </c>
      <c r="I124" s="103">
        <f>I122/D122-1</f>
        <v>0.06261180679785339</v>
      </c>
      <c r="J124" s="108">
        <f>J122/E122-1</f>
        <v>-0.03118080695839065</v>
      </c>
      <c r="K124" s="1"/>
    </row>
    <row r="125">
      <c r="A125" s="1"/>
      <c r="B125" s="1" t="s">
        <v>224</v>
      </c>
      <c r="C125" s="23">
        <v>18</v>
      </c>
      <c r="D125" s="23">
        <v>16</v>
      </c>
      <c r="E125" s="23">
        <v>20</v>
      </c>
      <c r="F125" s="3">
        <f>G125-C125-D125-E125</f>
        <v>18</v>
      </c>
      <c r="G125" s="23">
        <v>72</v>
      </c>
      <c r="H125" s="23">
        <v>18</v>
      </c>
      <c r="I125" s="23">
        <v>17</v>
      </c>
      <c r="J125" s="50">
        <f>E125*'Revenue summary'!J28/'Revenue summary'!E28</f>
        <v>20.49937375745527</v>
      </c>
      <c r="K125" s="1" t="s">
        <v>296</v>
      </c>
    </row>
    <row r="126">
      <c r="A126" s="1"/>
      <c r="B126" s="26" t="s">
        <v>85</v>
      </c>
      <c r="C126" s="58" t="s">
        <v>34</v>
      </c>
      <c r="D126" s="21">
        <f>D125-C125</f>
        <v>-2</v>
      </c>
      <c r="E126" s="21">
        <f>E125-D125</f>
        <v>4</v>
      </c>
      <c r="F126" s="21">
        <f>F125-E125</f>
        <v>-2</v>
      </c>
      <c r="G126" s="1"/>
      <c r="H126" s="21">
        <f>H125-F125</f>
        <v>0</v>
      </c>
      <c r="I126" s="21">
        <f>I125-H125</f>
        <v>-1</v>
      </c>
      <c r="J126" s="60">
        <f>J125-I125</f>
        <v>3.4993737574552704</v>
      </c>
      <c r="K126" s="1"/>
    </row>
    <row r="127">
      <c r="A127" s="1"/>
      <c r="B127" s="26" t="s">
        <v>75</v>
      </c>
      <c r="C127" s="109" t="s">
        <v>34</v>
      </c>
      <c r="D127" s="109" t="s">
        <v>34</v>
      </c>
      <c r="E127" s="109" t="s">
        <v>34</v>
      </c>
      <c r="F127" s="109" t="s">
        <v>34</v>
      </c>
      <c r="G127" s="109" t="s">
        <v>34</v>
      </c>
      <c r="H127" s="103">
        <f>H125/C125-1</f>
        <v>0</v>
      </c>
      <c r="I127" s="103">
        <f>I125/D125-1</f>
        <v>0.0625</v>
      </c>
      <c r="J127" s="108">
        <f>J125/E125-1</f>
        <v>0.024968687872763518</v>
      </c>
      <c r="K127" s="1"/>
    </row>
    <row r="128">
      <c r="A128" s="1"/>
      <c r="B128" s="26" t="s">
        <v>226</v>
      </c>
      <c r="C128" s="103">
        <f>C125/C91</f>
        <v>0.0156794425087108</v>
      </c>
      <c r="D128" s="103">
        <f>D125/D91</f>
        <v>0.014109347442680775</v>
      </c>
      <c r="E128" s="103">
        <f>E125/E91</f>
        <v>0.017035775127768313</v>
      </c>
      <c r="F128" s="103">
        <f>F125/F91</f>
        <v>0.014754098360655738</v>
      </c>
      <c r="G128" s="103">
        <f>G125/G91</f>
        <v>0.015397775876817793</v>
      </c>
      <c r="H128" s="103">
        <f>H125/H91</f>
        <v>0.01576182136602452</v>
      </c>
      <c r="I128" s="103">
        <f>I125/I91</f>
        <v>0.014107883817427386</v>
      </c>
      <c r="J128" s="108">
        <f>J125/J91</f>
        <v>0.018005333915471426</v>
      </c>
      <c r="K128" s="1"/>
    </row>
    <row r="129">
      <c r="A129" s="1"/>
      <c r="B129" s="26" t="s">
        <v>214</v>
      </c>
      <c r="C129" s="65" t="s">
        <v>34</v>
      </c>
      <c r="D129" s="65" t="s">
        <v>34</v>
      </c>
      <c r="E129" s="65" t="s">
        <v>34</v>
      </c>
      <c r="F129" s="65" t="s">
        <v>34</v>
      </c>
      <c r="G129" s="65" t="s">
        <v>34</v>
      </c>
      <c r="H129" s="70">
        <f>(H128-C128)*10000</f>
        <v>0.8237885731371755</v>
      </c>
      <c r="I129" s="70">
        <f>(I128-D128)*10000</f>
        <v>-0.01463625253389153</v>
      </c>
      <c r="J129" s="69">
        <f>(J128-E128)*10000</f>
        <v>9.695587877031134</v>
      </c>
      <c r="K129" s="1"/>
    </row>
    <row r="130">
      <c r="A130" s="1"/>
      <c r="B130" s="26" t="s">
        <v>215</v>
      </c>
      <c r="C130" s="65" t="s">
        <v>34</v>
      </c>
      <c r="D130" s="70">
        <f>(D128-C128)*10000</f>
        <v>-15.700950660300258</v>
      </c>
      <c r="E130" s="70">
        <f>(E128-D128)*10000</f>
        <v>29.264276850875376</v>
      </c>
      <c r="F130" s="70">
        <f>(F128-E128)*10000</f>
        <v>-22.816767671125746</v>
      </c>
      <c r="G130" s="1"/>
      <c r="H130" s="70">
        <f>(H128-F128)*10000</f>
        <v>10.077230053687805</v>
      </c>
      <c r="I130" s="70">
        <f>(I128-H128)*10000</f>
        <v>-16.539375485971323</v>
      </c>
      <c r="J130" s="69">
        <f>(J128-I128)*10000</f>
        <v>38.9745009804404</v>
      </c>
      <c r="K130" s="1"/>
    </row>
    <row r="131">
      <c r="A131" s="1"/>
      <c r="B131" s="33" t="s">
        <v>227</v>
      </c>
      <c r="C131" s="55">
        <f>C122+C125</f>
        <v>1148</v>
      </c>
      <c r="D131" s="55">
        <f>D122+D125</f>
        <v>1134</v>
      </c>
      <c r="E131" s="55">
        <f>E122+E125</f>
        <v>1174</v>
      </c>
      <c r="F131" s="55">
        <f>F122+F125</f>
        <v>1220</v>
      </c>
      <c r="G131" s="55">
        <f>G122+G125</f>
        <v>4676</v>
      </c>
      <c r="H131" s="55">
        <f>H122+H125</f>
        <v>1142</v>
      </c>
      <c r="I131" s="55">
        <f>I122+I125</f>
        <v>1205</v>
      </c>
      <c r="J131" s="53">
        <f>J122+J125</f>
        <v>1138.5167225274724</v>
      </c>
      <c r="K131" s="1" t="s">
        <v>228</v>
      </c>
    </row>
    <row r="132">
      <c r="A132" s="1"/>
      <c r="B132" s="1" t="s">
        <v>229</v>
      </c>
      <c r="C132" s="40" t="b">
        <f>ABS(C131-C91)&lt;=2</f>
        <v>1</v>
      </c>
      <c r="D132" s="40" t="b">
        <f>ABS(D131-D91)&lt;=2</f>
        <v>1</v>
      </c>
      <c r="E132" s="40" t="b">
        <f>ABS(E131-E91)&lt;=2</f>
        <v>1</v>
      </c>
      <c r="F132" s="40" t="b">
        <f>ABS(F131-F91)&lt;=2</f>
        <v>1</v>
      </c>
      <c r="G132" s="40" t="b">
        <f>ABS(G131-G91)&lt;=2</f>
        <v>1</v>
      </c>
      <c r="H132" s="40" t="b">
        <f>ABS(H131-H91)&lt;=2</f>
        <v>1</v>
      </c>
      <c r="I132" s="40" t="b">
        <f>ABS(I131-I91)&lt;=2</f>
        <v>1</v>
      </c>
      <c r="J132" s="76" t="b">
        <f>ABS(J131-J91)&lt;=2</f>
        <v>1</v>
      </c>
      <c r="K132" s="1" t="s">
        <v>230</v>
      </c>
    </row>
    <row r="133">
      <c r="A133" s="1"/>
      <c r="B133" s="1" t="s">
        <v>231</v>
      </c>
      <c r="C133" s="23">
        <v>679</v>
      </c>
      <c r="D133" s="23">
        <v>640</v>
      </c>
      <c r="E133" s="23">
        <v>682</v>
      </c>
      <c r="F133" s="3">
        <f>G133-C133-D133-E133</f>
        <v>717</v>
      </c>
      <c r="G133" s="23">
        <v>2718</v>
      </c>
      <c r="H133" s="23">
        <v>657</v>
      </c>
      <c r="I133" s="23">
        <v>699</v>
      </c>
      <c r="J133" s="8">
        <f>J131*J160</f>
        <v>660.3396990659339</v>
      </c>
      <c r="K133" s="1"/>
    </row>
    <row r="134">
      <c r="A134" s="1"/>
      <c r="B134" s="26" t="s">
        <v>85</v>
      </c>
      <c r="C134" s="58" t="s">
        <v>34</v>
      </c>
      <c r="D134" s="21">
        <f>D133-C133</f>
        <v>-39</v>
      </c>
      <c r="E134" s="21">
        <f>E133-D133</f>
        <v>42</v>
      </c>
      <c r="F134" s="21">
        <f>F133-E133</f>
        <v>35</v>
      </c>
      <c r="G134" s="1"/>
      <c r="H134" s="21">
        <f>H133-F133</f>
        <v>-60</v>
      </c>
      <c r="I134" s="21">
        <f>I133-H133</f>
        <v>42</v>
      </c>
      <c r="J134" s="60">
        <f>J133-I133</f>
        <v>-38.66030093406607</v>
      </c>
      <c r="K134" s="1"/>
    </row>
    <row r="135">
      <c r="A135" s="1"/>
      <c r="B135" s="26" t="s">
        <v>75</v>
      </c>
      <c r="C135" s="109" t="s">
        <v>34</v>
      </c>
      <c r="D135" s="109" t="s">
        <v>34</v>
      </c>
      <c r="E135" s="109" t="s">
        <v>34</v>
      </c>
      <c r="F135" s="109" t="s">
        <v>34</v>
      </c>
      <c r="G135" s="109" t="s">
        <v>34</v>
      </c>
      <c r="H135" s="103">
        <f>H133/C133-1</f>
        <v>-0.032400589101620025</v>
      </c>
      <c r="I135" s="103">
        <f>I133/D133-1</f>
        <v>0.09218750000000009</v>
      </c>
      <c r="J135" s="108">
        <f>J133/E133-1</f>
        <v>-0.031759972044085094</v>
      </c>
      <c r="K135" s="1"/>
    </row>
    <row r="136">
      <c r="A136" s="1"/>
      <c r="B136" s="26" t="s">
        <v>226</v>
      </c>
      <c r="C136" s="103">
        <f>C133/C131</f>
        <v>0.5914634146341463</v>
      </c>
      <c r="D136" s="103">
        <f>D133/D131</f>
        <v>0.564373897707231</v>
      </c>
      <c r="E136" s="103">
        <f>E133/E131</f>
        <v>0.5809199318568995</v>
      </c>
      <c r="F136" s="103">
        <f>F133/F131</f>
        <v>0.5877049180327869</v>
      </c>
      <c r="G136" s="103">
        <f>G133/G131</f>
        <v>0.5812660393498716</v>
      </c>
      <c r="H136" s="103">
        <f>H133/H131</f>
        <v>0.5753064798598949</v>
      </c>
      <c r="I136" s="103">
        <f>I133/I131</f>
        <v>0.5800829875518673</v>
      </c>
      <c r="J136" s="108">
        <f>J133/J131</f>
        <v>0.58</v>
      </c>
      <c r="K136" s="1"/>
    </row>
    <row r="137">
      <c r="A137" s="1"/>
      <c r="B137" s="26" t="s">
        <v>214</v>
      </c>
      <c r="C137" s="65" t="s">
        <v>34</v>
      </c>
      <c r="D137" s="65" t="s">
        <v>34</v>
      </c>
      <c r="E137" s="65" t="s">
        <v>34</v>
      </c>
      <c r="F137" s="65" t="s">
        <v>34</v>
      </c>
      <c r="G137" s="65" t="s">
        <v>34</v>
      </c>
      <c r="H137" s="70">
        <f>(H136-C136)*10000</f>
        <v>-161.56934774251397</v>
      </c>
      <c r="I137" s="70">
        <f>(I136-D136)*10000</f>
        <v>157.0908984463626</v>
      </c>
      <c r="J137" s="69">
        <f>(J136-E136)*10000</f>
        <v>-9.199318568995363</v>
      </c>
      <c r="K137" s="1"/>
    </row>
    <row r="138">
      <c r="A138" s="1"/>
      <c r="B138" s="26" t="s">
        <v>215</v>
      </c>
      <c r="C138" s="65" t="s">
        <v>34</v>
      </c>
      <c r="D138" s="70">
        <f>(D136-C136)*10000</f>
        <v>-270.89516926915303</v>
      </c>
      <c r="E138" s="70">
        <f>(E136-D136)*10000</f>
        <v>165.46034149668486</v>
      </c>
      <c r="F138" s="70">
        <f>(F136-E136)*10000</f>
        <v>67.84986175887408</v>
      </c>
      <c r="G138" s="1"/>
      <c r="H138" s="70">
        <f>(H136-F136)*10000</f>
        <v>-123.9843817289199</v>
      </c>
      <c r="I138" s="70">
        <f>(I136-H136)*10000</f>
        <v>47.76507691972354</v>
      </c>
      <c r="J138" s="69">
        <f>(J136-I136)*10000</f>
        <v>-0.8298755186730844</v>
      </c>
      <c r="K138" s="1"/>
    </row>
    <row r="139">
      <c r="A139" s="1"/>
      <c r="B139" s="1" t="s">
        <v>232</v>
      </c>
      <c r="C139" s="23">
        <v>171</v>
      </c>
      <c r="D139" s="23">
        <v>183</v>
      </c>
      <c r="E139" s="23">
        <v>175</v>
      </c>
      <c r="F139" s="3">
        <f>G139-C139-D139-E139</f>
        <v>179</v>
      </c>
      <c r="G139" s="23">
        <v>708</v>
      </c>
      <c r="H139" s="23">
        <v>177</v>
      </c>
      <c r="I139" s="23">
        <v>177</v>
      </c>
      <c r="J139" s="8">
        <f>J131*J161</f>
        <v>168.50047493406592</v>
      </c>
      <c r="K139" s="1" t="s">
        <v>233</v>
      </c>
    </row>
    <row r="140">
      <c r="A140" s="1"/>
      <c r="B140" s="26" t="s">
        <v>85</v>
      </c>
      <c r="C140" s="58" t="s">
        <v>34</v>
      </c>
      <c r="D140" s="21">
        <f>D139-C139</f>
        <v>12</v>
      </c>
      <c r="E140" s="21">
        <f>E139-D139</f>
        <v>-8</v>
      </c>
      <c r="F140" s="21">
        <f>F139-E139</f>
        <v>4</v>
      </c>
      <c r="G140" s="1"/>
      <c r="H140" s="21">
        <f>H139-F139</f>
        <v>-2</v>
      </c>
      <c r="I140" s="21">
        <f>I139-H139</f>
        <v>0</v>
      </c>
      <c r="J140" s="60">
        <f>J139-I139</f>
        <v>-8.49952506593408</v>
      </c>
      <c r="K140" s="1"/>
    </row>
    <row r="141">
      <c r="A141" s="1"/>
      <c r="B141" s="26" t="s">
        <v>75</v>
      </c>
      <c r="C141" s="109" t="s">
        <v>34</v>
      </c>
      <c r="D141" s="109" t="s">
        <v>34</v>
      </c>
      <c r="E141" s="109" t="s">
        <v>34</v>
      </c>
      <c r="F141" s="109" t="s">
        <v>34</v>
      </c>
      <c r="G141" s="109" t="s">
        <v>34</v>
      </c>
      <c r="H141" s="103">
        <f>H139/C139-1</f>
        <v>0.03508771929824572</v>
      </c>
      <c r="I141" s="103">
        <f>I139/D139-1</f>
        <v>-0.032786885245901676</v>
      </c>
      <c r="J141" s="108">
        <f>J139/E139-1</f>
        <v>-0.03714014323390902</v>
      </c>
      <c r="K141" s="1"/>
    </row>
    <row r="142">
      <c r="A142" s="1"/>
      <c r="B142" s="26" t="s">
        <v>226</v>
      </c>
      <c r="C142" s="103">
        <f>C139/C131</f>
        <v>0.1489547038327526</v>
      </c>
      <c r="D142" s="103">
        <f>D139/D131</f>
        <v>0.16137566137566137</v>
      </c>
      <c r="E142" s="103">
        <f>E139/E131</f>
        <v>0.14906303236797275</v>
      </c>
      <c r="F142" s="103">
        <f>F139/F131</f>
        <v>0.14672131147540984</v>
      </c>
      <c r="G142" s="103">
        <f>G139/G131</f>
        <v>0.1514114627887083</v>
      </c>
      <c r="H142" s="103">
        <f>H139/H131</f>
        <v>0.15499124343257442</v>
      </c>
      <c r="I142" s="103">
        <f>I139/I131</f>
        <v>0.14688796680497926</v>
      </c>
      <c r="J142" s="108">
        <f>J139/J131</f>
        <v>0.148</v>
      </c>
      <c r="K142" s="1"/>
    </row>
    <row r="143">
      <c r="A143" s="1"/>
      <c r="B143" s="26" t="s">
        <v>214</v>
      </c>
      <c r="C143" s="65" t="s">
        <v>34</v>
      </c>
      <c r="D143" s="65" t="s">
        <v>34</v>
      </c>
      <c r="E143" s="65" t="s">
        <v>34</v>
      </c>
      <c r="F143" s="65" t="s">
        <v>34</v>
      </c>
      <c r="G143" s="65" t="s">
        <v>34</v>
      </c>
      <c r="H143" s="70">
        <f>(H142-C142)*10000</f>
        <v>60.365395998218105</v>
      </c>
      <c r="I143" s="70">
        <f>(I142-D142)*10000</f>
        <v>-144.8769457068211</v>
      </c>
      <c r="J143" s="69">
        <f>(J142-E142)*10000</f>
        <v>-10.63032367972755</v>
      </c>
      <c r="K143" s="1"/>
    </row>
    <row r="144">
      <c r="A144" s="1"/>
      <c r="B144" s="26" t="s">
        <v>215</v>
      </c>
      <c r="C144" s="65" t="s">
        <v>34</v>
      </c>
      <c r="D144" s="70">
        <f>(D142-C142)*10000</f>
        <v>124.20957542908756</v>
      </c>
      <c r="E144" s="70">
        <f>(E142-D142)*10000</f>
        <v>-123.12629007688619</v>
      </c>
      <c r="F144" s="70">
        <f>(F142-E142)*10000</f>
        <v>-23.41720892562904</v>
      </c>
      <c r="G144" s="1"/>
      <c r="H144" s="70">
        <f>(H142-F142)*10000</f>
        <v>82.69931957164577</v>
      </c>
      <c r="I144" s="70">
        <f>(I142-H142)*10000</f>
        <v>-81.03276627595163</v>
      </c>
      <c r="J144" s="69">
        <f>(J142-I142)*10000</f>
        <v>11.12033195020734</v>
      </c>
      <c r="K144" s="1"/>
    </row>
    <row r="145">
      <c r="A145" s="1"/>
      <c r="B145" s="1" t="s">
        <v>234</v>
      </c>
      <c r="C145" s="23">
        <v>45</v>
      </c>
      <c r="D145" s="23">
        <v>47</v>
      </c>
      <c r="E145" s="23">
        <v>42</v>
      </c>
      <c r="F145" s="3">
        <f>G145-C145-D145-E145</f>
        <v>44</v>
      </c>
      <c r="G145" s="23">
        <v>178</v>
      </c>
      <c r="H145" s="23">
        <v>44</v>
      </c>
      <c r="I145" s="23">
        <v>45</v>
      </c>
      <c r="J145" s="8">
        <f>J162</f>
        <v>45</v>
      </c>
      <c r="K145" s="1"/>
    </row>
    <row r="146">
      <c r="A146" s="1"/>
      <c r="B146" s="26" t="s">
        <v>85</v>
      </c>
      <c r="C146" s="58" t="s">
        <v>34</v>
      </c>
      <c r="D146" s="21">
        <f>D145-C145</f>
        <v>2</v>
      </c>
      <c r="E146" s="21">
        <f>E145-D145</f>
        <v>-5</v>
      </c>
      <c r="F146" s="21">
        <f>F145-E145</f>
        <v>2</v>
      </c>
      <c r="G146" s="1"/>
      <c r="H146" s="21">
        <f>H145-F145</f>
        <v>0</v>
      </c>
      <c r="I146" s="21">
        <f>I145-H145</f>
        <v>1</v>
      </c>
      <c r="J146" s="60">
        <f>J145-I145</f>
        <v>0</v>
      </c>
      <c r="K146" s="1"/>
    </row>
    <row r="147">
      <c r="A147" s="1"/>
      <c r="B147" s="26" t="s">
        <v>75</v>
      </c>
      <c r="C147" s="109" t="s">
        <v>34</v>
      </c>
      <c r="D147" s="109" t="s">
        <v>34</v>
      </c>
      <c r="E147" s="109" t="s">
        <v>34</v>
      </c>
      <c r="F147" s="109" t="s">
        <v>34</v>
      </c>
      <c r="G147" s="109" t="s">
        <v>34</v>
      </c>
      <c r="H147" s="103">
        <f>H145/C145-1</f>
        <v>-0.022222222222222254</v>
      </c>
      <c r="I147" s="103">
        <f>I145/D145-1</f>
        <v>-0.04255319148936165</v>
      </c>
      <c r="J147" s="108">
        <f>J145/E145-1</f>
        <v>0.0714285714285714</v>
      </c>
      <c r="K147" s="1"/>
    </row>
    <row r="148">
      <c r="A148" s="1"/>
      <c r="B148" s="26" t="s">
        <v>226</v>
      </c>
      <c r="C148" s="103">
        <f>C145/C131</f>
        <v>0.039198606271777</v>
      </c>
      <c r="D148" s="103">
        <f>D145/D131</f>
        <v>0.04144620811287478</v>
      </c>
      <c r="E148" s="103">
        <f>E145/E131</f>
        <v>0.03577512776831346</v>
      </c>
      <c r="F148" s="103">
        <f>F145/F131</f>
        <v>0.036065573770491806</v>
      </c>
      <c r="G148" s="103">
        <f>G145/G131</f>
        <v>0.03806672369546621</v>
      </c>
      <c r="H148" s="103">
        <f>H145/H131</f>
        <v>0.03852889667250438</v>
      </c>
      <c r="I148" s="103">
        <f>I145/I131</f>
        <v>0.03734439834024896</v>
      </c>
      <c r="J148" s="108">
        <f>J145/J131</f>
        <v>0.0395251111464585</v>
      </c>
      <c r="K148" s="1"/>
    </row>
    <row r="149">
      <c r="A149" s="1"/>
      <c r="B149" s="26" t="s">
        <v>214</v>
      </c>
      <c r="C149" s="65" t="s">
        <v>34</v>
      </c>
      <c r="D149" s="65" t="s">
        <v>34</v>
      </c>
      <c r="E149" s="65" t="s">
        <v>34</v>
      </c>
      <c r="F149" s="65" t="s">
        <v>34</v>
      </c>
      <c r="G149" s="65" t="s">
        <v>34</v>
      </c>
      <c r="H149" s="70">
        <f>(H148-C148)*10000</f>
        <v>-6.69709599272622</v>
      </c>
      <c r="I149" s="70">
        <f>(I148-D148)*10000</f>
        <v>-41.018097726258155</v>
      </c>
      <c r="J149" s="69">
        <f>(J148-E148)*10000</f>
        <v>37.49983378145041</v>
      </c>
      <c r="K149" s="1"/>
    </row>
    <row r="150">
      <c r="A150" s="1"/>
      <c r="B150" s="26" t="s">
        <v>215</v>
      </c>
      <c r="C150" s="65" t="s">
        <v>34</v>
      </c>
      <c r="D150" s="70">
        <f>(D148-C148)*10000</f>
        <v>22.476018410977765</v>
      </c>
      <c r="E150" s="70">
        <f>(E148-D148)*10000</f>
        <v>-56.71080344561319</v>
      </c>
      <c r="F150" s="70">
        <f>(F148-E148)*10000</f>
        <v>2.9044600217834753</v>
      </c>
      <c r="G150" s="1"/>
      <c r="H150" s="70">
        <f>(H148-F148)*10000</f>
        <v>24.63322902012573</v>
      </c>
      <c r="I150" s="70">
        <f>(I148-H148)*10000</f>
        <v>-11.844983322554167</v>
      </c>
      <c r="J150" s="69">
        <f>(J148-I148)*10000</f>
        <v>21.80712806209538</v>
      </c>
      <c r="K150" s="1"/>
    </row>
    <row r="151">
      <c r="A151" s="1"/>
      <c r="B151" s="1" t="s">
        <v>235</v>
      </c>
      <c r="C151" s="23">
        <v>-51</v>
      </c>
      <c r="D151" s="23">
        <v>-42</v>
      </c>
      <c r="E151" s="23">
        <v>-46</v>
      </c>
      <c r="F151" s="3">
        <f>G151-C151-D151-E151</f>
        <v>-44</v>
      </c>
      <c r="G151" s="23">
        <v>-183</v>
      </c>
      <c r="H151" s="23">
        <v>-49</v>
      </c>
      <c r="I151" s="23">
        <v>-50</v>
      </c>
      <c r="J151" s="8">
        <f>J131-J133-J139-J145-J110</f>
        <v>-54.1081337802197</v>
      </c>
      <c r="K151" s="1" t="s">
        <v>297</v>
      </c>
    </row>
    <row r="152">
      <c r="A152" s="1"/>
      <c r="B152" s="26" t="s">
        <v>85</v>
      </c>
      <c r="C152" s="58" t="s">
        <v>34</v>
      </c>
      <c r="D152" s="21">
        <f>D151-C151</f>
        <v>9</v>
      </c>
      <c r="E152" s="21">
        <f>E151-D151</f>
        <v>-4</v>
      </c>
      <c r="F152" s="21">
        <f>F151-E151</f>
        <v>2</v>
      </c>
      <c r="G152" s="1"/>
      <c r="H152" s="21">
        <f>H151-F151</f>
        <v>-5</v>
      </c>
      <c r="I152" s="21">
        <f>I151-H151</f>
        <v>-1</v>
      </c>
      <c r="J152" s="60">
        <f>J151-I151</f>
        <v>-4.108133780219703</v>
      </c>
      <c r="K152" s="1"/>
    </row>
    <row r="153">
      <c r="A153" s="1"/>
      <c r="B153" s="33" t="s">
        <v>237</v>
      </c>
      <c r="C153" s="55">
        <f>C131-C133-C139-C145-C151</f>
        <v>304</v>
      </c>
      <c r="D153" s="55">
        <f>D131-D133-D139-D145-D151</f>
        <v>306</v>
      </c>
      <c r="E153" s="55">
        <f>E131-E133-E139-E145-E151</f>
        <v>321</v>
      </c>
      <c r="F153" s="55">
        <f>F131-F133-F139-F145-F151</f>
        <v>324</v>
      </c>
      <c r="G153" s="55">
        <f>G131-G133-G139-G145-G151</f>
        <v>1255</v>
      </c>
      <c r="H153" s="55">
        <f>H131-H133-H139-H145-H151</f>
        <v>313</v>
      </c>
      <c r="I153" s="55">
        <f>I131-I133-I139-I145-I151</f>
        <v>334</v>
      </c>
      <c r="J153" s="53">
        <f>J131-J133-J139-J145-J151</f>
        <v>318.7846823076923</v>
      </c>
      <c r="K153" s="1" t="s">
        <v>238</v>
      </c>
    </row>
    <row r="154">
      <c r="A154" s="1"/>
      <c r="B154" s="1" t="s">
        <v>239</v>
      </c>
      <c r="C154" s="40" t="b">
        <f>ABS(C153-C110)&lt;=2</f>
        <v>1</v>
      </c>
      <c r="D154" s="40" t="b">
        <f>ABS(D153-D110)&lt;=2</f>
        <v>1</v>
      </c>
      <c r="E154" s="40" t="b">
        <f>ABS(E153-E110)&lt;=2</f>
        <v>1</v>
      </c>
      <c r="F154" s="40" t="b">
        <f>ABS(F153-F110)&lt;=2</f>
        <v>1</v>
      </c>
      <c r="G154" s="40" t="b">
        <f>ABS(G153-G110)&lt;=2</f>
        <v>1</v>
      </c>
      <c r="H154" s="40" t="b">
        <f>ABS(H153-H110)&lt;=2</f>
        <v>1</v>
      </c>
      <c r="I154" s="40" t="b">
        <f>ABS(I153-I110)&lt;=2</f>
        <v>1</v>
      </c>
      <c r="J154" s="76" t="b">
        <f>ABS(J153-J110)&lt;=2</f>
        <v>1</v>
      </c>
      <c r="K154" s="1" t="s">
        <v>240</v>
      </c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>
      <c r="A156" s="1"/>
      <c r="B156" s="1" t="s">
        <v>241</v>
      </c>
      <c r="C156" s="23">
        <v>33</v>
      </c>
      <c r="D156" s="23">
        <v>25</v>
      </c>
      <c r="E156" s="23">
        <v>34</v>
      </c>
      <c r="F156" s="3">
        <f>G156-C156-D156-E156</f>
        <v>36</v>
      </c>
      <c r="G156" s="23">
        <v>128</v>
      </c>
      <c r="H156" s="23">
        <v>35</v>
      </c>
      <c r="I156" s="23">
        <v>24</v>
      </c>
      <c r="J156" s="57" t="s">
        <v>242</v>
      </c>
      <c r="K156" s="1" t="s">
        <v>243</v>
      </c>
    </row>
    <row r="157">
      <c r="A157" s="1"/>
      <c r="B157" s="1" t="s">
        <v>244</v>
      </c>
      <c r="C157" s="23">
        <v>22</v>
      </c>
      <c r="D157" s="23">
        <v>23</v>
      </c>
      <c r="E157" s="23">
        <v>23</v>
      </c>
      <c r="F157" s="3">
        <f>G157-C157-D157-E157</f>
        <v>23</v>
      </c>
      <c r="G157" s="23">
        <v>91</v>
      </c>
      <c r="H157" s="23">
        <v>24</v>
      </c>
      <c r="I157" s="23">
        <v>20</v>
      </c>
      <c r="J157" s="57" t="s">
        <v>242</v>
      </c>
      <c r="K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>
      <c r="A159" s="1"/>
      <c r="B159" s="13" t="s">
        <v>245</v>
      </c>
      <c r="C159" s="1"/>
      <c r="D159" s="1"/>
      <c r="E159" s="1"/>
      <c r="F159" s="1"/>
      <c r="G159" s="1"/>
      <c r="H159" s="1"/>
      <c r="I159" s="1"/>
      <c r="J159" s="1"/>
      <c r="K159" s="1" t="s">
        <v>298</v>
      </c>
    </row>
    <row r="160">
      <c r="A160" s="1"/>
      <c r="B160" s="26" t="s">
        <v>247</v>
      </c>
      <c r="C160" s="1"/>
      <c r="D160" s="1"/>
      <c r="E160" s="1"/>
      <c r="F160" s="1"/>
      <c r="G160" s="1"/>
      <c r="H160" s="1"/>
      <c r="I160" s="1"/>
      <c r="J160" s="112">
        <v>0.58</v>
      </c>
      <c r="K160" s="1" t="s">
        <v>299</v>
      </c>
    </row>
    <row r="161">
      <c r="A161" s="1"/>
      <c r="B161" s="26" t="s">
        <v>249</v>
      </c>
      <c r="C161" s="1"/>
      <c r="D161" s="1"/>
      <c r="E161" s="1"/>
      <c r="F161" s="1"/>
      <c r="G161" s="1"/>
      <c r="H161" s="1"/>
      <c r="I161" s="1"/>
      <c r="J161" s="112">
        <v>0.148</v>
      </c>
      <c r="K161" s="1"/>
    </row>
    <row r="162">
      <c r="A162" s="1"/>
      <c r="B162" s="1" t="s">
        <v>250</v>
      </c>
      <c r="C162" s="1"/>
      <c r="D162" s="1"/>
      <c r="E162" s="1"/>
      <c r="F162" s="1"/>
      <c r="G162" s="1"/>
      <c r="H162" s="1"/>
      <c r="I162" s="1"/>
      <c r="J162" s="57">
        <v>45</v>
      </c>
      <c r="K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>
      <c r="A164" s="1"/>
      <c r="B164" s="13" t="s">
        <v>300</v>
      </c>
      <c r="C164" s="1"/>
      <c r="D164" s="1"/>
      <c r="E164" s="1"/>
      <c r="F164" s="1"/>
      <c r="G164" s="1"/>
      <c r="H164" s="1"/>
      <c r="I164" s="1"/>
      <c r="J164" s="1"/>
      <c r="K164" s="1"/>
    </row>
    <row r="165">
      <c r="A165" s="1"/>
      <c r="B165" s="1" t="s">
        <v>301</v>
      </c>
      <c r="C165" s="1"/>
      <c r="D165" s="1"/>
      <c r="E165" s="1"/>
      <c r="F165" s="1"/>
      <c r="G165" s="1"/>
      <c r="H165" s="1"/>
      <c r="I165" s="1"/>
      <c r="J165" s="96">
        <v>46246</v>
      </c>
      <c r="K165" s="1" t="s">
        <v>302</v>
      </c>
    </row>
    <row r="166">
      <c r="A166" s="1"/>
      <c r="B166" s="1" t="s">
        <v>303</v>
      </c>
      <c r="C166" s="1"/>
      <c r="D166" s="1"/>
      <c r="E166" s="1"/>
      <c r="F166" s="1"/>
      <c r="G166" s="1"/>
      <c r="H166" s="1"/>
      <c r="I166" s="1"/>
      <c r="J166" s="95">
        <f>J$6-J165</f>
        <v>45</v>
      </c>
      <c r="K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304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61</v>
      </c>
      <c r="C5" s="16" t="s">
        <v>62</v>
      </c>
      <c r="D5" s="16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6" t="s">
        <v>68</v>
      </c>
      <c r="J5" s="43" t="s">
        <v>69</v>
      </c>
      <c r="K5" s="9" t="s">
        <v>4</v>
      </c>
    </row>
    <row r="6">
      <c r="A6" s="1"/>
      <c r="B6" s="6" t="s">
        <v>70</v>
      </c>
      <c r="C6" s="14">
        <v>45745</v>
      </c>
      <c r="D6" s="14">
        <v>45836</v>
      </c>
      <c r="E6" s="14">
        <v>45927</v>
      </c>
      <c r="F6" s="14">
        <v>46022</v>
      </c>
      <c r="G6" s="14">
        <v>46022</v>
      </c>
      <c r="H6" s="14">
        <v>46109</v>
      </c>
      <c r="I6" s="14">
        <v>46200</v>
      </c>
      <c r="J6" s="45">
        <v>46291</v>
      </c>
      <c r="K6" s="6" t="s">
        <v>71</v>
      </c>
    </row>
    <row r="7">
      <c r="A7" s="1"/>
      <c r="B7" s="28" t="s">
        <v>72</v>
      </c>
      <c r="C7" s="22">
        <v>88</v>
      </c>
      <c r="D7" s="11">
        <f>D6-C6</f>
        <v>91</v>
      </c>
      <c r="E7" s="11">
        <f>E6-D6</f>
        <v>91</v>
      </c>
      <c r="F7" s="11">
        <f>F6-E6</f>
        <v>95</v>
      </c>
      <c r="G7" s="22">
        <v>365</v>
      </c>
      <c r="H7" s="11">
        <f>H6-F6</f>
        <v>87</v>
      </c>
      <c r="I7" s="11">
        <f>I6-H6</f>
        <v>91</v>
      </c>
      <c r="J7" s="36">
        <f>J6-I6</f>
        <v>91</v>
      </c>
      <c r="K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305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1" t="s">
        <v>306</v>
      </c>
      <c r="C11" s="23">
        <v>582</v>
      </c>
      <c r="D11" s="23">
        <v>601</v>
      </c>
      <c r="E11" s="23">
        <v>594</v>
      </c>
      <c r="F11" s="3">
        <f>G11-C11-D11-E11</f>
        <v>630</v>
      </c>
      <c r="G11" s="23">
        <v>2407</v>
      </c>
      <c r="H11" s="23">
        <v>569</v>
      </c>
      <c r="I11" s="23">
        <v>608</v>
      </c>
      <c r="J11" s="8">
        <f>J15+J17+J18+J21</f>
        <v>591.03</v>
      </c>
      <c r="K11" s="1" t="s">
        <v>166</v>
      </c>
    </row>
    <row r="12">
      <c r="A12" s="1"/>
      <c r="B12" s="26" t="s">
        <v>75</v>
      </c>
      <c r="C12" s="103">
        <f>IF(ABS(C15)&lt;10,"n/m",C11/C15-1)</f>
        <v>-0.06730769230769229</v>
      </c>
      <c r="D12" s="103">
        <f>IF(ABS(D15)&lt;10,"n/m",D11/D15-1)</f>
        <v>-0.05946791862284817</v>
      </c>
      <c r="E12" s="103">
        <f>IF(ABS(E15)&lt;10,"n/m",E11/E15-1)</f>
        <v>-0.032573289902280145</v>
      </c>
      <c r="F12" s="103">
        <f>IF(ABS(F15)&lt;10,"n/m",F11/F15-1)</f>
        <v>-0.02777777777777779</v>
      </c>
      <c r="G12" s="103">
        <f>IF(ABS(G15)&lt;10,"n/m",G11/G15-1)</f>
        <v>-0.046732673267326774</v>
      </c>
      <c r="H12" s="103">
        <f>IF(ABS(H15)&lt;10,"n/m",H11/H15-1)</f>
        <v>-0.022336769759450203</v>
      </c>
      <c r="I12" s="103">
        <f>IF(ABS(I15)&lt;10,"n/m",I11/I15-1)</f>
        <v>0.011647254575707144</v>
      </c>
      <c r="J12" s="108">
        <f>IF(ABS(J15)&lt;10,"n/m",J11/J15-1)</f>
        <v>-0.0050000000000000044</v>
      </c>
      <c r="K12" s="1"/>
    </row>
    <row r="13">
      <c r="A13" s="1"/>
      <c r="B13" s="26" t="s">
        <v>85</v>
      </c>
      <c r="C13" s="21">
        <f>C11-F15</f>
        <v>-66</v>
      </c>
      <c r="D13" s="21">
        <f>D11-C11</f>
        <v>19</v>
      </c>
      <c r="E13" s="21">
        <f>E11-D11</f>
        <v>-7</v>
      </c>
      <c r="F13" s="21">
        <f>F11-E11</f>
        <v>36</v>
      </c>
      <c r="G13" s="1"/>
      <c r="H13" s="21">
        <f>H11-F11</f>
        <v>-61</v>
      </c>
      <c r="I13" s="21">
        <f>I11-H11</f>
        <v>39</v>
      </c>
      <c r="J13" s="60">
        <f>J11-I11</f>
        <v>-16.970000000000027</v>
      </c>
      <c r="K13" s="1" t="s">
        <v>167</v>
      </c>
    </row>
    <row r="14">
      <c r="A14" s="1"/>
      <c r="B14" s="26" t="s">
        <v>307</v>
      </c>
      <c r="C14" s="103">
        <f>C11/C78</f>
        <v>0.10319148936170212</v>
      </c>
      <c r="D14" s="103">
        <f>D11/D78</f>
        <v>0.10025020850708924</v>
      </c>
      <c r="E14" s="103">
        <f>E11/E78</f>
        <v>0.09949748743718594</v>
      </c>
      <c r="F14" s="103">
        <f>F11/F78</f>
        <v>0.098761561373256</v>
      </c>
      <c r="G14" s="103">
        <f>G11/G78</f>
        <v>0.10035857238158773</v>
      </c>
      <c r="H14" s="103">
        <f>H11/H78</f>
        <v>0.0942677269715043</v>
      </c>
      <c r="I14" s="103">
        <f>I11/I78</f>
        <v>0.0908411773494696</v>
      </c>
      <c r="J14" s="108">
        <f>J11/J78</f>
        <v>0.09047554494761102</v>
      </c>
      <c r="K14" s="1" t="s">
        <v>308</v>
      </c>
    </row>
    <row r="15">
      <c r="A15" s="1"/>
      <c r="B15" s="1" t="s">
        <v>144</v>
      </c>
      <c r="C15" s="23">
        <v>624</v>
      </c>
      <c r="D15" s="23">
        <v>639</v>
      </c>
      <c r="E15" s="23">
        <v>614</v>
      </c>
      <c r="F15" s="3">
        <f>G15-C15-D15-E15</f>
        <v>648</v>
      </c>
      <c r="G15" s="23">
        <v>2525</v>
      </c>
      <c r="H15" s="3">
        <f>C11</f>
        <v>582</v>
      </c>
      <c r="I15" s="3">
        <f>D11</f>
        <v>601</v>
      </c>
      <c r="J15" s="8">
        <f>E11</f>
        <v>594</v>
      </c>
      <c r="K15" s="1" t="s">
        <v>170</v>
      </c>
    </row>
    <row r="16">
      <c r="A16" s="1"/>
      <c r="B16" s="26" t="s">
        <v>171</v>
      </c>
      <c r="C16" s="109" t="s">
        <v>89</v>
      </c>
      <c r="D16" s="109" t="s">
        <v>89</v>
      </c>
      <c r="E16" s="109" t="s">
        <v>89</v>
      </c>
      <c r="F16" s="109" t="s">
        <v>89</v>
      </c>
      <c r="G16" s="109" t="s">
        <v>89</v>
      </c>
      <c r="H16" s="109" t="s">
        <v>89</v>
      </c>
      <c r="I16" s="109" t="s">
        <v>89</v>
      </c>
      <c r="J16" s="112">
        <v>0</v>
      </c>
      <c r="K16" s="1" t="s">
        <v>309</v>
      </c>
    </row>
    <row r="17">
      <c r="A17" s="1"/>
      <c r="B17" s="26" t="s">
        <v>91</v>
      </c>
      <c r="C17" s="58" t="s">
        <v>89</v>
      </c>
      <c r="D17" s="58" t="s">
        <v>89</v>
      </c>
      <c r="E17" s="58" t="s">
        <v>89</v>
      </c>
      <c r="F17" s="58" t="s">
        <v>89</v>
      </c>
      <c r="G17" s="58" t="s">
        <v>89</v>
      </c>
      <c r="H17" s="58" t="s">
        <v>89</v>
      </c>
      <c r="I17" s="58" t="s">
        <v>89</v>
      </c>
      <c r="J17" s="60">
        <f>J15*J16</f>
        <v>0</v>
      </c>
      <c r="K17" s="1" t="s">
        <v>92</v>
      </c>
    </row>
    <row r="18">
      <c r="A18" s="1"/>
      <c r="B18" s="26" t="s">
        <v>173</v>
      </c>
      <c r="C18" s="58" t="s">
        <v>89</v>
      </c>
      <c r="D18" s="58" t="s">
        <v>89</v>
      </c>
      <c r="E18" s="58" t="s">
        <v>89</v>
      </c>
      <c r="F18" s="58" t="s">
        <v>89</v>
      </c>
      <c r="G18" s="58" t="s">
        <v>89</v>
      </c>
      <c r="H18" s="58" t="s">
        <v>89</v>
      </c>
      <c r="I18" s="58" t="s">
        <v>89</v>
      </c>
      <c r="J18" s="75">
        <v>0</v>
      </c>
      <c r="K18" s="1" t="s">
        <v>174</v>
      </c>
    </row>
    <row r="19">
      <c r="A19" s="1"/>
      <c r="B19" s="26" t="s">
        <v>175</v>
      </c>
      <c r="C19" s="109" t="s">
        <v>89</v>
      </c>
      <c r="D19" s="109" t="s">
        <v>89</v>
      </c>
      <c r="E19" s="109" t="s">
        <v>89</v>
      </c>
      <c r="F19" s="109" t="s">
        <v>89</v>
      </c>
      <c r="G19" s="109" t="s">
        <v>89</v>
      </c>
      <c r="H19" s="109" t="s">
        <v>89</v>
      </c>
      <c r="I19" s="109" t="s">
        <v>89</v>
      </c>
      <c r="J19" s="108">
        <f>J18/J15</f>
        <v>0</v>
      </c>
      <c r="K19" s="1" t="s">
        <v>176</v>
      </c>
    </row>
    <row r="20">
      <c r="A20" s="1"/>
      <c r="B20" s="26" t="s">
        <v>95</v>
      </c>
      <c r="C20" s="109" t="s">
        <v>89</v>
      </c>
      <c r="D20" s="109" t="s">
        <v>89</v>
      </c>
      <c r="E20" s="109" t="s">
        <v>89</v>
      </c>
      <c r="F20" s="109" t="s">
        <v>89</v>
      </c>
      <c r="G20" s="109" t="s">
        <v>89</v>
      </c>
      <c r="H20" s="109" t="s">
        <v>89</v>
      </c>
      <c r="I20" s="109" t="s">
        <v>89</v>
      </c>
      <c r="J20" s="113">
        <f>'Revenue summary'!J64</f>
        <v>-0.005</v>
      </c>
      <c r="K20" s="1" t="s">
        <v>177</v>
      </c>
    </row>
    <row r="21">
      <c r="A21" s="1"/>
      <c r="B21" s="26" t="s">
        <v>96</v>
      </c>
      <c r="C21" s="58" t="s">
        <v>89</v>
      </c>
      <c r="D21" s="58" t="s">
        <v>89</v>
      </c>
      <c r="E21" s="58" t="s">
        <v>89</v>
      </c>
      <c r="F21" s="58" t="s">
        <v>89</v>
      </c>
      <c r="G21" s="58" t="s">
        <v>89</v>
      </c>
      <c r="H21" s="58" t="s">
        <v>89</v>
      </c>
      <c r="I21" s="58" t="s">
        <v>89</v>
      </c>
      <c r="J21" s="60">
        <f>(J15+J17+J18)*J20</f>
        <v>-2.97</v>
      </c>
      <c r="K21" s="1"/>
    </row>
    <row r="22">
      <c r="A22" s="1"/>
      <c r="B22" s="26" t="s">
        <v>178</v>
      </c>
      <c r="C22" s="109" t="s">
        <v>89</v>
      </c>
      <c r="D22" s="109" t="s">
        <v>89</v>
      </c>
      <c r="E22" s="109" t="s">
        <v>89</v>
      </c>
      <c r="F22" s="109" t="s">
        <v>89</v>
      </c>
      <c r="G22" s="109" t="s">
        <v>89</v>
      </c>
      <c r="H22" s="109" t="s">
        <v>89</v>
      </c>
      <c r="I22" s="109" t="s">
        <v>89</v>
      </c>
      <c r="J22" s="108">
        <f>(1+J12)/((1+J19)*(1+J20))-1</f>
        <v>0</v>
      </c>
      <c r="K22" s="1" t="s">
        <v>179</v>
      </c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>
      <c r="A24" s="1"/>
      <c r="B24" s="1" t="s">
        <v>310</v>
      </c>
      <c r="C24" s="23">
        <v>1727</v>
      </c>
      <c r="D24" s="23">
        <v>1883</v>
      </c>
      <c r="E24" s="23">
        <v>1861</v>
      </c>
      <c r="F24" s="3">
        <f>G24-C24-D24-E24</f>
        <v>1969</v>
      </c>
      <c r="G24" s="23">
        <v>7440</v>
      </c>
      <c r="H24" s="23">
        <v>1827</v>
      </c>
      <c r="I24" s="23">
        <v>2036</v>
      </c>
      <c r="J24" s="8">
        <f>J28+J30+J31+J34</f>
        <v>1944.27975</v>
      </c>
      <c r="K24" s="1" t="s">
        <v>311</v>
      </c>
    </row>
    <row r="25">
      <c r="A25" s="1"/>
      <c r="B25" s="26" t="s">
        <v>75</v>
      </c>
      <c r="C25" s="103">
        <f>IF(ABS(C28)&lt;10,"n/m",C24/C28-1)</f>
        <v>0.009351256575102385</v>
      </c>
      <c r="D25" s="103">
        <f>IF(ABS(D28)&lt;10,"n/m",D24/D28-1)</f>
        <v>0.060845070422535175</v>
      </c>
      <c r="E25" s="103">
        <f>IF(ABS(E28)&lt;10,"n/m",E24/E28-1)</f>
        <v>0.07015526164462327</v>
      </c>
      <c r="F25" s="103">
        <f>IF(ABS(F28)&lt;10,"n/m",F24/F28-1)</f>
        <v>0.09754738015607578</v>
      </c>
      <c r="G25" s="103">
        <f>IF(ABS(G28)&lt;10,"n/m",G24/G28-1)</f>
        <v>0.05998005413876628</v>
      </c>
      <c r="H25" s="103">
        <f>IF(ABS(H28)&lt;10,"n/m",H24/H28-1)</f>
        <v>0.05790387955993048</v>
      </c>
      <c r="I25" s="103">
        <f>IF(ABS(I28)&lt;10,"n/m",I24/I28-1)</f>
        <v>0.08125331917153478</v>
      </c>
      <c r="J25" s="108">
        <f>IF(ABS(J28)&lt;10,"n/m",J24/J28-1)</f>
        <v>0.04475000000000007</v>
      </c>
      <c r="K25" s="1"/>
    </row>
    <row r="26">
      <c r="A26" s="1"/>
      <c r="B26" s="26" t="s">
        <v>85</v>
      </c>
      <c r="C26" s="21">
        <f>C24-F28</f>
        <v>-67</v>
      </c>
      <c r="D26" s="21">
        <f>D24-C24</f>
        <v>156</v>
      </c>
      <c r="E26" s="21">
        <f>E24-D24</f>
        <v>-22</v>
      </c>
      <c r="F26" s="21">
        <f>F24-E24</f>
        <v>108</v>
      </c>
      <c r="G26" s="1"/>
      <c r="H26" s="21">
        <f>H24-F24</f>
        <v>-142</v>
      </c>
      <c r="I26" s="21">
        <f>I24-H24</f>
        <v>209</v>
      </c>
      <c r="J26" s="60">
        <f>J24-I24</f>
        <v>-91.72025000000008</v>
      </c>
      <c r="K26" s="1" t="s">
        <v>167</v>
      </c>
    </row>
    <row r="27">
      <c r="A27" s="1"/>
      <c r="B27" s="26" t="s">
        <v>307</v>
      </c>
      <c r="C27" s="103">
        <f>C24/C78</f>
        <v>0.30620567375886526</v>
      </c>
      <c r="D27" s="103">
        <f>D24/D78</f>
        <v>0.3140950792326939</v>
      </c>
      <c r="E27" s="103">
        <f>E24/E78</f>
        <v>0.31172529313232833</v>
      </c>
      <c r="F27" s="103">
        <f>F24/F78</f>
        <v>0.30866907038720803</v>
      </c>
      <c r="G27" s="103">
        <f>G24/G78</f>
        <v>0.31020680453635757</v>
      </c>
      <c r="H27" s="103">
        <f>H24/H78</f>
        <v>0.30268389662027834</v>
      </c>
      <c r="I27" s="103">
        <f>I24/I78</f>
        <v>0.30419841625578964</v>
      </c>
      <c r="J27" s="108">
        <f>J24/J78</f>
        <v>0.2976325565738709</v>
      </c>
      <c r="K27" s="1" t="s">
        <v>308</v>
      </c>
    </row>
    <row r="28">
      <c r="A28" s="1"/>
      <c r="B28" s="1" t="s">
        <v>144</v>
      </c>
      <c r="C28" s="23">
        <v>1711</v>
      </c>
      <c r="D28" s="23">
        <v>1775</v>
      </c>
      <c r="E28" s="23">
        <v>1739</v>
      </c>
      <c r="F28" s="3">
        <f>G28-C28-D28-E28</f>
        <v>1794</v>
      </c>
      <c r="G28" s="23">
        <v>7019</v>
      </c>
      <c r="H28" s="3">
        <f>C24</f>
        <v>1727</v>
      </c>
      <c r="I28" s="3">
        <f>D24</f>
        <v>1883</v>
      </c>
      <c r="J28" s="8">
        <f>E24</f>
        <v>1861</v>
      </c>
      <c r="K28" s="1" t="s">
        <v>170</v>
      </c>
    </row>
    <row r="29">
      <c r="A29" s="1"/>
      <c r="B29" s="26" t="s">
        <v>171</v>
      </c>
      <c r="C29" s="109" t="s">
        <v>89</v>
      </c>
      <c r="D29" s="109" t="s">
        <v>89</v>
      </c>
      <c r="E29" s="109" t="s">
        <v>89</v>
      </c>
      <c r="F29" s="109" t="s">
        <v>89</v>
      </c>
      <c r="G29" s="109" t="s">
        <v>89</v>
      </c>
      <c r="H29" s="109" t="s">
        <v>89</v>
      </c>
      <c r="I29" s="109" t="s">
        <v>89</v>
      </c>
      <c r="J29" s="112">
        <v>0.05</v>
      </c>
      <c r="K29" s="1" t="s">
        <v>312</v>
      </c>
    </row>
    <row r="30">
      <c r="A30" s="1"/>
      <c r="B30" s="26" t="s">
        <v>91</v>
      </c>
      <c r="C30" s="58" t="s">
        <v>89</v>
      </c>
      <c r="D30" s="58" t="s">
        <v>89</v>
      </c>
      <c r="E30" s="58" t="s">
        <v>89</v>
      </c>
      <c r="F30" s="58" t="s">
        <v>89</v>
      </c>
      <c r="G30" s="58" t="s">
        <v>89</v>
      </c>
      <c r="H30" s="58" t="s">
        <v>89</v>
      </c>
      <c r="I30" s="58" t="s">
        <v>89</v>
      </c>
      <c r="J30" s="60">
        <f>J28*J29</f>
        <v>93.05000000000001</v>
      </c>
      <c r="K30" s="1" t="s">
        <v>92</v>
      </c>
    </row>
    <row r="31">
      <c r="A31" s="1"/>
      <c r="B31" s="26" t="s">
        <v>173</v>
      </c>
      <c r="C31" s="58" t="s">
        <v>89</v>
      </c>
      <c r="D31" s="58" t="s">
        <v>89</v>
      </c>
      <c r="E31" s="58" t="s">
        <v>89</v>
      </c>
      <c r="F31" s="58" t="s">
        <v>89</v>
      </c>
      <c r="G31" s="58" t="s">
        <v>89</v>
      </c>
      <c r="H31" s="58" t="s">
        <v>89</v>
      </c>
      <c r="I31" s="58" t="s">
        <v>89</v>
      </c>
      <c r="J31" s="75">
        <v>0</v>
      </c>
      <c r="K31" s="1" t="s">
        <v>174</v>
      </c>
    </row>
    <row r="32">
      <c r="A32" s="1"/>
      <c r="B32" s="26" t="s">
        <v>175</v>
      </c>
      <c r="C32" s="109" t="s">
        <v>89</v>
      </c>
      <c r="D32" s="109" t="s">
        <v>89</v>
      </c>
      <c r="E32" s="109" t="s">
        <v>89</v>
      </c>
      <c r="F32" s="109" t="s">
        <v>89</v>
      </c>
      <c r="G32" s="109" t="s">
        <v>89</v>
      </c>
      <c r="H32" s="109" t="s">
        <v>89</v>
      </c>
      <c r="I32" s="109" t="s">
        <v>89</v>
      </c>
      <c r="J32" s="108">
        <f>J31/J28</f>
        <v>0</v>
      </c>
      <c r="K32" s="1" t="s">
        <v>176</v>
      </c>
    </row>
    <row r="33">
      <c r="A33" s="1"/>
      <c r="B33" s="26" t="s">
        <v>95</v>
      </c>
      <c r="C33" s="109" t="s">
        <v>89</v>
      </c>
      <c r="D33" s="109" t="s">
        <v>89</v>
      </c>
      <c r="E33" s="109" t="s">
        <v>89</v>
      </c>
      <c r="F33" s="109" t="s">
        <v>89</v>
      </c>
      <c r="G33" s="109" t="s">
        <v>89</v>
      </c>
      <c r="H33" s="109" t="s">
        <v>89</v>
      </c>
      <c r="I33" s="109" t="s">
        <v>89</v>
      </c>
      <c r="J33" s="113">
        <f>'Revenue summary'!J64</f>
        <v>-0.005</v>
      </c>
      <c r="K33" s="1" t="s">
        <v>177</v>
      </c>
    </row>
    <row r="34">
      <c r="A34" s="1"/>
      <c r="B34" s="26" t="s">
        <v>96</v>
      </c>
      <c r="C34" s="58" t="s">
        <v>89</v>
      </c>
      <c r="D34" s="58" t="s">
        <v>89</v>
      </c>
      <c r="E34" s="58" t="s">
        <v>89</v>
      </c>
      <c r="F34" s="58" t="s">
        <v>89</v>
      </c>
      <c r="G34" s="58" t="s">
        <v>89</v>
      </c>
      <c r="H34" s="58" t="s">
        <v>89</v>
      </c>
      <c r="I34" s="58" t="s">
        <v>89</v>
      </c>
      <c r="J34" s="60">
        <f>(J28+J30+J31)*J33</f>
        <v>-9.77025</v>
      </c>
      <c r="K34" s="1"/>
    </row>
    <row r="35">
      <c r="A35" s="1"/>
      <c r="B35" s="26" t="s">
        <v>178</v>
      </c>
      <c r="C35" s="109" t="s">
        <v>89</v>
      </c>
      <c r="D35" s="109" t="s">
        <v>89</v>
      </c>
      <c r="E35" s="109" t="s">
        <v>89</v>
      </c>
      <c r="F35" s="109" t="s">
        <v>89</v>
      </c>
      <c r="G35" s="109" t="s">
        <v>89</v>
      </c>
      <c r="H35" s="109" t="s">
        <v>89</v>
      </c>
      <c r="I35" s="109" t="s">
        <v>89</v>
      </c>
      <c r="J35" s="108">
        <f>(1+J25)/((1+J32)*(1+J33))-1</f>
        <v>0.050000000000000044</v>
      </c>
      <c r="K35" s="1" t="s">
        <v>179</v>
      </c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>
      <c r="A37" s="1"/>
      <c r="B37" s="1" t="s">
        <v>313</v>
      </c>
      <c r="C37" s="23">
        <v>1607</v>
      </c>
      <c r="D37" s="23">
        <v>1794</v>
      </c>
      <c r="E37" s="23">
        <v>1722</v>
      </c>
      <c r="F37" s="3">
        <f>G37-C37-D37-E37</f>
        <v>2019</v>
      </c>
      <c r="G37" s="23">
        <v>7142</v>
      </c>
      <c r="H37" s="23">
        <v>1741</v>
      </c>
      <c r="I37" s="23">
        <v>1893</v>
      </c>
      <c r="J37" s="8">
        <f>J41+J43+J44+J47</f>
        <v>1833.3273</v>
      </c>
      <c r="K37" s="1" t="s">
        <v>166</v>
      </c>
    </row>
    <row r="38">
      <c r="A38" s="1"/>
      <c r="B38" s="26" t="s">
        <v>75</v>
      </c>
      <c r="C38" s="103">
        <f>IF(ABS(C41)&lt;10,"n/m",C37/C41-1)</f>
        <v>0.018377693282636276</v>
      </c>
      <c r="D38" s="103">
        <f>IF(ABS(D41)&lt;10,"n/m",D37/D41-1)</f>
        <v>0.10264290104486795</v>
      </c>
      <c r="E38" s="103">
        <f>IF(ABS(E41)&lt;10,"n/m",E37/E41-1)</f>
        <v>0.04553734061930781</v>
      </c>
      <c r="F38" s="103">
        <f>IF(ABS(F41)&lt;10,"n/m",F37/F41-1)</f>
        <v>0.1014729950900164</v>
      </c>
      <c r="G38" s="103">
        <f>IF(ABS(G41)&lt;10,"n/m",G37/G41-1)</f>
        <v>0.06836200448765894</v>
      </c>
      <c r="H38" s="103">
        <f>IF(ABS(H41)&lt;10,"n/m",H37/H41-1)</f>
        <v>0.08338518979464848</v>
      </c>
      <c r="I38" s="103">
        <f>IF(ABS(I41)&lt;10,"n/m",I37/I41-1)</f>
        <v>0.05518394648829439</v>
      </c>
      <c r="J38" s="108">
        <f>IF(ABS(J41)&lt;10,"n/m",J37/J41-1)</f>
        <v>0.06464999999999987</v>
      </c>
      <c r="K38" s="1"/>
    </row>
    <row r="39">
      <c r="A39" s="1"/>
      <c r="B39" s="26" t="s">
        <v>85</v>
      </c>
      <c r="C39" s="21">
        <f>C37-F41</f>
        <v>-226</v>
      </c>
      <c r="D39" s="21">
        <f>D37-C37</f>
        <v>187</v>
      </c>
      <c r="E39" s="21">
        <f>E37-D37</f>
        <v>-72</v>
      </c>
      <c r="F39" s="21">
        <f>F37-E37</f>
        <v>297</v>
      </c>
      <c r="G39" s="1"/>
      <c r="H39" s="21">
        <f>H37-F37</f>
        <v>-278</v>
      </c>
      <c r="I39" s="21">
        <f>I37-H37</f>
        <v>152</v>
      </c>
      <c r="J39" s="60">
        <f>J37-I37</f>
        <v>-59.67270000000008</v>
      </c>
      <c r="K39" s="1" t="s">
        <v>167</v>
      </c>
    </row>
    <row r="40">
      <c r="A40" s="1"/>
      <c r="B40" s="26" t="s">
        <v>307</v>
      </c>
      <c r="C40" s="103">
        <f>C37/C78</f>
        <v>0.2849290780141844</v>
      </c>
      <c r="D40" s="103">
        <f>D37/D78</f>
        <v>0.2992493744787323</v>
      </c>
      <c r="E40" s="103">
        <f>E37/E78</f>
        <v>0.2884422110552764</v>
      </c>
      <c r="F40" s="103">
        <f>F37/F78</f>
        <v>0.31650728954381563</v>
      </c>
      <c r="G40" s="103">
        <f>G37/G78</f>
        <v>0.2977818545697131</v>
      </c>
      <c r="H40" s="103">
        <f>H37/H78</f>
        <v>0.2884360503644798</v>
      </c>
      <c r="I40" s="103">
        <f>I37/I78</f>
        <v>0.2828328103989243</v>
      </c>
      <c r="J40" s="108">
        <f>J37/J78</f>
        <v>0.2806478292723421</v>
      </c>
      <c r="K40" s="1" t="s">
        <v>308</v>
      </c>
    </row>
    <row r="41">
      <c r="A41" s="1"/>
      <c r="B41" s="1" t="s">
        <v>144</v>
      </c>
      <c r="C41" s="23">
        <v>1578</v>
      </c>
      <c r="D41" s="23">
        <v>1627</v>
      </c>
      <c r="E41" s="23">
        <v>1647</v>
      </c>
      <c r="F41" s="3">
        <f>G41-C41-D41-E41</f>
        <v>1833</v>
      </c>
      <c r="G41" s="23">
        <v>6685</v>
      </c>
      <c r="H41" s="3">
        <f>C37</f>
        <v>1607</v>
      </c>
      <c r="I41" s="3">
        <f>D37</f>
        <v>1794</v>
      </c>
      <c r="J41" s="8">
        <f>E37</f>
        <v>1722</v>
      </c>
      <c r="K41" s="1" t="s">
        <v>170</v>
      </c>
    </row>
    <row r="42">
      <c r="A42" s="1"/>
      <c r="B42" s="26" t="s">
        <v>171</v>
      </c>
      <c r="C42" s="109" t="s">
        <v>89</v>
      </c>
      <c r="D42" s="109" t="s">
        <v>89</v>
      </c>
      <c r="E42" s="109" t="s">
        <v>89</v>
      </c>
      <c r="F42" s="109" t="s">
        <v>89</v>
      </c>
      <c r="G42" s="109" t="s">
        <v>89</v>
      </c>
      <c r="H42" s="109" t="s">
        <v>89</v>
      </c>
      <c r="I42" s="109" t="s">
        <v>89</v>
      </c>
      <c r="J42" s="112">
        <v>0.07</v>
      </c>
      <c r="K42" s="1" t="s">
        <v>314</v>
      </c>
    </row>
    <row r="43">
      <c r="A43" s="1"/>
      <c r="B43" s="26" t="s">
        <v>91</v>
      </c>
      <c r="C43" s="58" t="s">
        <v>89</v>
      </c>
      <c r="D43" s="58" t="s">
        <v>89</v>
      </c>
      <c r="E43" s="58" t="s">
        <v>89</v>
      </c>
      <c r="F43" s="58" t="s">
        <v>89</v>
      </c>
      <c r="G43" s="58" t="s">
        <v>89</v>
      </c>
      <c r="H43" s="58" t="s">
        <v>89</v>
      </c>
      <c r="I43" s="58" t="s">
        <v>89</v>
      </c>
      <c r="J43" s="60">
        <f>J41*J42</f>
        <v>120.54</v>
      </c>
      <c r="K43" s="1" t="s">
        <v>92</v>
      </c>
    </row>
    <row r="44">
      <c r="A44" s="1"/>
      <c r="B44" s="26" t="s">
        <v>173</v>
      </c>
      <c r="C44" s="58" t="s">
        <v>89</v>
      </c>
      <c r="D44" s="58" t="s">
        <v>89</v>
      </c>
      <c r="E44" s="58" t="s">
        <v>89</v>
      </c>
      <c r="F44" s="58" t="s">
        <v>89</v>
      </c>
      <c r="G44" s="58" t="s">
        <v>89</v>
      </c>
      <c r="H44" s="58" t="s">
        <v>89</v>
      </c>
      <c r="I44" s="58" t="s">
        <v>89</v>
      </c>
      <c r="J44" s="75">
        <v>0</v>
      </c>
      <c r="K44" s="1" t="s">
        <v>174</v>
      </c>
    </row>
    <row r="45">
      <c r="A45" s="1"/>
      <c r="B45" s="26" t="s">
        <v>175</v>
      </c>
      <c r="C45" s="109" t="s">
        <v>89</v>
      </c>
      <c r="D45" s="109" t="s">
        <v>89</v>
      </c>
      <c r="E45" s="109" t="s">
        <v>89</v>
      </c>
      <c r="F45" s="109" t="s">
        <v>89</v>
      </c>
      <c r="G45" s="109" t="s">
        <v>89</v>
      </c>
      <c r="H45" s="109" t="s">
        <v>89</v>
      </c>
      <c r="I45" s="109" t="s">
        <v>89</v>
      </c>
      <c r="J45" s="108">
        <f>J44/J41</f>
        <v>0</v>
      </c>
      <c r="K45" s="1" t="s">
        <v>176</v>
      </c>
    </row>
    <row r="46">
      <c r="A46" s="1"/>
      <c r="B46" s="26" t="s">
        <v>95</v>
      </c>
      <c r="C46" s="109" t="s">
        <v>89</v>
      </c>
      <c r="D46" s="109" t="s">
        <v>89</v>
      </c>
      <c r="E46" s="109" t="s">
        <v>89</v>
      </c>
      <c r="F46" s="109" t="s">
        <v>89</v>
      </c>
      <c r="G46" s="109" t="s">
        <v>89</v>
      </c>
      <c r="H46" s="109" t="s">
        <v>89</v>
      </c>
      <c r="I46" s="109" t="s">
        <v>89</v>
      </c>
      <c r="J46" s="113">
        <f>'Revenue summary'!J64</f>
        <v>-0.005</v>
      </c>
      <c r="K46" s="1" t="s">
        <v>177</v>
      </c>
    </row>
    <row r="47">
      <c r="A47" s="1"/>
      <c r="B47" s="26" t="s">
        <v>96</v>
      </c>
      <c r="C47" s="58" t="s">
        <v>89</v>
      </c>
      <c r="D47" s="58" t="s">
        <v>89</v>
      </c>
      <c r="E47" s="58" t="s">
        <v>89</v>
      </c>
      <c r="F47" s="58" t="s">
        <v>89</v>
      </c>
      <c r="G47" s="58" t="s">
        <v>89</v>
      </c>
      <c r="H47" s="58" t="s">
        <v>89</v>
      </c>
      <c r="I47" s="58" t="s">
        <v>89</v>
      </c>
      <c r="J47" s="60">
        <f>(J41+J43+J44)*J46</f>
        <v>-9.2127</v>
      </c>
      <c r="K47" s="1"/>
    </row>
    <row r="48">
      <c r="A48" s="1"/>
      <c r="B48" s="26" t="s">
        <v>178</v>
      </c>
      <c r="C48" s="109" t="s">
        <v>89</v>
      </c>
      <c r="D48" s="109" t="s">
        <v>89</v>
      </c>
      <c r="E48" s="109" t="s">
        <v>89</v>
      </c>
      <c r="F48" s="109" t="s">
        <v>89</v>
      </c>
      <c r="G48" s="109" t="s">
        <v>89</v>
      </c>
      <c r="H48" s="109" t="s">
        <v>89</v>
      </c>
      <c r="I48" s="109" t="s">
        <v>89</v>
      </c>
      <c r="J48" s="108">
        <f>(1+J38)/((1+J45)*(1+J46))-1</f>
        <v>0.06999999999999984</v>
      </c>
      <c r="K48" s="1" t="s">
        <v>179</v>
      </c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>
      <c r="A50" s="1"/>
      <c r="B50" s="1" t="s">
        <v>315</v>
      </c>
      <c r="C50" s="23">
        <v>1939</v>
      </c>
      <c r="D50" s="23">
        <v>1955</v>
      </c>
      <c r="E50" s="23">
        <v>2019</v>
      </c>
      <c r="F50" s="3">
        <f>G50-C50-D50-E50</f>
        <v>2002</v>
      </c>
      <c r="G50" s="23">
        <v>7915</v>
      </c>
      <c r="H50" s="23">
        <v>2128</v>
      </c>
      <c r="I50" s="23">
        <v>2396</v>
      </c>
      <c r="J50" s="8">
        <f>J54+J56+J57+J60</f>
        <v>2397.7112</v>
      </c>
      <c r="K50" s="1" t="s">
        <v>316</v>
      </c>
    </row>
    <row r="51">
      <c r="A51" s="1"/>
      <c r="B51" s="26" t="s">
        <v>75</v>
      </c>
      <c r="C51" s="103">
        <f>IF(ABS(C54)&lt;10,"n/m",C50/C54-1)</f>
        <v>-0.04623708804722082</v>
      </c>
      <c r="D51" s="103">
        <f>IF(ABS(D54)&lt;10,"n/m",D50/D54-1)</f>
        <v>0.0030785017957926097</v>
      </c>
      <c r="E51" s="103">
        <f>IF(ABS(E54)&lt;10,"n/m",E50/E54-1)</f>
        <v>0.03220858895705514</v>
      </c>
      <c r="F51" s="103">
        <f>IF(ABS(F54)&lt;10,"n/m",F50/F54-1)</f>
        <v>0.0547945205479452</v>
      </c>
      <c r="G51" s="103">
        <f>IF(ABS(G54)&lt;10,"n/m",G50/G54-1)</f>
        <v>0.010081674323634493</v>
      </c>
      <c r="H51" s="103">
        <f>IF(ABS(H54)&lt;10,"n/m",H50/H54-1)</f>
        <v>0.09747292418772568</v>
      </c>
      <c r="I51" s="103">
        <f>IF(ABS(I54)&lt;10,"n/m",I50/I54-1)</f>
        <v>0.22557544757033243</v>
      </c>
      <c r="J51" s="108">
        <f>IF(ABS(J54)&lt;10,"n/m",J50/J54-1)</f>
        <v>0.18757365032194162</v>
      </c>
      <c r="K51" s="1"/>
    </row>
    <row r="52">
      <c r="A52" s="1"/>
      <c r="B52" s="26" t="s">
        <v>85</v>
      </c>
      <c r="C52" s="21">
        <f>C50-F54</f>
        <v>41</v>
      </c>
      <c r="D52" s="21">
        <f>D50-C50</f>
        <v>16</v>
      </c>
      <c r="E52" s="21">
        <f>E50-D50</f>
        <v>64</v>
      </c>
      <c r="F52" s="21">
        <f>F50-E50</f>
        <v>-17</v>
      </c>
      <c r="G52" s="1"/>
      <c r="H52" s="21">
        <f>H50-F50</f>
        <v>126</v>
      </c>
      <c r="I52" s="21">
        <f>I50-H50</f>
        <v>268</v>
      </c>
      <c r="J52" s="60">
        <f>J50-I50</f>
        <v>1.71120000000019</v>
      </c>
      <c r="K52" s="1" t="s">
        <v>167</v>
      </c>
    </row>
    <row r="53">
      <c r="A53" s="1"/>
      <c r="B53" s="26" t="s">
        <v>307</v>
      </c>
      <c r="C53" s="103">
        <f>C50/C78</f>
        <v>0.34379432624113476</v>
      </c>
      <c r="D53" s="103">
        <f>D50/D78</f>
        <v>0.32610508757297746</v>
      </c>
      <c r="E53" s="103">
        <f>E50/E78</f>
        <v>0.33819095477386935</v>
      </c>
      <c r="F53" s="103">
        <f>F50/F78</f>
        <v>0.31384229503056904</v>
      </c>
      <c r="G53" s="103">
        <f>G50/G78</f>
        <v>0.3300116744496331</v>
      </c>
      <c r="H53" s="103">
        <f>H50/H78</f>
        <v>0.35255135851557323</v>
      </c>
      <c r="I53" s="103">
        <f>I50/I78</f>
        <v>0.3579859554758703</v>
      </c>
      <c r="J53" s="108">
        <f>J50/J78</f>
        <v>0.3670443589106989</v>
      </c>
      <c r="K53" s="1" t="s">
        <v>308</v>
      </c>
    </row>
    <row r="54">
      <c r="A54" s="1"/>
      <c r="B54" s="1" t="s">
        <v>144</v>
      </c>
      <c r="C54" s="23">
        <v>2033</v>
      </c>
      <c r="D54" s="23">
        <v>1949</v>
      </c>
      <c r="E54" s="23">
        <v>1956</v>
      </c>
      <c r="F54" s="3">
        <f>G54-C54-D54-E54</f>
        <v>1898</v>
      </c>
      <c r="G54" s="23">
        <v>7836</v>
      </c>
      <c r="H54" s="3">
        <f>C50</f>
        <v>1939</v>
      </c>
      <c r="I54" s="3">
        <f>D50</f>
        <v>1955</v>
      </c>
      <c r="J54" s="8">
        <f>E50</f>
        <v>2019</v>
      </c>
      <c r="K54" s="1" t="s">
        <v>170</v>
      </c>
    </row>
    <row r="55">
      <c r="A55" s="1"/>
      <c r="B55" s="26" t="s">
        <v>171</v>
      </c>
      <c r="C55" s="109" t="s">
        <v>89</v>
      </c>
      <c r="D55" s="109" t="s">
        <v>89</v>
      </c>
      <c r="E55" s="109" t="s">
        <v>89</v>
      </c>
      <c r="F55" s="109" t="s">
        <v>89</v>
      </c>
      <c r="G55" s="109" t="s">
        <v>89</v>
      </c>
      <c r="H55" s="109" t="s">
        <v>89</v>
      </c>
      <c r="I55" s="109" t="s">
        <v>89</v>
      </c>
      <c r="J55" s="112">
        <v>0.04</v>
      </c>
      <c r="K55" s="1" t="s">
        <v>317</v>
      </c>
    </row>
    <row r="56">
      <c r="A56" s="1"/>
      <c r="B56" s="26" t="s">
        <v>91</v>
      </c>
      <c r="C56" s="58" t="s">
        <v>89</v>
      </c>
      <c r="D56" s="58" t="s">
        <v>89</v>
      </c>
      <c r="E56" s="58" t="s">
        <v>89</v>
      </c>
      <c r="F56" s="58" t="s">
        <v>89</v>
      </c>
      <c r="G56" s="58" t="s">
        <v>89</v>
      </c>
      <c r="H56" s="58" t="s">
        <v>89</v>
      </c>
      <c r="I56" s="58" t="s">
        <v>89</v>
      </c>
      <c r="J56" s="60">
        <f>J54*J55</f>
        <v>80.76</v>
      </c>
      <c r="K56" s="1" t="s">
        <v>92</v>
      </c>
    </row>
    <row r="57">
      <c r="A57" s="1"/>
      <c r="B57" s="26" t="s">
        <v>173</v>
      </c>
      <c r="C57" s="58" t="s">
        <v>89</v>
      </c>
      <c r="D57" s="58" t="s">
        <v>89</v>
      </c>
      <c r="E57" s="58" t="s">
        <v>89</v>
      </c>
      <c r="F57" s="58" t="s">
        <v>89</v>
      </c>
      <c r="G57" s="58" t="s">
        <v>89</v>
      </c>
      <c r="H57" s="58" t="s">
        <v>89</v>
      </c>
      <c r="I57" s="58" t="s">
        <v>89</v>
      </c>
      <c r="J57" s="75">
        <v>310</v>
      </c>
      <c r="K57" s="1" t="s">
        <v>318</v>
      </c>
    </row>
    <row r="58">
      <c r="A58" s="1"/>
      <c r="B58" s="26" t="s">
        <v>175</v>
      </c>
      <c r="C58" s="109" t="s">
        <v>89</v>
      </c>
      <c r="D58" s="109" t="s">
        <v>89</v>
      </c>
      <c r="E58" s="109" t="s">
        <v>89</v>
      </c>
      <c r="F58" s="109" t="s">
        <v>89</v>
      </c>
      <c r="G58" s="109" t="s">
        <v>89</v>
      </c>
      <c r="H58" s="109" t="s">
        <v>89</v>
      </c>
      <c r="I58" s="109" t="s">
        <v>89</v>
      </c>
      <c r="J58" s="108">
        <f>J57/J54</f>
        <v>0.15354135710747896</v>
      </c>
      <c r="K58" s="1" t="s">
        <v>176</v>
      </c>
    </row>
    <row r="59">
      <c r="A59" s="1"/>
      <c r="B59" s="26" t="s">
        <v>95</v>
      </c>
      <c r="C59" s="109" t="s">
        <v>89</v>
      </c>
      <c r="D59" s="109" t="s">
        <v>89</v>
      </c>
      <c r="E59" s="109" t="s">
        <v>89</v>
      </c>
      <c r="F59" s="109" t="s">
        <v>89</v>
      </c>
      <c r="G59" s="109" t="s">
        <v>89</v>
      </c>
      <c r="H59" s="109" t="s">
        <v>89</v>
      </c>
      <c r="I59" s="109" t="s">
        <v>89</v>
      </c>
      <c r="J59" s="113">
        <f>'Revenue summary'!J64</f>
        <v>-0.005</v>
      </c>
      <c r="K59" s="1" t="s">
        <v>177</v>
      </c>
    </row>
    <row r="60">
      <c r="A60" s="1"/>
      <c r="B60" s="26" t="s">
        <v>96</v>
      </c>
      <c r="C60" s="58" t="s">
        <v>89</v>
      </c>
      <c r="D60" s="58" t="s">
        <v>89</v>
      </c>
      <c r="E60" s="58" t="s">
        <v>89</v>
      </c>
      <c r="F60" s="58" t="s">
        <v>89</v>
      </c>
      <c r="G60" s="58" t="s">
        <v>89</v>
      </c>
      <c r="H60" s="58" t="s">
        <v>89</v>
      </c>
      <c r="I60" s="58" t="s">
        <v>89</v>
      </c>
      <c r="J60" s="60">
        <f>(J54+J56+J57)*J59</f>
        <v>-12.048800000000002</v>
      </c>
      <c r="K60" s="1"/>
    </row>
    <row r="61">
      <c r="A61" s="1"/>
      <c r="B61" s="26" t="s">
        <v>178</v>
      </c>
      <c r="C61" s="109" t="s">
        <v>89</v>
      </c>
      <c r="D61" s="109" t="s">
        <v>89</v>
      </c>
      <c r="E61" s="109" t="s">
        <v>89</v>
      </c>
      <c r="F61" s="109" t="s">
        <v>89</v>
      </c>
      <c r="G61" s="109" t="s">
        <v>89</v>
      </c>
      <c r="H61" s="109" t="s">
        <v>89</v>
      </c>
      <c r="I61" s="109" t="s">
        <v>89</v>
      </c>
      <c r="J61" s="108">
        <f>(1+J51)/((1+J58)*(1+J59))-1</f>
        <v>0.03467582653499379</v>
      </c>
      <c r="K61" s="1" t="s">
        <v>179</v>
      </c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>
      <c r="A63" s="1"/>
      <c r="B63" s="1" t="s">
        <v>319</v>
      </c>
      <c r="C63" s="23">
        <v>-214</v>
      </c>
      <c r="D63" s="23">
        <v>-238</v>
      </c>
      <c r="E63" s="23">
        <v>-226</v>
      </c>
      <c r="F63" s="3">
        <f>G63-C63-D63-E63</f>
        <v>-242</v>
      </c>
      <c r="G63" s="23">
        <v>-920</v>
      </c>
      <c r="H63" s="23">
        <v>-228</v>
      </c>
      <c r="I63" s="23">
        <v>-240</v>
      </c>
      <c r="J63" s="8">
        <f>J67+J69+J70+J73</f>
        <v>-233.8648</v>
      </c>
      <c r="K63" s="1" t="s">
        <v>320</v>
      </c>
    </row>
    <row r="64">
      <c r="A64" s="1"/>
      <c r="B64" s="26" t="s">
        <v>75</v>
      </c>
      <c r="C64" s="103">
        <f>IF(ABS(C67)&lt;10,"n/m",C63/C67-1)</f>
        <v>-0.044642857142857095</v>
      </c>
      <c r="D64" s="103">
        <f>IF(ABS(D67)&lt;10,"n/m",D63/D67-1)</f>
        <v>0.02145922746781115</v>
      </c>
      <c r="E64" s="103">
        <f>IF(ABS(E67)&lt;10,"n/m",E63/E67-1)</f>
        <v>0.04629629629629628</v>
      </c>
      <c r="F64" s="103">
        <f>IF(ABS(F67)&lt;10,"n/m",F63/F67-1)</f>
        <v>0.03418803418803429</v>
      </c>
      <c r="G64" s="103">
        <f>IF(ABS(G67)&lt;10,"n/m",G63/G67-1)</f>
        <v>0.014332965821389099</v>
      </c>
      <c r="H64" s="103">
        <f>IF(ABS(H67)&lt;10,"n/m",H63/H67-1)</f>
        <v>0.06542056074766345</v>
      </c>
      <c r="I64" s="103">
        <f>IF(ABS(I67)&lt;10,"n/m",I63/I67-1)</f>
        <v>0.008403361344537785</v>
      </c>
      <c r="J64" s="108">
        <f>IF(ABS(J67)&lt;10,"n/m",J63/J67-1)</f>
        <v>0.03479999999999994</v>
      </c>
      <c r="K64" s="1"/>
    </row>
    <row r="65">
      <c r="A65" s="1"/>
      <c r="B65" s="26" t="s">
        <v>85</v>
      </c>
      <c r="C65" s="21">
        <f>C63-F67</f>
        <v>20</v>
      </c>
      <c r="D65" s="21">
        <f>D63-C63</f>
        <v>-24</v>
      </c>
      <c r="E65" s="21">
        <f>E63-D63</f>
        <v>12</v>
      </c>
      <c r="F65" s="21">
        <f>F63-E63</f>
        <v>-16</v>
      </c>
      <c r="G65" s="1"/>
      <c r="H65" s="21">
        <f>H63-F63</f>
        <v>14</v>
      </c>
      <c r="I65" s="21">
        <f>I63-H63</f>
        <v>-12</v>
      </c>
      <c r="J65" s="60">
        <f>J63-I63</f>
        <v>6.1351999999999975</v>
      </c>
      <c r="K65" s="1" t="s">
        <v>167</v>
      </c>
    </row>
    <row r="66">
      <c r="A66" s="1"/>
      <c r="B66" s="26" t="s">
        <v>307</v>
      </c>
      <c r="C66" s="103">
        <f>C63/C78</f>
        <v>-0.03794326241134752</v>
      </c>
      <c r="D66" s="103">
        <f>D63/D78</f>
        <v>-0.03969974979149291</v>
      </c>
      <c r="E66" s="103">
        <f>E63/E78</f>
        <v>-0.03785594639865997</v>
      </c>
      <c r="F66" s="103">
        <f>F63/F78</f>
        <v>-0.03793698071798087</v>
      </c>
      <c r="G66" s="103">
        <f>G63/G78</f>
        <v>-0.03835890593729153</v>
      </c>
      <c r="H66" s="103">
        <f>H63/H78</f>
        <v>-0.03777335984095427</v>
      </c>
      <c r="I66" s="103">
        <f>I63/I78</f>
        <v>-0.03585835948005379</v>
      </c>
      <c r="J66" s="108">
        <f>J63/J78</f>
        <v>-0.03580028970452272</v>
      </c>
      <c r="K66" s="1" t="s">
        <v>308</v>
      </c>
    </row>
    <row r="67">
      <c r="A67" s="1"/>
      <c r="B67" s="1" t="s">
        <v>144</v>
      </c>
      <c r="C67" s="23">
        <v>-224</v>
      </c>
      <c r="D67" s="23">
        <v>-233</v>
      </c>
      <c r="E67" s="23">
        <v>-216</v>
      </c>
      <c r="F67" s="3">
        <f>G67-C67-D67-E67</f>
        <v>-234</v>
      </c>
      <c r="G67" s="23">
        <v>-907</v>
      </c>
      <c r="H67" s="3">
        <f>C63</f>
        <v>-214</v>
      </c>
      <c r="I67" s="3">
        <f>D63</f>
        <v>-238</v>
      </c>
      <c r="J67" s="8">
        <f>E63</f>
        <v>-226</v>
      </c>
      <c r="K67" s="1" t="s">
        <v>170</v>
      </c>
    </row>
    <row r="68">
      <c r="A68" s="1"/>
      <c r="B68" s="26" t="s">
        <v>171</v>
      </c>
      <c r="C68" s="109" t="s">
        <v>89</v>
      </c>
      <c r="D68" s="109" t="s">
        <v>89</v>
      </c>
      <c r="E68" s="109" t="s">
        <v>89</v>
      </c>
      <c r="F68" s="109" t="s">
        <v>89</v>
      </c>
      <c r="G68" s="109" t="s">
        <v>89</v>
      </c>
      <c r="H68" s="109" t="s">
        <v>89</v>
      </c>
      <c r="I68" s="109" t="s">
        <v>89</v>
      </c>
      <c r="J68" s="112">
        <v>0.04</v>
      </c>
      <c r="K68" s="1" t="s">
        <v>321</v>
      </c>
    </row>
    <row r="69">
      <c r="A69" s="1"/>
      <c r="B69" s="26" t="s">
        <v>91</v>
      </c>
      <c r="C69" s="58" t="s">
        <v>89</v>
      </c>
      <c r="D69" s="58" t="s">
        <v>89</v>
      </c>
      <c r="E69" s="58" t="s">
        <v>89</v>
      </c>
      <c r="F69" s="58" t="s">
        <v>89</v>
      </c>
      <c r="G69" s="58" t="s">
        <v>89</v>
      </c>
      <c r="H69" s="58" t="s">
        <v>89</v>
      </c>
      <c r="I69" s="58" t="s">
        <v>89</v>
      </c>
      <c r="J69" s="60">
        <f>J67*J68</f>
        <v>-9.040000000000001</v>
      </c>
      <c r="K69" s="1" t="s">
        <v>92</v>
      </c>
    </row>
    <row r="70">
      <c r="A70" s="1"/>
      <c r="B70" s="26" t="s">
        <v>173</v>
      </c>
      <c r="C70" s="58" t="s">
        <v>89</v>
      </c>
      <c r="D70" s="58" t="s">
        <v>89</v>
      </c>
      <c r="E70" s="58" t="s">
        <v>89</v>
      </c>
      <c r="F70" s="58" t="s">
        <v>89</v>
      </c>
      <c r="G70" s="58" t="s">
        <v>89</v>
      </c>
      <c r="H70" s="58" t="s">
        <v>89</v>
      </c>
      <c r="I70" s="58" t="s">
        <v>89</v>
      </c>
      <c r="J70" s="75">
        <v>0</v>
      </c>
      <c r="K70" s="1" t="s">
        <v>174</v>
      </c>
    </row>
    <row r="71">
      <c r="A71" s="1"/>
      <c r="B71" s="26" t="s">
        <v>175</v>
      </c>
      <c r="C71" s="109" t="s">
        <v>89</v>
      </c>
      <c r="D71" s="109" t="s">
        <v>89</v>
      </c>
      <c r="E71" s="109" t="s">
        <v>89</v>
      </c>
      <c r="F71" s="109" t="s">
        <v>89</v>
      </c>
      <c r="G71" s="109" t="s">
        <v>89</v>
      </c>
      <c r="H71" s="109" t="s">
        <v>89</v>
      </c>
      <c r="I71" s="109" t="s">
        <v>89</v>
      </c>
      <c r="J71" s="108">
        <f>J70/J67</f>
        <v>0</v>
      </c>
      <c r="K71" s="1" t="s">
        <v>176</v>
      </c>
    </row>
    <row r="72">
      <c r="A72" s="1"/>
      <c r="B72" s="26" t="s">
        <v>95</v>
      </c>
      <c r="C72" s="109" t="s">
        <v>89</v>
      </c>
      <c r="D72" s="109" t="s">
        <v>89</v>
      </c>
      <c r="E72" s="109" t="s">
        <v>89</v>
      </c>
      <c r="F72" s="109" t="s">
        <v>89</v>
      </c>
      <c r="G72" s="109" t="s">
        <v>89</v>
      </c>
      <c r="H72" s="109" t="s">
        <v>89</v>
      </c>
      <c r="I72" s="109" t="s">
        <v>89</v>
      </c>
      <c r="J72" s="113">
        <f>'Revenue summary'!J64</f>
        <v>-0.005</v>
      </c>
      <c r="K72" s="1" t="s">
        <v>177</v>
      </c>
    </row>
    <row r="73">
      <c r="A73" s="1"/>
      <c r="B73" s="26" t="s">
        <v>96</v>
      </c>
      <c r="C73" s="58" t="s">
        <v>89</v>
      </c>
      <c r="D73" s="58" t="s">
        <v>89</v>
      </c>
      <c r="E73" s="58" t="s">
        <v>89</v>
      </c>
      <c r="F73" s="58" t="s">
        <v>89</v>
      </c>
      <c r="G73" s="58" t="s">
        <v>89</v>
      </c>
      <c r="H73" s="58" t="s">
        <v>89</v>
      </c>
      <c r="I73" s="58" t="s">
        <v>89</v>
      </c>
      <c r="J73" s="60">
        <f>(J67+J69+J70)*J72</f>
        <v>1.1752</v>
      </c>
      <c r="K73" s="1"/>
    </row>
    <row r="74">
      <c r="A74" s="1"/>
      <c r="B74" s="26" t="s">
        <v>178</v>
      </c>
      <c r="C74" s="109" t="s">
        <v>89</v>
      </c>
      <c r="D74" s="109" t="s">
        <v>89</v>
      </c>
      <c r="E74" s="109" t="s">
        <v>89</v>
      </c>
      <c r="F74" s="109" t="s">
        <v>89</v>
      </c>
      <c r="G74" s="109" t="s">
        <v>89</v>
      </c>
      <c r="H74" s="109" t="s">
        <v>89</v>
      </c>
      <c r="I74" s="109" t="s">
        <v>89</v>
      </c>
      <c r="J74" s="108">
        <f>(1+J64)/((1+J71)*(1+J72))-1</f>
        <v>0.040000000000000036</v>
      </c>
      <c r="K74" s="1" t="s">
        <v>179</v>
      </c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>
      <c r="A76" s="1"/>
      <c r="B76" s="33" t="s">
        <v>189</v>
      </c>
      <c r="C76" s="55">
        <f>C11+C24+C37+C50+C63</f>
        <v>5641</v>
      </c>
      <c r="D76" s="55">
        <f>D11+D24+D37+D50+D63</f>
        <v>5995</v>
      </c>
      <c r="E76" s="55">
        <f>E11+E24+E37+E50+E63</f>
        <v>5970</v>
      </c>
      <c r="F76" s="55">
        <f>F11+F24+F37+F50+F63</f>
        <v>6378</v>
      </c>
      <c r="G76" s="55">
        <f>G11+G24+G37+G50+G63</f>
        <v>23984</v>
      </c>
      <c r="H76" s="55">
        <f>H11+H24+H37+H50+H63</f>
        <v>6037</v>
      </c>
      <c r="I76" s="55">
        <f>I11+I24+I37+I50+I63</f>
        <v>6693</v>
      </c>
      <c r="J76" s="53">
        <f>J11+J24+J37+J50+J63</f>
        <v>6532.483449999999</v>
      </c>
      <c r="K76" s="1"/>
    </row>
    <row r="77">
      <c r="A77" s="1"/>
      <c r="B77" s="26" t="s">
        <v>190</v>
      </c>
      <c r="C77" s="21">
        <f>C78-C76</f>
        <v>-1</v>
      </c>
      <c r="D77" s="21">
        <f>D78-D76</f>
        <v>0</v>
      </c>
      <c r="E77" s="21">
        <f>E78-E76</f>
        <v>0</v>
      </c>
      <c r="F77" s="21">
        <f>F78-F76</f>
        <v>1</v>
      </c>
      <c r="G77" s="21">
        <f>G78-G76</f>
        <v>0</v>
      </c>
      <c r="H77" s="21">
        <f>H78-H76</f>
        <v>-1</v>
      </c>
      <c r="I77" s="21">
        <f>I78-I76</f>
        <v>0</v>
      </c>
      <c r="J77" s="60">
        <f>J78-J76</f>
        <v>0</v>
      </c>
      <c r="K77" s="1" t="s">
        <v>191</v>
      </c>
    </row>
    <row r="78">
      <c r="A78" s="1"/>
      <c r="B78" s="33" t="s">
        <v>322</v>
      </c>
      <c r="C78" s="12">
        <v>5640</v>
      </c>
      <c r="D78" s="12">
        <v>5995</v>
      </c>
      <c r="E78" s="12">
        <v>5970</v>
      </c>
      <c r="F78" s="12">
        <v>6379</v>
      </c>
      <c r="G78" s="55">
        <f>SUM(C78:F78)</f>
        <v>23984</v>
      </c>
      <c r="H78" s="12">
        <v>6036</v>
      </c>
      <c r="I78" s="12">
        <v>6693</v>
      </c>
      <c r="J78" s="53">
        <f>J76</f>
        <v>6532.483449999999</v>
      </c>
      <c r="K78" s="1" t="s">
        <v>323</v>
      </c>
    </row>
    <row r="79">
      <c r="A79" s="1"/>
      <c r="B79" s="26" t="s">
        <v>75</v>
      </c>
      <c r="C79" s="103">
        <f>C78/C83-1</f>
        <v>-0.014502883103267528</v>
      </c>
      <c r="D79" s="103">
        <f>D78/D83-1</f>
        <v>0.04116012504341793</v>
      </c>
      <c r="E79" s="103">
        <f>E78/E83-1</f>
        <v>0.04006968641114983</v>
      </c>
      <c r="F79" s="103">
        <f>F78/F83-1</f>
        <v>0.0746293800539084</v>
      </c>
      <c r="G79" s="103">
        <f>G78/G83-1</f>
        <v>0.035712743446906</v>
      </c>
      <c r="H79" s="103">
        <f>H78/H83-1</f>
        <v>0.07021276595744674</v>
      </c>
      <c r="I79" s="103">
        <f>I78/I83-1</f>
        <v>0.11643035863219353</v>
      </c>
      <c r="J79" s="108">
        <f>J78/J83-1</f>
        <v>0.09421833333333307</v>
      </c>
      <c r="K79" s="1"/>
    </row>
    <row r="80">
      <c r="A80" s="1"/>
      <c r="B80" s="26" t="s">
        <v>85</v>
      </c>
      <c r="C80" s="21">
        <f>C78-F83</f>
        <v>-296</v>
      </c>
      <c r="D80" s="21">
        <f>D78-C78</f>
        <v>355</v>
      </c>
      <c r="E80" s="21">
        <f>E78-D78</f>
        <v>-25</v>
      </c>
      <c r="F80" s="21">
        <f>F78-E78</f>
        <v>409</v>
      </c>
      <c r="G80" s="1"/>
      <c r="H80" s="21">
        <f>H78-F78</f>
        <v>-343</v>
      </c>
      <c r="I80" s="21">
        <f>I78-H78</f>
        <v>657</v>
      </c>
      <c r="J80" s="60">
        <f>J78-I78</f>
        <v>-160.5165500000012</v>
      </c>
      <c r="K80" s="1"/>
    </row>
    <row r="81">
      <c r="A81" s="1"/>
      <c r="B81" s="26" t="s">
        <v>76</v>
      </c>
      <c r="C81" s="103">
        <f>C78/F83-1</f>
        <v>-0.049865229110512166</v>
      </c>
      <c r="D81" s="103">
        <f>D78/C78-1</f>
        <v>0.06294326241134751</v>
      </c>
      <c r="E81" s="103">
        <f>E78/D78-1</f>
        <v>-0.004170141784820669</v>
      </c>
      <c r="F81" s="103">
        <f>F78/E78-1</f>
        <v>0.06850921273031818</v>
      </c>
      <c r="G81" s="1"/>
      <c r="H81" s="103">
        <f>H78/F78-1</f>
        <v>-0.053770183414328265</v>
      </c>
      <c r="I81" s="103">
        <f>I78/H78-1</f>
        <v>0.10884691848906569</v>
      </c>
      <c r="J81" s="108">
        <f>J78/I78-1</f>
        <v>-0.023982750634992</v>
      </c>
      <c r="K81" s="1"/>
    </row>
    <row r="82">
      <c r="A82" s="1"/>
      <c r="B82" s="26" t="s">
        <v>194</v>
      </c>
      <c r="C82" s="106">
        <f>C78/'Revenue summary'!C48</f>
        <v>0.5441914318795832</v>
      </c>
      <c r="D82" s="106">
        <f>D78/'Revenue summary'!D48</f>
        <v>0.5522800552740672</v>
      </c>
      <c r="E82" s="106">
        <f>E78/'Revenue summary'!E48</f>
        <v>0.5367739615177126</v>
      </c>
      <c r="F82" s="106">
        <f>F78/'Revenue summary'!F48</f>
        <v>0.5222267703643062</v>
      </c>
      <c r="G82" s="106">
        <f>G78/'Revenue summary'!G48</f>
        <v>0.5382888948738666</v>
      </c>
      <c r="H82" s="106">
        <f>H78/'Revenue summary'!H48</f>
        <v>0.548477964561563</v>
      </c>
      <c r="I82" s="106">
        <f>I78/'Revenue summary'!I48</f>
        <v>0.5580290145072536</v>
      </c>
      <c r="J82" s="113">
        <f>J78/'Revenue summary'!J48</f>
        <v>0.54592687503044</v>
      </c>
      <c r="K82" s="1"/>
    </row>
    <row r="83">
      <c r="A83" s="1"/>
      <c r="B83" s="1" t="s">
        <v>195</v>
      </c>
      <c r="C83" s="23">
        <v>5723</v>
      </c>
      <c r="D83" s="23">
        <v>5758</v>
      </c>
      <c r="E83" s="23">
        <v>5740</v>
      </c>
      <c r="F83" s="23">
        <v>5936</v>
      </c>
      <c r="G83" s="23">
        <v>23157</v>
      </c>
      <c r="H83" s="3">
        <f>C78</f>
        <v>5640</v>
      </c>
      <c r="I83" s="3">
        <f>D78</f>
        <v>5995</v>
      </c>
      <c r="J83" s="8">
        <f>E78</f>
        <v>5970</v>
      </c>
      <c r="K83" s="1" t="s">
        <v>196</v>
      </c>
    </row>
    <row r="84">
      <c r="A84" s="1"/>
      <c r="B84" s="1" t="s">
        <v>197</v>
      </c>
      <c r="C84" s="40" t="b">
        <f>ABS(C77)&lt;=2</f>
        <v>1</v>
      </c>
      <c r="D84" s="40" t="b">
        <f>ABS(D77)&lt;=2</f>
        <v>1</v>
      </c>
      <c r="E84" s="40" t="b">
        <f>ABS(E77)&lt;=2</f>
        <v>1</v>
      </c>
      <c r="F84" s="40" t="b">
        <f>ABS(F77)&lt;=2</f>
        <v>1</v>
      </c>
      <c r="G84" s="40" t="b">
        <f>ABS(G77)&lt;=2</f>
        <v>1</v>
      </c>
      <c r="H84" s="40" t="b">
        <f>ABS(H77)&lt;=2</f>
        <v>1</v>
      </c>
      <c r="I84" s="40" t="b">
        <f>ABS(I77)&lt;=2</f>
        <v>1</v>
      </c>
      <c r="J84" s="76" t="b">
        <f>ABS(J77)&lt;=2</f>
        <v>1</v>
      </c>
      <c r="K84" s="1" t="s">
        <v>198</v>
      </c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>
      <c r="A86" s="1"/>
      <c r="B86" s="13" t="s">
        <v>199</v>
      </c>
      <c r="C86" s="1"/>
      <c r="D86" s="1"/>
      <c r="E86" s="1"/>
      <c r="F86" s="1"/>
      <c r="G86" s="1"/>
      <c r="H86" s="1"/>
      <c r="I86" s="1"/>
      <c r="J86" s="1"/>
      <c r="K86" s="1"/>
    </row>
    <row r="87">
      <c r="A87" s="1"/>
      <c r="B87" s="26" t="s">
        <v>200</v>
      </c>
      <c r="C87" s="58" t="s">
        <v>89</v>
      </c>
      <c r="D87" s="58" t="s">
        <v>89</v>
      </c>
      <c r="E87" s="58" t="s">
        <v>89</v>
      </c>
      <c r="F87" s="58" t="s">
        <v>89</v>
      </c>
      <c r="G87" s="58" t="s">
        <v>89</v>
      </c>
      <c r="H87" s="58" t="s">
        <v>89</v>
      </c>
      <c r="I87" s="58" t="s">
        <v>89</v>
      </c>
      <c r="J87" s="60">
        <f>J17+J30+J43+J56+J69</f>
        <v>285.31</v>
      </c>
      <c r="K87" s="1" t="s">
        <v>201</v>
      </c>
    </row>
    <row r="88">
      <c r="A88" s="1"/>
      <c r="B88" s="26" t="s">
        <v>202</v>
      </c>
      <c r="C88" s="58" t="s">
        <v>89</v>
      </c>
      <c r="D88" s="58" t="s">
        <v>89</v>
      </c>
      <c r="E88" s="58" t="s">
        <v>89</v>
      </c>
      <c r="F88" s="58" t="s">
        <v>89</v>
      </c>
      <c r="G88" s="58" t="s">
        <v>89</v>
      </c>
      <c r="H88" s="58" t="s">
        <v>89</v>
      </c>
      <c r="I88" s="58" t="s">
        <v>89</v>
      </c>
      <c r="J88" s="60">
        <f>J18+J31+J44+J57+J70</f>
        <v>310</v>
      </c>
      <c r="K88" s="1" t="s">
        <v>203</v>
      </c>
    </row>
    <row r="89">
      <c r="A89" s="1"/>
      <c r="B89" s="26" t="s">
        <v>204</v>
      </c>
      <c r="C89" s="58" t="s">
        <v>89</v>
      </c>
      <c r="D89" s="58" t="s">
        <v>89</v>
      </c>
      <c r="E89" s="58" t="s">
        <v>89</v>
      </c>
      <c r="F89" s="58" t="s">
        <v>89</v>
      </c>
      <c r="G89" s="58" t="s">
        <v>89</v>
      </c>
      <c r="H89" s="58" t="s">
        <v>89</v>
      </c>
      <c r="I89" s="58" t="s">
        <v>89</v>
      </c>
      <c r="J89" s="60">
        <f>J21+J34+J47+J60+J73</f>
        <v>-32.826550000000005</v>
      </c>
      <c r="K89" s="1"/>
    </row>
    <row r="90">
      <c r="A90" s="1"/>
      <c r="B90" s="26" t="s">
        <v>119</v>
      </c>
      <c r="C90" s="109">
        <v>-0.01</v>
      </c>
      <c r="D90" s="109">
        <v>0.04</v>
      </c>
      <c r="E90" s="109">
        <v>0.04</v>
      </c>
      <c r="F90" s="109">
        <v>0.07</v>
      </c>
      <c r="G90" s="109">
        <v>0.04</v>
      </c>
      <c r="H90" s="109">
        <v>0.07</v>
      </c>
      <c r="I90" s="109">
        <v>0.12</v>
      </c>
      <c r="J90" s="108">
        <f>J79</f>
        <v>0.09421833333333307</v>
      </c>
      <c r="K90" s="1" t="s">
        <v>120</v>
      </c>
    </row>
    <row r="91">
      <c r="A91" s="1"/>
      <c r="B91" s="26" t="s">
        <v>121</v>
      </c>
      <c r="C91" s="109">
        <v>0</v>
      </c>
      <c r="D91" s="109">
        <v>0</v>
      </c>
      <c r="E91" s="109">
        <v>0</v>
      </c>
      <c r="F91" s="109" t="s">
        <v>89</v>
      </c>
      <c r="G91" s="109">
        <v>0</v>
      </c>
      <c r="H91" s="109">
        <v>0.01</v>
      </c>
      <c r="I91" s="109">
        <v>0.06</v>
      </c>
      <c r="J91" s="108">
        <f>J88/J83</f>
        <v>0.051926298157453935</v>
      </c>
      <c r="K91" s="1" t="s">
        <v>205</v>
      </c>
    </row>
    <row r="92">
      <c r="A92" s="1"/>
      <c r="B92" s="26" t="s">
        <v>123</v>
      </c>
      <c r="C92" s="109">
        <v>-0.01</v>
      </c>
      <c r="D92" s="109">
        <v>0.01</v>
      </c>
      <c r="E92" s="109">
        <v>0.01</v>
      </c>
      <c r="F92" s="109" t="s">
        <v>89</v>
      </c>
      <c r="G92" s="109">
        <v>0.01</v>
      </c>
      <c r="H92" s="109">
        <v>0.02</v>
      </c>
      <c r="I92" s="109">
        <v>0.01</v>
      </c>
      <c r="J92" s="108">
        <f>J89/J83</f>
        <v>-0.0054985845896147415</v>
      </c>
      <c r="K92" s="1" t="s">
        <v>124</v>
      </c>
    </row>
    <row r="93">
      <c r="A93" s="1"/>
      <c r="B93" s="26" t="s">
        <v>125</v>
      </c>
      <c r="C93" s="109">
        <v>-0.01</v>
      </c>
      <c r="D93" s="109">
        <v>0.03</v>
      </c>
      <c r="E93" s="109">
        <v>0.03</v>
      </c>
      <c r="F93" s="109">
        <v>0.05</v>
      </c>
      <c r="G93" s="109">
        <v>0.03</v>
      </c>
      <c r="H93" s="109">
        <v>0.04</v>
      </c>
      <c r="I93" s="109">
        <v>0.05</v>
      </c>
      <c r="J93" s="108">
        <f>J94</f>
        <v>0.045955646619027846</v>
      </c>
      <c r="K93" s="1" t="s">
        <v>206</v>
      </c>
    </row>
    <row r="94">
      <c r="A94" s="1"/>
      <c r="B94" s="26" t="s">
        <v>127</v>
      </c>
      <c r="C94" s="103">
        <f>(1+C79)/((1+C91)*(1+C92))-1</f>
        <v>-0.004548366770977252</v>
      </c>
      <c r="D94" s="103">
        <f>(1+D79)/((1+D91)*(1+D92))-1</f>
        <v>0.03085160895387906</v>
      </c>
      <c r="E94" s="103">
        <f>(1+E79)/((1+E91)*(1+E92))-1</f>
        <v>0.02977196674371263</v>
      </c>
      <c r="F94" s="109" t="s">
        <v>89</v>
      </c>
      <c r="G94" s="103">
        <f>(1+G79)/((1+G91)*(1+G92))-1</f>
        <v>0.02545816182861982</v>
      </c>
      <c r="H94" s="103">
        <f>(1+H79)/((1+H91)*(1+H92))-1</f>
        <v>0.03883980388026287</v>
      </c>
      <c r="I94" s="103">
        <f>(1+I79)/((1+I91)*(1+I92))-1</f>
        <v>0.04280810632560583</v>
      </c>
      <c r="J94" s="108">
        <f>(1+J79)/((1+J91)*(1+J92))-1</f>
        <v>0.045955646619027846</v>
      </c>
      <c r="K94" s="1" t="s">
        <v>207</v>
      </c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>
      <c r="A96" s="1"/>
      <c r="B96" s="13" t="s">
        <v>208</v>
      </c>
      <c r="C96" s="1"/>
      <c r="D96" s="1"/>
      <c r="E96" s="1"/>
      <c r="F96" s="1"/>
      <c r="G96" s="1"/>
      <c r="H96" s="1"/>
      <c r="I96" s="1"/>
      <c r="J96" s="1"/>
      <c r="K96" s="1"/>
    </row>
    <row r="97">
      <c r="A97" s="1"/>
      <c r="B97" s="33" t="s">
        <v>324</v>
      </c>
      <c r="C97" s="12">
        <v>731</v>
      </c>
      <c r="D97" s="12">
        <v>825</v>
      </c>
      <c r="E97" s="12">
        <v>868</v>
      </c>
      <c r="F97" s="12">
        <v>925</v>
      </c>
      <c r="G97" s="55">
        <f>SUM(C97:F97)</f>
        <v>3349</v>
      </c>
      <c r="H97" s="12">
        <v>778</v>
      </c>
      <c r="I97" s="12">
        <v>936</v>
      </c>
      <c r="J97" s="53">
        <f>J78*J106</f>
        <v>992.9374843999998</v>
      </c>
      <c r="K97" s="1" t="s">
        <v>325</v>
      </c>
    </row>
    <row r="98">
      <c r="A98" s="1"/>
      <c r="B98" s="26" t="s">
        <v>75</v>
      </c>
      <c r="C98" s="103">
        <f>C97/C100-1</f>
        <v>-0.017473118279569877</v>
      </c>
      <c r="D98" s="103">
        <f>D97/D100-1</f>
        <v>0.10738255033557054</v>
      </c>
      <c r="E98" s="103">
        <f>E97/E100-1</f>
        <v>0.12289780077619672</v>
      </c>
      <c r="F98" s="103">
        <f>F97/F100-1</f>
        <v>0.11714975845410636</v>
      </c>
      <c r="G98" s="103">
        <f>G97/G100-1</f>
        <v>0.08381877022653716</v>
      </c>
      <c r="H98" s="103">
        <f>H97/H100-1</f>
        <v>0.06429548563611487</v>
      </c>
      <c r="I98" s="103">
        <f>I97/I100-1</f>
        <v>0.13454545454545452</v>
      </c>
      <c r="J98" s="108">
        <f>J97/J100-1</f>
        <v>0.14393719400921645</v>
      </c>
      <c r="K98" s="1"/>
    </row>
    <row r="99">
      <c r="A99" s="1"/>
      <c r="B99" s="26" t="s">
        <v>85</v>
      </c>
      <c r="C99" s="21">
        <f>C97-F100</f>
        <v>-97</v>
      </c>
      <c r="D99" s="21">
        <f>D97-C97</f>
        <v>94</v>
      </c>
      <c r="E99" s="21">
        <f>E97-D97</f>
        <v>43</v>
      </c>
      <c r="F99" s="21">
        <f>F97-E97</f>
        <v>57</v>
      </c>
      <c r="G99" s="1"/>
      <c r="H99" s="21">
        <f>H97-F97</f>
        <v>-147</v>
      </c>
      <c r="I99" s="21">
        <f>I97-H97</f>
        <v>158</v>
      </c>
      <c r="J99" s="60">
        <f>J97-I97</f>
        <v>56.93748439999979</v>
      </c>
      <c r="K99" s="1"/>
    </row>
    <row r="100">
      <c r="A100" s="1"/>
      <c r="B100" s="1" t="s">
        <v>211</v>
      </c>
      <c r="C100" s="23">
        <v>744</v>
      </c>
      <c r="D100" s="23">
        <v>745</v>
      </c>
      <c r="E100" s="23">
        <v>773</v>
      </c>
      <c r="F100" s="23">
        <v>828</v>
      </c>
      <c r="G100" s="23">
        <v>3090</v>
      </c>
      <c r="H100" s="3">
        <f>C97</f>
        <v>731</v>
      </c>
      <c r="I100" s="3">
        <f>D97</f>
        <v>825</v>
      </c>
      <c r="J100" s="8">
        <f>E97</f>
        <v>868</v>
      </c>
      <c r="K100" s="1" t="s">
        <v>212</v>
      </c>
    </row>
    <row r="101">
      <c r="A101" s="1"/>
      <c r="B101" s="26" t="s">
        <v>213</v>
      </c>
      <c r="C101" s="103">
        <f>C97/C78</f>
        <v>0.1296099290780142</v>
      </c>
      <c r="D101" s="103">
        <f>D97/D78</f>
        <v>0.13761467889908258</v>
      </c>
      <c r="E101" s="103">
        <f>E97/E78</f>
        <v>0.14539363484087103</v>
      </c>
      <c r="F101" s="103">
        <f>F97/F78</f>
        <v>0.14500705439724096</v>
      </c>
      <c r="G101" s="103">
        <f>G97/G78</f>
        <v>0.1396347565043362</v>
      </c>
      <c r="H101" s="103">
        <f>H97/H78</f>
        <v>0.1288933068257124</v>
      </c>
      <c r="I101" s="103">
        <f>I97/I78</f>
        <v>0.13984760197220977</v>
      </c>
      <c r="J101" s="108">
        <f>J97/J78</f>
        <v>0.152</v>
      </c>
      <c r="K101" s="1"/>
    </row>
    <row r="102">
      <c r="A102" s="1"/>
      <c r="B102" s="26" t="s">
        <v>214</v>
      </c>
      <c r="C102" s="70">
        <f>(C101-C100/C83)*10000</f>
        <v>-3.9181825729944775</v>
      </c>
      <c r="D102" s="70">
        <f>(D101-D100/D83)*10000</f>
        <v>82.29475703528554</v>
      </c>
      <c r="E102" s="70">
        <f>(E101-E100/E83)*10000</f>
        <v>107.24645293832712</v>
      </c>
      <c r="F102" s="70">
        <f>(F101-F100/F83)*10000</f>
        <v>55.19183777294878</v>
      </c>
      <c r="G102" s="70">
        <f>(G101-G100/G83)*10000</f>
        <v>61.9778280307956</v>
      </c>
      <c r="H102" s="70">
        <f>(H101-H100/H83)*10000</f>
        <v>-7.166222523017907</v>
      </c>
      <c r="I102" s="70">
        <f>(I101-I100/I83)*10000</f>
        <v>22.329230731271966</v>
      </c>
      <c r="J102" s="69">
        <f>(J101-J100/J83)*10000</f>
        <v>66.06365159128963</v>
      </c>
      <c r="K102" s="1"/>
    </row>
    <row r="103">
      <c r="A103" s="1"/>
      <c r="B103" s="26" t="s">
        <v>215</v>
      </c>
      <c r="C103" s="70">
        <f>(C101-F100/F83)*10000</f>
        <v>-98.7794154193189</v>
      </c>
      <c r="D103" s="70">
        <f>(D101-C101)*10000</f>
        <v>80.04749821068386</v>
      </c>
      <c r="E103" s="70">
        <f>(E101-D101)*10000</f>
        <v>77.78955941788456</v>
      </c>
      <c r="F103" s="70">
        <f>(F101-E101)*10000</f>
        <v>-3.865804436300746</v>
      </c>
      <c r="G103" s="1"/>
      <c r="H103" s="70">
        <f>(H101-F101)*10000</f>
        <v>-161.13747571528558</v>
      </c>
      <c r="I103" s="70">
        <f>(I101-H101)*10000</f>
        <v>109.54295146497373</v>
      </c>
      <c r="J103" s="69">
        <f>(J101-I101)*10000</f>
        <v>121.52398027790224</v>
      </c>
      <c r="K103" s="1"/>
    </row>
    <row r="104">
      <c r="A104" s="1"/>
      <c r="B104" s="26" t="s">
        <v>216</v>
      </c>
      <c r="C104" s="103">
        <f>C100/C83</f>
        <v>0.13000174733531364</v>
      </c>
      <c r="D104" s="103">
        <f>D100/D83</f>
        <v>0.12938520319555402</v>
      </c>
      <c r="E104" s="103">
        <f>E100/E83</f>
        <v>0.13466898954703832</v>
      </c>
      <c r="F104" s="103">
        <f>F100/F83</f>
        <v>0.13948787061994608</v>
      </c>
      <c r="G104" s="103">
        <f>G100/G83</f>
        <v>0.13343697370125665</v>
      </c>
      <c r="H104" s="103">
        <f>H100/H83</f>
        <v>0.1296099290780142</v>
      </c>
      <c r="I104" s="103">
        <f>I100/I83</f>
        <v>0.13761467889908258</v>
      </c>
      <c r="J104" s="108">
        <f>J100/J83</f>
        <v>0.14539363484087103</v>
      </c>
      <c r="K104" s="1" t="s">
        <v>217</v>
      </c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>
      <c r="A106" s="1"/>
      <c r="B106" s="26" t="s">
        <v>218</v>
      </c>
      <c r="C106" s="1"/>
      <c r="D106" s="1"/>
      <c r="E106" s="1"/>
      <c r="F106" s="1"/>
      <c r="G106" s="1"/>
      <c r="H106" s="1"/>
      <c r="I106" s="1"/>
      <c r="J106" s="112">
        <v>0.152</v>
      </c>
      <c r="K106" s="1" t="s">
        <v>326</v>
      </c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ht="66">
      <c r="A108" s="1"/>
      <c r="B108" s="13" t="s">
        <v>220</v>
      </c>
      <c r="C108" s="1"/>
      <c r="D108" s="1"/>
      <c r="E108" s="1"/>
      <c r="F108" s="1"/>
      <c r="G108" s="1"/>
      <c r="H108" s="1"/>
      <c r="I108" s="1"/>
      <c r="J108" s="1"/>
      <c r="K108" s="118" t="s">
        <v>221</v>
      </c>
    </row>
    <row r="109">
      <c r="A109" s="1"/>
      <c r="B109" s="1" t="s">
        <v>222</v>
      </c>
      <c r="C109" s="23">
        <v>5603</v>
      </c>
      <c r="D109" s="23">
        <v>5953</v>
      </c>
      <c r="E109" s="23">
        <v>5927</v>
      </c>
      <c r="F109" s="3">
        <f>G109-C109-D109-E109</f>
        <v>6335</v>
      </c>
      <c r="G109" s="23">
        <v>23818</v>
      </c>
      <c r="H109" s="23">
        <v>5995</v>
      </c>
      <c r="I109" s="23">
        <v>6652</v>
      </c>
      <c r="J109" s="8">
        <f>J78-J112</f>
        <v>6488.40979642147</v>
      </c>
      <c r="K109" s="1" t="s">
        <v>223</v>
      </c>
    </row>
    <row r="110">
      <c r="A110" s="1"/>
      <c r="B110" s="26" t="s">
        <v>85</v>
      </c>
      <c r="C110" s="58" t="s">
        <v>34</v>
      </c>
      <c r="D110" s="21">
        <f>D109-C109</f>
        <v>350</v>
      </c>
      <c r="E110" s="21">
        <f>E109-D109</f>
        <v>-26</v>
      </c>
      <c r="F110" s="21">
        <f>F109-E109</f>
        <v>408</v>
      </c>
      <c r="G110" s="1"/>
      <c r="H110" s="21">
        <f>H109-F109</f>
        <v>-340</v>
      </c>
      <c r="I110" s="21">
        <f>I109-H109</f>
        <v>657</v>
      </c>
      <c r="J110" s="60">
        <f>J109-I109</f>
        <v>-163.59020357853024</v>
      </c>
      <c r="K110" s="1"/>
    </row>
    <row r="111">
      <c r="A111" s="1"/>
      <c r="B111" s="26" t="s">
        <v>75</v>
      </c>
      <c r="C111" s="109" t="s">
        <v>34</v>
      </c>
      <c r="D111" s="109" t="s">
        <v>34</v>
      </c>
      <c r="E111" s="109" t="s">
        <v>34</v>
      </c>
      <c r="F111" s="109" t="s">
        <v>34</v>
      </c>
      <c r="G111" s="109" t="s">
        <v>34</v>
      </c>
      <c r="H111" s="103">
        <f>H109/C109-1</f>
        <v>0.06996252007852943</v>
      </c>
      <c r="I111" s="103">
        <f>I109/D109-1</f>
        <v>0.1174197883420125</v>
      </c>
      <c r="J111" s="108">
        <f>J109/E109-1</f>
        <v>0.09472073501290201</v>
      </c>
      <c r="K111" s="1"/>
    </row>
    <row r="112">
      <c r="A112" s="1"/>
      <c r="B112" s="1" t="s">
        <v>224</v>
      </c>
      <c r="C112" s="23">
        <v>37</v>
      </c>
      <c r="D112" s="23">
        <v>42</v>
      </c>
      <c r="E112" s="23">
        <v>43</v>
      </c>
      <c r="F112" s="3">
        <f>G112-C112-D112-E112</f>
        <v>45</v>
      </c>
      <c r="G112" s="23">
        <v>167</v>
      </c>
      <c r="H112" s="23">
        <v>41</v>
      </c>
      <c r="I112" s="23">
        <v>41</v>
      </c>
      <c r="J112" s="50">
        <f>E112*'Revenue summary'!J28/'Revenue summary'!E28</f>
        <v>44.07365357852883</v>
      </c>
      <c r="K112" s="1" t="s">
        <v>225</v>
      </c>
    </row>
    <row r="113">
      <c r="A113" s="1"/>
      <c r="B113" s="26" t="s">
        <v>85</v>
      </c>
      <c r="C113" s="58" t="s">
        <v>34</v>
      </c>
      <c r="D113" s="21">
        <f>D112-C112</f>
        <v>5</v>
      </c>
      <c r="E113" s="21">
        <f>E112-D112</f>
        <v>1</v>
      </c>
      <c r="F113" s="21">
        <f>F112-E112</f>
        <v>2</v>
      </c>
      <c r="G113" s="1"/>
      <c r="H113" s="21">
        <f>H112-F112</f>
        <v>-4</v>
      </c>
      <c r="I113" s="21">
        <f>I112-H112</f>
        <v>0</v>
      </c>
      <c r="J113" s="60">
        <f>J112-I112</f>
        <v>3.073653578528827</v>
      </c>
      <c r="K113" s="1"/>
    </row>
    <row r="114">
      <c r="A114" s="1"/>
      <c r="B114" s="26" t="s">
        <v>75</v>
      </c>
      <c r="C114" s="109" t="s">
        <v>34</v>
      </c>
      <c r="D114" s="109" t="s">
        <v>34</v>
      </c>
      <c r="E114" s="109" t="s">
        <v>34</v>
      </c>
      <c r="F114" s="109" t="s">
        <v>34</v>
      </c>
      <c r="G114" s="109" t="s">
        <v>34</v>
      </c>
      <c r="H114" s="103">
        <f>H112/C112-1</f>
        <v>0.10810810810810811</v>
      </c>
      <c r="I114" s="103">
        <f>I112/D112-1</f>
        <v>-0.023809523809523836</v>
      </c>
      <c r="J114" s="108">
        <f>J112/E112-1</f>
        <v>0.024968687872763518</v>
      </c>
      <c r="K114" s="1"/>
    </row>
    <row r="115">
      <c r="A115" s="1"/>
      <c r="B115" s="26" t="s">
        <v>226</v>
      </c>
      <c r="C115" s="103">
        <f>C112/C78</f>
        <v>0.006560283687943262</v>
      </c>
      <c r="D115" s="103">
        <f>D112/D78</f>
        <v>0.007005838198498749</v>
      </c>
      <c r="E115" s="103">
        <f>E112/E78</f>
        <v>0.007202680067001675</v>
      </c>
      <c r="F115" s="103">
        <f>F112/F78</f>
        <v>0.007054397240946857</v>
      </c>
      <c r="G115" s="103">
        <f>G112/G78</f>
        <v>0.006962975316877919</v>
      </c>
      <c r="H115" s="103">
        <f>H112/H78</f>
        <v>0.006792577866136514</v>
      </c>
      <c r="I115" s="103">
        <f>I112/I78</f>
        <v>0.006125803077842522</v>
      </c>
      <c r="J115" s="108">
        <f>J112/J78</f>
        <v>0.006746845042298398</v>
      </c>
      <c r="K115" s="1"/>
    </row>
    <row r="116">
      <c r="A116" s="1"/>
      <c r="B116" s="26" t="s">
        <v>214</v>
      </c>
      <c r="C116" s="65" t="s">
        <v>34</v>
      </c>
      <c r="D116" s="65" t="s">
        <v>34</v>
      </c>
      <c r="E116" s="65" t="s">
        <v>34</v>
      </c>
      <c r="F116" s="65" t="s">
        <v>34</v>
      </c>
      <c r="G116" s="65" t="s">
        <v>34</v>
      </c>
      <c r="H116" s="70">
        <f>(H115-C115)*10000</f>
        <v>2.322941781932519</v>
      </c>
      <c r="I116" s="70">
        <f>(I115-D115)*10000</f>
        <v>-8.800351206562267</v>
      </c>
      <c r="J116" s="69">
        <f>(J115-E115)*10000</f>
        <v>-4.5583502470327755</v>
      </c>
      <c r="K116" s="1"/>
    </row>
    <row r="117">
      <c r="A117" s="1"/>
      <c r="B117" s="26" t="s">
        <v>215</v>
      </c>
      <c r="C117" s="65" t="s">
        <v>34</v>
      </c>
      <c r="D117" s="70">
        <f>(D115-C115)*10000</f>
        <v>4.455545105554867</v>
      </c>
      <c r="E117" s="70">
        <f>(E115-D115)*10000</f>
        <v>1.9684186850292638</v>
      </c>
      <c r="F117" s="70">
        <f>(F115-E115)*10000</f>
        <v>-1.4828282605481875</v>
      </c>
      <c r="G117" s="1"/>
      <c r="H117" s="70">
        <f>(H115-F115)*10000</f>
        <v>-2.6181937481034243</v>
      </c>
      <c r="I117" s="70">
        <f>(I115-H115)*10000</f>
        <v>-6.667747882939919</v>
      </c>
      <c r="J117" s="69">
        <f>(J115-I115)*10000</f>
        <v>6.210419644558756</v>
      </c>
      <c r="K117" s="1"/>
    </row>
    <row r="118">
      <c r="A118" s="1"/>
      <c r="B118" s="33" t="s">
        <v>227</v>
      </c>
      <c r="C118" s="55">
        <f>C109+C112</f>
        <v>5640</v>
      </c>
      <c r="D118" s="55">
        <f>D109+D112</f>
        <v>5995</v>
      </c>
      <c r="E118" s="55">
        <f>E109+E112</f>
        <v>5970</v>
      </c>
      <c r="F118" s="55">
        <f>F109+F112</f>
        <v>6380</v>
      </c>
      <c r="G118" s="55">
        <f>G109+G112</f>
        <v>23985</v>
      </c>
      <c r="H118" s="55">
        <f>H109+H112</f>
        <v>6036</v>
      </c>
      <c r="I118" s="55">
        <f>I109+I112</f>
        <v>6693</v>
      </c>
      <c r="J118" s="53">
        <f>J109+J112</f>
        <v>6532.483449999999</v>
      </c>
      <c r="K118" s="1" t="s">
        <v>228</v>
      </c>
    </row>
    <row r="119">
      <c r="A119" s="1"/>
      <c r="B119" s="1" t="s">
        <v>229</v>
      </c>
      <c r="C119" s="40" t="b">
        <f>ABS(C118-C78)&lt;=2</f>
        <v>1</v>
      </c>
      <c r="D119" s="40" t="b">
        <f>ABS(D118-D78)&lt;=2</f>
        <v>1</v>
      </c>
      <c r="E119" s="40" t="b">
        <f>ABS(E118-E78)&lt;=2</f>
        <v>1</v>
      </c>
      <c r="F119" s="40" t="b">
        <f>ABS(F118-F78)&lt;=2</f>
        <v>1</v>
      </c>
      <c r="G119" s="40" t="b">
        <f>ABS(G118-G78)&lt;=2</f>
        <v>1</v>
      </c>
      <c r="H119" s="40" t="b">
        <f>ABS(H118-H78)&lt;=2</f>
        <v>1</v>
      </c>
      <c r="I119" s="40" t="b">
        <f>ABS(I118-I78)&lt;=2</f>
        <v>1</v>
      </c>
      <c r="J119" s="76" t="b">
        <f>ABS(J118-J78)&lt;=2</f>
        <v>1</v>
      </c>
      <c r="K119" s="1" t="s">
        <v>230</v>
      </c>
    </row>
    <row r="120">
      <c r="A120" s="1"/>
      <c r="B120" s="1" t="s">
        <v>231</v>
      </c>
      <c r="C120" s="23">
        <v>4410</v>
      </c>
      <c r="D120" s="23">
        <v>4667</v>
      </c>
      <c r="E120" s="23">
        <v>4622</v>
      </c>
      <c r="F120" s="3">
        <f>G120-C120-D120-E120</f>
        <v>4910</v>
      </c>
      <c r="G120" s="23">
        <v>18609</v>
      </c>
      <c r="H120" s="23">
        <v>4757</v>
      </c>
      <c r="I120" s="23">
        <v>5150</v>
      </c>
      <c r="J120" s="8">
        <f>J118*J147</f>
        <v>4964.687421999999</v>
      </c>
      <c r="K120" s="1"/>
    </row>
    <row r="121">
      <c r="A121" s="1"/>
      <c r="B121" s="26" t="s">
        <v>85</v>
      </c>
      <c r="C121" s="58" t="s">
        <v>34</v>
      </c>
      <c r="D121" s="21">
        <f>D120-C120</f>
        <v>257</v>
      </c>
      <c r="E121" s="21">
        <f>E120-D120</f>
        <v>-45</v>
      </c>
      <c r="F121" s="21">
        <f>F120-E120</f>
        <v>288</v>
      </c>
      <c r="G121" s="1"/>
      <c r="H121" s="21">
        <f>H120-F120</f>
        <v>-153</v>
      </c>
      <c r="I121" s="21">
        <f>I120-H120</f>
        <v>393</v>
      </c>
      <c r="J121" s="60">
        <f>J120-I120</f>
        <v>-185.31257800000094</v>
      </c>
      <c r="K121" s="1"/>
    </row>
    <row r="122">
      <c r="A122" s="1"/>
      <c r="B122" s="26" t="s">
        <v>75</v>
      </c>
      <c r="C122" s="109" t="s">
        <v>34</v>
      </c>
      <c r="D122" s="109" t="s">
        <v>34</v>
      </c>
      <c r="E122" s="109" t="s">
        <v>34</v>
      </c>
      <c r="F122" s="109" t="s">
        <v>34</v>
      </c>
      <c r="G122" s="109" t="s">
        <v>34</v>
      </c>
      <c r="H122" s="103">
        <f>H120/C120-1</f>
        <v>0.07868480725623583</v>
      </c>
      <c r="I122" s="103">
        <f>I120/D120-1</f>
        <v>0.10349260767088064</v>
      </c>
      <c r="J122" s="108">
        <f>J120/E120-1</f>
        <v>0.07414267027260912</v>
      </c>
      <c r="K122" s="1"/>
    </row>
    <row r="123">
      <c r="A123" s="1"/>
      <c r="B123" s="26" t="s">
        <v>226</v>
      </c>
      <c r="C123" s="103">
        <f>C120/C118</f>
        <v>0.7819148936170213</v>
      </c>
      <c r="D123" s="103">
        <f>D120/D118</f>
        <v>0.7784820683903253</v>
      </c>
      <c r="E123" s="103">
        <f>E120/E118</f>
        <v>0.7742043551088778</v>
      </c>
      <c r="F123" s="103">
        <f>F120/F118</f>
        <v>0.7695924764890282</v>
      </c>
      <c r="G123" s="103">
        <f>G120/G118</f>
        <v>0.7758599124452783</v>
      </c>
      <c r="H123" s="103">
        <f>H120/H118</f>
        <v>0.788104705102717</v>
      </c>
      <c r="I123" s="103">
        <f>I120/I118</f>
        <v>0.7694606305094875</v>
      </c>
      <c r="J123" s="108">
        <f>J120/J118</f>
        <v>0.76</v>
      </c>
      <c r="K123" s="1"/>
    </row>
    <row r="124">
      <c r="A124" s="1"/>
      <c r="B124" s="26" t="s">
        <v>214</v>
      </c>
      <c r="C124" s="65" t="s">
        <v>34</v>
      </c>
      <c r="D124" s="65" t="s">
        <v>34</v>
      </c>
      <c r="E124" s="65" t="s">
        <v>34</v>
      </c>
      <c r="F124" s="65" t="s">
        <v>34</v>
      </c>
      <c r="G124" s="65" t="s">
        <v>34</v>
      </c>
      <c r="H124" s="70">
        <f>(H123-C123)*10000</f>
        <v>61.898114856957505</v>
      </c>
      <c r="I124" s="70">
        <f>(I123-D123)*10000</f>
        <v>-90.21437880837757</v>
      </c>
      <c r="J124" s="69">
        <f>(J123-E123)*10000</f>
        <v>-142.0435510887774</v>
      </c>
      <c r="K124" s="1"/>
    </row>
    <row r="125">
      <c r="A125" s="1"/>
      <c r="B125" s="26" t="s">
        <v>215</v>
      </c>
      <c r="C125" s="65" t="s">
        <v>34</v>
      </c>
      <c r="D125" s="70">
        <f>(D123-C123)*10000</f>
        <v>-34.32825226695968</v>
      </c>
      <c r="E125" s="70">
        <f>(E123-D123)*10000</f>
        <v>-42.77713281447548</v>
      </c>
      <c r="F125" s="70">
        <f>(F123-E123)*10000</f>
        <v>-46.11878619849574</v>
      </c>
      <c r="G125" s="1"/>
      <c r="H125" s="70">
        <f>(H123-F123)*10000</f>
        <v>185.12228613688842</v>
      </c>
      <c r="I125" s="70">
        <f>(I123-H123)*10000</f>
        <v>-186.44074593229476</v>
      </c>
      <c r="J125" s="69">
        <f>(J123-I123)*10000</f>
        <v>-94.60630509487532</v>
      </c>
      <c r="K125" s="1"/>
    </row>
    <row r="126">
      <c r="A126" s="1"/>
      <c r="B126" s="1" t="s">
        <v>232</v>
      </c>
      <c r="C126" s="23">
        <v>588</v>
      </c>
      <c r="D126" s="23">
        <v>595</v>
      </c>
      <c r="E126" s="23">
        <v>582</v>
      </c>
      <c r="F126" s="3">
        <f>G126-C126-D126-E126</f>
        <v>627</v>
      </c>
      <c r="G126" s="23">
        <v>2392</v>
      </c>
      <c r="H126" s="23">
        <v>597</v>
      </c>
      <c r="I126" s="23">
        <v>677</v>
      </c>
      <c r="J126" s="8">
        <f>J118*J148</f>
        <v>666.3133118999998</v>
      </c>
      <c r="K126" s="1" t="s">
        <v>233</v>
      </c>
    </row>
    <row r="127">
      <c r="A127" s="1"/>
      <c r="B127" s="26" t="s">
        <v>85</v>
      </c>
      <c r="C127" s="58" t="s">
        <v>34</v>
      </c>
      <c r="D127" s="21">
        <f>D126-C126</f>
        <v>7</v>
      </c>
      <c r="E127" s="21">
        <f>E126-D126</f>
        <v>-13</v>
      </c>
      <c r="F127" s="21">
        <f>F126-E126</f>
        <v>45</v>
      </c>
      <c r="G127" s="1"/>
      <c r="H127" s="21">
        <f>H126-F126</f>
        <v>-30</v>
      </c>
      <c r="I127" s="21">
        <f>I126-H126</f>
        <v>80</v>
      </c>
      <c r="J127" s="60">
        <f>J126-I126</f>
        <v>-10.686688100000197</v>
      </c>
      <c r="K127" s="1"/>
    </row>
    <row r="128">
      <c r="A128" s="1"/>
      <c r="B128" s="26" t="s">
        <v>75</v>
      </c>
      <c r="C128" s="109" t="s">
        <v>34</v>
      </c>
      <c r="D128" s="109" t="s">
        <v>34</v>
      </c>
      <c r="E128" s="109" t="s">
        <v>34</v>
      </c>
      <c r="F128" s="109" t="s">
        <v>34</v>
      </c>
      <c r="G128" s="109" t="s">
        <v>34</v>
      </c>
      <c r="H128" s="103">
        <f>H126/C126-1</f>
        <v>0.015306122448979664</v>
      </c>
      <c r="I128" s="103">
        <f>I126/D126-1</f>
        <v>0.13781512605042012</v>
      </c>
      <c r="J128" s="108">
        <f>J126/E126-1</f>
        <v>0.14486823350515432</v>
      </c>
      <c r="K128" s="1"/>
    </row>
    <row r="129">
      <c r="A129" s="1"/>
      <c r="B129" s="26" t="s">
        <v>226</v>
      </c>
      <c r="C129" s="103">
        <f>C126/C118</f>
        <v>0.10425531914893617</v>
      </c>
      <c r="D129" s="103">
        <f>D126/D118</f>
        <v>0.09924937447873228</v>
      </c>
      <c r="E129" s="103">
        <f>E126/E118</f>
        <v>0.09748743718592964</v>
      </c>
      <c r="F129" s="103">
        <f>F126/F118</f>
        <v>0.09827586206896552</v>
      </c>
      <c r="G129" s="103">
        <f>G126/G118</f>
        <v>0.0997289972899729</v>
      </c>
      <c r="H129" s="103">
        <f>H126/H118</f>
        <v>0.0989065606361829</v>
      </c>
      <c r="I129" s="103">
        <f>I126/I118</f>
        <v>0.10115045569998506</v>
      </c>
      <c r="J129" s="108">
        <f>J126/J118</f>
        <v>0.102</v>
      </c>
      <c r="K129" s="1"/>
    </row>
    <row r="130">
      <c r="A130" s="1"/>
      <c r="B130" s="26" t="s">
        <v>214</v>
      </c>
      <c r="C130" s="65" t="s">
        <v>34</v>
      </c>
      <c r="D130" s="65" t="s">
        <v>34</v>
      </c>
      <c r="E130" s="65" t="s">
        <v>34</v>
      </c>
      <c r="F130" s="65" t="s">
        <v>34</v>
      </c>
      <c r="G130" s="65" t="s">
        <v>34</v>
      </c>
      <c r="H130" s="70">
        <f>(H129-C129)*10000</f>
        <v>-53.487585127532654</v>
      </c>
      <c r="I130" s="70">
        <f>(I129-D129)*10000</f>
        <v>19.01081221252779</v>
      </c>
      <c r="J130" s="69">
        <f>(J129-E129)*10000</f>
        <v>45.125628140703505</v>
      </c>
      <c r="K130" s="1"/>
    </row>
    <row r="131">
      <c r="A131" s="1"/>
      <c r="B131" s="26" t="s">
        <v>215</v>
      </c>
      <c r="C131" s="65" t="s">
        <v>34</v>
      </c>
      <c r="D131" s="70">
        <f>(D129-C129)*10000</f>
        <v>-50.059446702038905</v>
      </c>
      <c r="E131" s="70">
        <f>(E129-D129)*10000</f>
        <v>-17.619372928026344</v>
      </c>
      <c r="F131" s="70">
        <f>(F129-E129)*10000</f>
        <v>7.884248830358764</v>
      </c>
      <c r="G131" s="1"/>
      <c r="H131" s="70">
        <f>(H129-F129)*10000</f>
        <v>6.306985672173831</v>
      </c>
      <c r="I131" s="70">
        <f>(I129-H129)*10000</f>
        <v>22.438950638021538</v>
      </c>
      <c r="J131" s="69">
        <f>(J129-I129)*10000</f>
        <v>8.495443000149372</v>
      </c>
      <c r="K131" s="1"/>
    </row>
    <row r="132">
      <c r="A132" s="1"/>
      <c r="B132" s="1" t="s">
        <v>234</v>
      </c>
      <c r="C132" s="23">
        <v>13</v>
      </c>
      <c r="D132" s="23">
        <v>14</v>
      </c>
      <c r="E132" s="23">
        <v>14</v>
      </c>
      <c r="F132" s="3">
        <f>G132-C132-D132-E132</f>
        <v>15</v>
      </c>
      <c r="G132" s="23">
        <v>56</v>
      </c>
      <c r="H132" s="23">
        <v>15</v>
      </c>
      <c r="I132" s="23">
        <v>27</v>
      </c>
      <c r="J132" s="8">
        <f>J149</f>
        <v>27</v>
      </c>
      <c r="K132" s="1"/>
    </row>
    <row r="133">
      <c r="A133" s="1"/>
      <c r="B133" s="26" t="s">
        <v>85</v>
      </c>
      <c r="C133" s="58" t="s">
        <v>34</v>
      </c>
      <c r="D133" s="21">
        <f>D132-C132</f>
        <v>1</v>
      </c>
      <c r="E133" s="21">
        <f>E132-D132</f>
        <v>0</v>
      </c>
      <c r="F133" s="21">
        <f>F132-E132</f>
        <v>1</v>
      </c>
      <c r="G133" s="1"/>
      <c r="H133" s="21">
        <f>H132-F132</f>
        <v>0</v>
      </c>
      <c r="I133" s="21">
        <f>I132-H132</f>
        <v>12</v>
      </c>
      <c r="J133" s="60">
        <f>J132-I132</f>
        <v>0</v>
      </c>
      <c r="K133" s="1"/>
    </row>
    <row r="134">
      <c r="A134" s="1"/>
      <c r="B134" s="26" t="s">
        <v>75</v>
      </c>
      <c r="C134" s="109" t="s">
        <v>34</v>
      </c>
      <c r="D134" s="109" t="s">
        <v>34</v>
      </c>
      <c r="E134" s="109" t="s">
        <v>34</v>
      </c>
      <c r="F134" s="109" t="s">
        <v>34</v>
      </c>
      <c r="G134" s="109" t="s">
        <v>34</v>
      </c>
      <c r="H134" s="103">
        <f>H132/C132-1</f>
        <v>0.15384615384615374</v>
      </c>
      <c r="I134" s="103">
        <f>I132/D132-1</f>
        <v>0.9285714285714286</v>
      </c>
      <c r="J134" s="108">
        <f>J132/E132-1</f>
        <v>0.9285714285714286</v>
      </c>
      <c r="K134" s="1"/>
    </row>
    <row r="135">
      <c r="A135" s="1"/>
      <c r="B135" s="26" t="s">
        <v>226</v>
      </c>
      <c r="C135" s="103">
        <f>C132/C118</f>
        <v>0.002304964539007092</v>
      </c>
      <c r="D135" s="103">
        <f>D132/D118</f>
        <v>0.002335279399499583</v>
      </c>
      <c r="E135" s="103">
        <f>E132/E118</f>
        <v>0.0023450586264656616</v>
      </c>
      <c r="F135" s="103">
        <f>F132/F118</f>
        <v>0.0023510971786833857</v>
      </c>
      <c r="G135" s="103">
        <f>G132/G118</f>
        <v>0.0023347925786950177</v>
      </c>
      <c r="H135" s="103">
        <f>H132/H118</f>
        <v>0.002485089463220676</v>
      </c>
      <c r="I135" s="103">
        <f>I132/I118</f>
        <v>0.004034065441506051</v>
      </c>
      <c r="J135" s="108">
        <f>J132/J118</f>
        <v>0.004133190723965784</v>
      </c>
      <c r="K135" s="1"/>
    </row>
    <row r="136">
      <c r="A136" s="1"/>
      <c r="B136" s="26" t="s">
        <v>214</v>
      </c>
      <c r="C136" s="65" t="s">
        <v>34</v>
      </c>
      <c r="D136" s="65" t="s">
        <v>34</v>
      </c>
      <c r="E136" s="65" t="s">
        <v>34</v>
      </c>
      <c r="F136" s="65" t="s">
        <v>34</v>
      </c>
      <c r="G136" s="65" t="s">
        <v>34</v>
      </c>
      <c r="H136" s="70">
        <f>(H135-C135)*10000</f>
        <v>1.8012492421358395</v>
      </c>
      <c r="I136" s="70">
        <f>(I135-D135)*10000</f>
        <v>16.98786042006468</v>
      </c>
      <c r="J136" s="69">
        <f>(J135-E135)*10000</f>
        <v>17.881320975001227</v>
      </c>
      <c r="K136" s="1"/>
    </row>
    <row r="137">
      <c r="A137" s="1"/>
      <c r="B137" s="26" t="s">
        <v>215</v>
      </c>
      <c r="C137" s="65" t="s">
        <v>34</v>
      </c>
      <c r="D137" s="70">
        <f>(D135-C135)*10000</f>
        <v>0.30314860492491097</v>
      </c>
      <c r="E137" s="70">
        <f>(E135-D135)*10000</f>
        <v>0.09779226966078435</v>
      </c>
      <c r="F137" s="70">
        <f>(F135-E135)*10000</f>
        <v>0.060385522177241156</v>
      </c>
      <c r="G137" s="1"/>
      <c r="H137" s="70">
        <f>(H135-F135)*10000</f>
        <v>1.339922845372903</v>
      </c>
      <c r="I137" s="70">
        <f>(I135-H135)*10000</f>
        <v>15.489759782853753</v>
      </c>
      <c r="J137" s="69">
        <f>(J135-I135)*10000</f>
        <v>0.9912528245973294</v>
      </c>
      <c r="K137" s="1"/>
    </row>
    <row r="138">
      <c r="A138" s="1"/>
      <c r="B138" s="1" t="s">
        <v>235</v>
      </c>
      <c r="C138" s="23">
        <v>-103</v>
      </c>
      <c r="D138" s="23">
        <v>-106</v>
      </c>
      <c r="E138" s="23">
        <v>-116</v>
      </c>
      <c r="F138" s="3">
        <f>G138-C138-D138-E138</f>
        <v>-97</v>
      </c>
      <c r="G138" s="23">
        <v>-422</v>
      </c>
      <c r="H138" s="23">
        <v>-110</v>
      </c>
      <c r="I138" s="23">
        <v>-97</v>
      </c>
      <c r="J138" s="8">
        <f>J118-J120-J126-J132-J97</f>
        <v>-118.45476829999984</v>
      </c>
      <c r="K138" s="1" t="s">
        <v>327</v>
      </c>
    </row>
    <row r="139">
      <c r="A139" s="1"/>
      <c r="B139" s="26" t="s">
        <v>85</v>
      </c>
      <c r="C139" s="58" t="s">
        <v>34</v>
      </c>
      <c r="D139" s="21">
        <f>D138-C138</f>
        <v>-3</v>
      </c>
      <c r="E139" s="21">
        <f>E138-D138</f>
        <v>-10</v>
      </c>
      <c r="F139" s="21">
        <f>F138-E138</f>
        <v>19</v>
      </c>
      <c r="G139" s="1"/>
      <c r="H139" s="21">
        <f>H138-F138</f>
        <v>-13</v>
      </c>
      <c r="I139" s="21">
        <f>I138-H138</f>
        <v>13</v>
      </c>
      <c r="J139" s="60">
        <f>J138-I138</f>
        <v>-21.45476829999984</v>
      </c>
      <c r="K139" s="1"/>
    </row>
    <row r="140">
      <c r="A140" s="1"/>
      <c r="B140" s="33" t="s">
        <v>237</v>
      </c>
      <c r="C140" s="55">
        <f>C118-C120-C126-C132-C138</f>
        <v>732</v>
      </c>
      <c r="D140" s="55">
        <f>D118-D120-D126-D132-D138</f>
        <v>825</v>
      </c>
      <c r="E140" s="55">
        <f>E118-E120-E126-E132-E138</f>
        <v>868</v>
      </c>
      <c r="F140" s="55">
        <f>F118-F120-F126-F132-F138</f>
        <v>925</v>
      </c>
      <c r="G140" s="55">
        <f>G118-G120-G126-G132-G138</f>
        <v>3350</v>
      </c>
      <c r="H140" s="55">
        <f>H118-H120-H126-H132-H138</f>
        <v>777</v>
      </c>
      <c r="I140" s="55">
        <f>I118-I120-I126-I132-I138</f>
        <v>936</v>
      </c>
      <c r="J140" s="53">
        <f>J118-J120-J126-J132-J138</f>
        <v>992.9374843999998</v>
      </c>
      <c r="K140" s="1" t="s">
        <v>238</v>
      </c>
    </row>
    <row r="141">
      <c r="A141" s="1"/>
      <c r="B141" s="1" t="s">
        <v>239</v>
      </c>
      <c r="C141" s="40" t="b">
        <f>ABS(C140-C97)&lt;=2</f>
        <v>1</v>
      </c>
      <c r="D141" s="40" t="b">
        <f>ABS(D140-D97)&lt;=2</f>
        <v>1</v>
      </c>
      <c r="E141" s="40" t="b">
        <f>ABS(E140-E97)&lt;=2</f>
        <v>1</v>
      </c>
      <c r="F141" s="40" t="b">
        <f>ABS(F140-F97)&lt;=2</f>
        <v>1</v>
      </c>
      <c r="G141" s="40" t="b">
        <f>ABS(G140-G97)&lt;=2</f>
        <v>1</v>
      </c>
      <c r="H141" s="40" t="b">
        <f>ABS(H140-H97)&lt;=2</f>
        <v>1</v>
      </c>
      <c r="I141" s="40" t="b">
        <f>ABS(I140-I97)&lt;=2</f>
        <v>1</v>
      </c>
      <c r="J141" s="76" t="b">
        <f>ABS(J140-J97)&lt;=2</f>
        <v>1</v>
      </c>
      <c r="K141" s="1" t="s">
        <v>240</v>
      </c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>
      <c r="A143" s="1"/>
      <c r="B143" s="1" t="s">
        <v>241</v>
      </c>
      <c r="C143" s="23">
        <v>205</v>
      </c>
      <c r="D143" s="23">
        <v>206</v>
      </c>
      <c r="E143" s="23">
        <v>297</v>
      </c>
      <c r="F143" s="3">
        <f>G143-C143-D143-E143</f>
        <v>297</v>
      </c>
      <c r="G143" s="23">
        <v>1005</v>
      </c>
      <c r="H143" s="23">
        <v>259</v>
      </c>
      <c r="I143" s="23">
        <v>260</v>
      </c>
      <c r="J143" s="57" t="s">
        <v>242</v>
      </c>
      <c r="K143" s="1" t="s">
        <v>243</v>
      </c>
    </row>
    <row r="144">
      <c r="A144" s="1"/>
      <c r="B144" s="1" t="s">
        <v>244</v>
      </c>
      <c r="C144" s="23">
        <v>172</v>
      </c>
      <c r="D144" s="23">
        <v>152</v>
      </c>
      <c r="E144" s="23">
        <v>115</v>
      </c>
      <c r="F144" s="3">
        <f>G144-C144-D144-E144</f>
        <v>165</v>
      </c>
      <c r="G144" s="23">
        <v>604</v>
      </c>
      <c r="H144" s="23">
        <v>186</v>
      </c>
      <c r="I144" s="23">
        <v>216</v>
      </c>
      <c r="J144" s="57" t="s">
        <v>242</v>
      </c>
      <c r="K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>
      <c r="A146" s="1"/>
      <c r="B146" s="13" t="s">
        <v>245</v>
      </c>
      <c r="C146" s="1"/>
      <c r="D146" s="1"/>
      <c r="E146" s="1"/>
      <c r="F146" s="1"/>
      <c r="G146" s="1"/>
      <c r="H146" s="1"/>
      <c r="I146" s="1"/>
      <c r="J146" s="1"/>
      <c r="K146" s="1" t="s">
        <v>328</v>
      </c>
    </row>
    <row r="147">
      <c r="A147" s="1"/>
      <c r="B147" s="26" t="s">
        <v>247</v>
      </c>
      <c r="C147" s="1"/>
      <c r="D147" s="1"/>
      <c r="E147" s="1"/>
      <c r="F147" s="1"/>
      <c r="G147" s="1"/>
      <c r="H147" s="1"/>
      <c r="I147" s="1"/>
      <c r="J147" s="112">
        <v>0.76</v>
      </c>
      <c r="K147" s="1" t="s">
        <v>329</v>
      </c>
    </row>
    <row r="148">
      <c r="A148" s="1"/>
      <c r="B148" s="26" t="s">
        <v>249</v>
      </c>
      <c r="C148" s="1"/>
      <c r="D148" s="1"/>
      <c r="E148" s="1"/>
      <c r="F148" s="1"/>
      <c r="G148" s="1"/>
      <c r="H148" s="1"/>
      <c r="I148" s="1"/>
      <c r="J148" s="112">
        <v>0.102</v>
      </c>
      <c r="K148" s="1"/>
    </row>
    <row r="149">
      <c r="A149" s="1"/>
      <c r="B149" s="1" t="s">
        <v>250</v>
      </c>
      <c r="C149" s="1"/>
      <c r="D149" s="1"/>
      <c r="E149" s="1"/>
      <c r="F149" s="1"/>
      <c r="G149" s="1"/>
      <c r="H149" s="1"/>
      <c r="I149" s="1"/>
      <c r="J149" s="57">
        <v>27</v>
      </c>
      <c r="K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9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330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61</v>
      </c>
      <c r="C5" s="16" t="s">
        <v>62</v>
      </c>
      <c r="D5" s="16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6" t="s">
        <v>68</v>
      </c>
      <c r="J5" s="43" t="s">
        <v>69</v>
      </c>
      <c r="K5" s="9" t="s">
        <v>4</v>
      </c>
    </row>
    <row r="6">
      <c r="A6" s="1"/>
      <c r="B6" s="6" t="s">
        <v>70</v>
      </c>
      <c r="C6" s="14">
        <v>45745</v>
      </c>
      <c r="D6" s="14">
        <v>45836</v>
      </c>
      <c r="E6" s="14">
        <v>45927</v>
      </c>
      <c r="F6" s="14">
        <v>46022</v>
      </c>
      <c r="G6" s="14">
        <v>46022</v>
      </c>
      <c r="H6" s="14">
        <v>46109</v>
      </c>
      <c r="I6" s="14">
        <v>46200</v>
      </c>
      <c r="J6" s="45">
        <v>46291</v>
      </c>
      <c r="K6" s="6" t="s">
        <v>71</v>
      </c>
    </row>
    <row r="7">
      <c r="A7" s="1"/>
      <c r="B7" s="28" t="s">
        <v>72</v>
      </c>
      <c r="C7" s="22">
        <v>88</v>
      </c>
      <c r="D7" s="11">
        <f>D6-C6</f>
        <v>91</v>
      </c>
      <c r="E7" s="11">
        <f>E6-D6</f>
        <v>91</v>
      </c>
      <c r="F7" s="11">
        <f>F6-E6</f>
        <v>95</v>
      </c>
      <c r="G7" s="22">
        <v>365</v>
      </c>
      <c r="H7" s="11">
        <f>H6-F6</f>
        <v>87</v>
      </c>
      <c r="I7" s="11">
        <f>I6-H6</f>
        <v>91</v>
      </c>
      <c r="J7" s="36">
        <f>J6-I6</f>
        <v>91</v>
      </c>
      <c r="K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331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62" t="s">
        <v>332</v>
      </c>
      <c r="C10" s="89">
        <f>'Revenue summary'!C48</f>
        <v>10364</v>
      </c>
      <c r="D10" s="89">
        <f>'Revenue summary'!D48</f>
        <v>10855</v>
      </c>
      <c r="E10" s="89">
        <f>'Revenue summary'!E48</f>
        <v>11122</v>
      </c>
      <c r="F10" s="89">
        <f>'Revenue summary'!F48</f>
        <v>12215</v>
      </c>
      <c r="G10" s="89">
        <f>'Revenue summary'!G48</f>
        <v>44556</v>
      </c>
      <c r="H10" s="89">
        <f>'Revenue summary'!H48</f>
        <v>11005</v>
      </c>
      <c r="I10" s="89">
        <f>'Revenue summary'!I48</f>
        <v>11994</v>
      </c>
      <c r="J10" s="86">
        <f>'Revenue summary'!J48</f>
        <v>11965.85797252747</v>
      </c>
      <c r="K10" s="1"/>
    </row>
    <row r="11">
      <c r="A11" s="1"/>
      <c r="B11" s="26" t="s">
        <v>75</v>
      </c>
      <c r="C11" s="106">
        <f>'Revenue summary'!C49</f>
        <v>0.0018366360560657657</v>
      </c>
      <c r="D11" s="106">
        <f>'Revenue summary'!D49</f>
        <v>0.02978844511905887</v>
      </c>
      <c r="E11" s="106">
        <f>'Revenue summary'!E49</f>
        <v>0.0494432911870164</v>
      </c>
      <c r="F11" s="106">
        <f>'Revenue summary'!F49</f>
        <v>0.0719613865730584</v>
      </c>
      <c r="G11" s="106">
        <f>'Revenue summary'!G49</f>
        <v>0.039110053872525086</v>
      </c>
      <c r="H11" s="106">
        <f>'Revenue summary'!H49</f>
        <v>0.061848707062910124</v>
      </c>
      <c r="I11" s="106">
        <f>'Revenue summary'!I49</f>
        <v>0.10492860432980189</v>
      </c>
      <c r="J11" s="113">
        <f>'Revenue summary'!J49</f>
        <v>0.07587286212259214</v>
      </c>
      <c r="K11" s="1"/>
    </row>
    <row r="12">
      <c r="A12" s="1"/>
      <c r="B12" s="26" t="s">
        <v>76</v>
      </c>
      <c r="C12" s="122">
        <f>'Revenue summary'!C51</f>
        <v>-0.09047827994734536</v>
      </c>
      <c r="D12" s="106">
        <f>'Revenue summary'!D48/'Revenue summary'!C48-1</f>
        <v>0.047375530683133826</v>
      </c>
      <c r="E12" s="106">
        <f>'Revenue summary'!E48/'Revenue summary'!D48-1</f>
        <v>0.024596959926301176</v>
      </c>
      <c r="F12" s="106">
        <f>'Revenue summary'!F48/'Revenue summary'!E48-1</f>
        <v>0.0982736917820537</v>
      </c>
      <c r="G12" s="1"/>
      <c r="H12" s="106">
        <f>'Revenue summary'!H48/'Revenue summary'!F48-1</f>
        <v>-0.09905853458862057</v>
      </c>
      <c r="I12" s="106">
        <f>'Revenue summary'!I48/'Revenue summary'!H48-1</f>
        <v>0.08986824170831431</v>
      </c>
      <c r="J12" s="113">
        <f>'Revenue summary'!J48/'Revenue summary'!I48-1</f>
        <v>-0.0023463421271077145</v>
      </c>
      <c r="K12" s="1"/>
    </row>
    <row r="13">
      <c r="A13" s="1"/>
      <c r="B13" s="1" t="s">
        <v>231</v>
      </c>
      <c r="C13" s="23">
        <v>6056</v>
      </c>
      <c r="D13" s="23">
        <v>6378</v>
      </c>
      <c r="E13" s="23">
        <v>6470</v>
      </c>
      <c r="F13" s="23">
        <v>7143</v>
      </c>
      <c r="G13" s="3">
        <f>SUM(C13:F13)</f>
        <v>26047</v>
      </c>
      <c r="H13" s="23">
        <v>6529</v>
      </c>
      <c r="I13" s="23">
        <v>7051</v>
      </c>
      <c r="J13" s="8">
        <f>J137+J89</f>
        <v>6919.30005014835</v>
      </c>
      <c r="K13" s="1"/>
    </row>
    <row r="14">
      <c r="A14" s="1"/>
      <c r="B14" s="26" t="s">
        <v>85</v>
      </c>
      <c r="C14" s="21">
        <f>C13-F183</f>
        <v>-436</v>
      </c>
      <c r="D14" s="21">
        <f>D13-C13</f>
        <v>322</v>
      </c>
      <c r="E14" s="21">
        <f>E13-D13</f>
        <v>92</v>
      </c>
      <c r="F14" s="21">
        <f>F13-E13</f>
        <v>673</v>
      </c>
      <c r="G14" s="1"/>
      <c r="H14" s="21">
        <f>H13-F13</f>
        <v>-614</v>
      </c>
      <c r="I14" s="21">
        <f>I13-H13</f>
        <v>522</v>
      </c>
      <c r="J14" s="60">
        <f>J13-I13</f>
        <v>-131.69994985164976</v>
      </c>
      <c r="K14" s="1"/>
    </row>
    <row r="15">
      <c r="A15" s="1"/>
      <c r="B15" s="26" t="s">
        <v>75</v>
      </c>
      <c r="C15" s="103">
        <f>C13/C183-1</f>
        <v>0.0026490066225166586</v>
      </c>
      <c r="D15" s="103">
        <f>D13/D183-1</f>
        <v>0.044546347854569346</v>
      </c>
      <c r="E15" s="103">
        <f>E13/E183-1</f>
        <v>0.046925566343042124</v>
      </c>
      <c r="F15" s="103">
        <f>F13/F183-1</f>
        <v>0.10027726432532358</v>
      </c>
      <c r="G15" s="103">
        <f>G13/G183-1</f>
        <v>0.04952050930776042</v>
      </c>
      <c r="H15" s="103">
        <f>H13/H183-1</f>
        <v>0.07810435931307791</v>
      </c>
      <c r="I15" s="103">
        <f>I13/I183-1</f>
        <v>0.10551897146440892</v>
      </c>
      <c r="J15" s="108">
        <f>J13/J183-1</f>
        <v>0.0694435935314297</v>
      </c>
      <c r="K15" s="1"/>
    </row>
    <row r="16">
      <c r="A16" s="1"/>
      <c r="B16" s="33" t="s">
        <v>333</v>
      </c>
      <c r="C16" s="55">
        <f>C10-C13</f>
        <v>4308</v>
      </c>
      <c r="D16" s="55">
        <f>D10-D13</f>
        <v>4477</v>
      </c>
      <c r="E16" s="55">
        <f>E10-E13</f>
        <v>4652</v>
      </c>
      <c r="F16" s="55">
        <f>F10-F13</f>
        <v>5072</v>
      </c>
      <c r="G16" s="55">
        <f>G10-G13</f>
        <v>18509</v>
      </c>
      <c r="H16" s="55">
        <f>H10-H13</f>
        <v>4476</v>
      </c>
      <c r="I16" s="55">
        <f>I10-I13</f>
        <v>4943</v>
      </c>
      <c r="J16" s="53">
        <f>J10-J13</f>
        <v>5046.55792237912</v>
      </c>
      <c r="K16" s="1"/>
    </row>
    <row r="17">
      <c r="A17" s="1"/>
      <c r="B17" s="26" t="s">
        <v>334</v>
      </c>
      <c r="C17" s="103">
        <f>C16/C10</f>
        <v>0.41566962562717097</v>
      </c>
      <c r="D17" s="103">
        <f>D16/D10</f>
        <v>0.4124366651312759</v>
      </c>
      <c r="E17" s="103">
        <f>E16/E10</f>
        <v>0.41827009530659953</v>
      </c>
      <c r="F17" s="103">
        <f>F16/F10</f>
        <v>0.4152271796970937</v>
      </c>
      <c r="G17" s="103">
        <f>G16/G10</f>
        <v>0.4154098213484155</v>
      </c>
      <c r="H17" s="103">
        <f>H16/H10</f>
        <v>0.40672421626533395</v>
      </c>
      <c r="I17" s="103">
        <f>I16/I10</f>
        <v>0.412122728030682</v>
      </c>
      <c r="J17" s="108">
        <f>J16/J10</f>
        <v>0.4217464333912003</v>
      </c>
      <c r="K17" s="1"/>
    </row>
    <row r="18">
      <c r="A18" s="1"/>
      <c r="B18" s="26" t="s">
        <v>335</v>
      </c>
      <c r="C18" s="102">
        <f>(C17-('Revenue summary'!C52-C183)/'Revenue summary'!C52)*10000</f>
        <v>-4.734386550909742</v>
      </c>
      <c r="D18" s="102">
        <f>(D17-('Revenue summary'!D52-D183)/'Revenue summary'!D52)*10000</f>
        <v>-83.01405260527528</v>
      </c>
      <c r="E18" s="102">
        <f>(E17-('Revenue summary'!E52-E183)/'Revenue summary'!E52)*10000</f>
        <v>13.989875504191174</v>
      </c>
      <c r="F18" s="102">
        <f>(F17-('Revenue summary'!F52-F183)/'Revenue summary'!F52)*10000</f>
        <v>-150.49257336693046</v>
      </c>
      <c r="G18" s="102">
        <f>(G17-('Revenue summary'!G52-G183)/'Revenue summary'!G52)*10000</f>
        <v>-57.98695641253126</v>
      </c>
      <c r="H18" s="102">
        <f>(H17-('Revenue summary'!H52-H183)/'Revenue summary'!H52)*10000</f>
        <v>-89.4540936183702</v>
      </c>
      <c r="I18" s="102">
        <f>(I17-('Revenue summary'!I52-I183)/'Revenue summary'!I52)*10000</f>
        <v>-3.1393710059390845</v>
      </c>
      <c r="J18" s="101">
        <f>(J17-('Revenue summary'!J52-J183)/'Revenue summary'!J52)*10000</f>
        <v>34.76338084600794</v>
      </c>
      <c r="K18" s="1"/>
    </row>
    <row r="19">
      <c r="A19" s="1"/>
      <c r="B19" s="26" t="s">
        <v>215</v>
      </c>
      <c r="C19" s="65" t="s">
        <v>34</v>
      </c>
      <c r="D19" s="70">
        <f>(D17-C17)*10000</f>
        <v>-32.32960495895054</v>
      </c>
      <c r="E19" s="70">
        <f>(E17-D17)*10000</f>
        <v>58.334301753236176</v>
      </c>
      <c r="F19" s="70">
        <f>(F17-E17)*10000</f>
        <v>-30.42915609505814</v>
      </c>
      <c r="G19" s="1"/>
      <c r="H19" s="70">
        <f>(H17-F17)*10000</f>
        <v>-85.0296343175977</v>
      </c>
      <c r="I19" s="70">
        <f>(I17-H17)*10000</f>
        <v>53.98511765348057</v>
      </c>
      <c r="J19" s="69">
        <f>(J17-I17)*10000</f>
        <v>96.23705360518319</v>
      </c>
      <c r="K19" s="1"/>
    </row>
    <row r="20">
      <c r="A20" s="1"/>
      <c r="B20" s="1" t="s">
        <v>336</v>
      </c>
      <c r="C20" s="23">
        <v>1721</v>
      </c>
      <c r="D20" s="23">
        <v>1779</v>
      </c>
      <c r="E20" s="23">
        <v>1795</v>
      </c>
      <c r="F20" s="23">
        <v>1977</v>
      </c>
      <c r="G20" s="3">
        <f>SUM(C20:F20)</f>
        <v>7272</v>
      </c>
      <c r="H20" s="23">
        <v>1798</v>
      </c>
      <c r="I20" s="23">
        <v>1909</v>
      </c>
      <c r="J20" s="8">
        <f>J142+J90</f>
        <v>1851.1567404214284</v>
      </c>
      <c r="K20" s="1" t="s">
        <v>337</v>
      </c>
    </row>
    <row r="21">
      <c r="A21" s="1"/>
      <c r="B21" s="26" t="s">
        <v>85</v>
      </c>
      <c r="C21" s="58" t="s">
        <v>34</v>
      </c>
      <c r="D21" s="21">
        <f>D20-C20</f>
        <v>58</v>
      </c>
      <c r="E21" s="21">
        <f>E20-D20</f>
        <v>16</v>
      </c>
      <c r="F21" s="21">
        <f>F20-E20</f>
        <v>182</v>
      </c>
      <c r="G21" s="1"/>
      <c r="H21" s="21">
        <f>H20-F20</f>
        <v>-179</v>
      </c>
      <c r="I21" s="21">
        <f>I20-H20</f>
        <v>111</v>
      </c>
      <c r="J21" s="60">
        <f>J20-I20</f>
        <v>-57.84325957857163</v>
      </c>
      <c r="K21" s="1"/>
    </row>
    <row r="22">
      <c r="A22" s="1"/>
      <c r="B22" s="26" t="s">
        <v>75</v>
      </c>
      <c r="C22" s="109" t="s">
        <v>34</v>
      </c>
      <c r="D22" s="109" t="s">
        <v>34</v>
      </c>
      <c r="E22" s="109" t="s">
        <v>34</v>
      </c>
      <c r="F22" s="109" t="s">
        <v>34</v>
      </c>
      <c r="G22" s="109" t="s">
        <v>34</v>
      </c>
      <c r="H22" s="103">
        <f>H20/C20-1</f>
        <v>0.04474142940151071</v>
      </c>
      <c r="I22" s="103">
        <f>I20/D20-1</f>
        <v>0.0730747611017426</v>
      </c>
      <c r="J22" s="108">
        <f>J20/E20-1</f>
        <v>0.031285092156784655</v>
      </c>
      <c r="K22" s="1"/>
    </row>
    <row r="23">
      <c r="A23" s="1"/>
      <c r="B23" s="26" t="s">
        <v>338</v>
      </c>
      <c r="C23" s="103">
        <f>C20/C10</f>
        <v>0.16605557699729834</v>
      </c>
      <c r="D23" s="103">
        <f>D20/D10</f>
        <v>0.16388760939659144</v>
      </c>
      <c r="E23" s="103">
        <f>E20/E10</f>
        <v>0.1613918360007193</v>
      </c>
      <c r="F23" s="103">
        <f>F20/F10</f>
        <v>0.1618501841997544</v>
      </c>
      <c r="G23" s="103">
        <f>G20/G10</f>
        <v>0.1632103420414759</v>
      </c>
      <c r="H23" s="103">
        <f>H20/H10</f>
        <v>0.16338028169014085</v>
      </c>
      <c r="I23" s="103">
        <f>I20/I10</f>
        <v>0.1591629147907287</v>
      </c>
      <c r="J23" s="108">
        <f>J20/J10</f>
        <v>0.1547032184964519</v>
      </c>
      <c r="K23" s="1"/>
    </row>
    <row r="24">
      <c r="A24" s="1"/>
      <c r="B24" s="26" t="s">
        <v>214</v>
      </c>
      <c r="C24" s="65" t="s">
        <v>34</v>
      </c>
      <c r="D24" s="65" t="s">
        <v>34</v>
      </c>
      <c r="E24" s="65" t="s">
        <v>34</v>
      </c>
      <c r="F24" s="65" t="s">
        <v>34</v>
      </c>
      <c r="G24" s="65" t="s">
        <v>34</v>
      </c>
      <c r="H24" s="70">
        <f>(H23-C23)*10000</f>
        <v>-26.75295307157488</v>
      </c>
      <c r="I24" s="70">
        <f>(I23-D23)*10000</f>
        <v>-47.2469460586275</v>
      </c>
      <c r="J24" s="69">
        <f>(J23-E23)*10000</f>
        <v>-66.88617504267386</v>
      </c>
      <c r="K24" s="1"/>
    </row>
    <row r="25">
      <c r="A25" s="1"/>
      <c r="B25" s="26" t="s">
        <v>215</v>
      </c>
      <c r="C25" s="65" t="s">
        <v>34</v>
      </c>
      <c r="D25" s="70">
        <f>(D23-C23)*10000</f>
        <v>-21.679676007068938</v>
      </c>
      <c r="E25" s="70">
        <f>(E23-D23)*10000</f>
        <v>-24.957733958721473</v>
      </c>
      <c r="F25" s="70">
        <f>(F23-E23)*10000</f>
        <v>4.583481990350913</v>
      </c>
      <c r="G25" s="1"/>
      <c r="H25" s="70">
        <f>(H23-F23)*10000</f>
        <v>15.300974903864617</v>
      </c>
      <c r="I25" s="70">
        <f>(I23-H23)*10000</f>
        <v>-42.17366899412156</v>
      </c>
      <c r="J25" s="69">
        <f>(J23-I23)*10000</f>
        <v>-44.596962942767824</v>
      </c>
      <c r="K25" s="1"/>
    </row>
    <row r="26">
      <c r="A26" s="1"/>
      <c r="B26" s="1" t="s">
        <v>339</v>
      </c>
      <c r="C26" s="23">
        <v>429</v>
      </c>
      <c r="D26" s="23">
        <v>429</v>
      </c>
      <c r="E26" s="23">
        <v>435</v>
      </c>
      <c r="F26" s="23">
        <v>436</v>
      </c>
      <c r="G26" s="3">
        <f>SUM(C26:F26)</f>
        <v>1729</v>
      </c>
      <c r="H26" s="23">
        <v>430</v>
      </c>
      <c r="I26" s="23">
        <v>485</v>
      </c>
      <c r="J26" s="8">
        <f>J161</f>
        <v>480</v>
      </c>
      <c r="K26" s="1" t="s">
        <v>340</v>
      </c>
    </row>
    <row r="27">
      <c r="A27" s="1"/>
      <c r="B27" s="26" t="s">
        <v>85</v>
      </c>
      <c r="C27" s="58" t="s">
        <v>34</v>
      </c>
      <c r="D27" s="21">
        <f>D26-C26</f>
        <v>0</v>
      </c>
      <c r="E27" s="21">
        <f>E26-D26</f>
        <v>6</v>
      </c>
      <c r="F27" s="21">
        <f>F26-E26</f>
        <v>1</v>
      </c>
      <c r="G27" s="1"/>
      <c r="H27" s="21">
        <f>H26-F26</f>
        <v>-6</v>
      </c>
      <c r="I27" s="21">
        <f>I26-H26</f>
        <v>55</v>
      </c>
      <c r="J27" s="60">
        <f>J26-I26</f>
        <v>-5</v>
      </c>
      <c r="K27" s="1"/>
    </row>
    <row r="28">
      <c r="A28" s="1"/>
      <c r="B28" s="26" t="s">
        <v>75</v>
      </c>
      <c r="C28" s="109" t="s">
        <v>34</v>
      </c>
      <c r="D28" s="109" t="s">
        <v>34</v>
      </c>
      <c r="E28" s="109" t="s">
        <v>34</v>
      </c>
      <c r="F28" s="109" t="s">
        <v>34</v>
      </c>
      <c r="G28" s="109" t="s">
        <v>34</v>
      </c>
      <c r="H28" s="103">
        <f>H26/C26-1</f>
        <v>0.002331002331002363</v>
      </c>
      <c r="I28" s="103">
        <f>I26/D26-1</f>
        <v>0.13053613053613056</v>
      </c>
      <c r="J28" s="108">
        <f>J26/E26-1</f>
        <v>0.10344827586206895</v>
      </c>
      <c r="K28" s="1"/>
    </row>
    <row r="29">
      <c r="A29" s="1"/>
      <c r="B29" s="1" t="s">
        <v>341</v>
      </c>
      <c r="C29" s="23">
        <v>342</v>
      </c>
      <c r="D29" s="23">
        <v>352</v>
      </c>
      <c r="E29" s="23">
        <v>346</v>
      </c>
      <c r="F29" s="23">
        <v>357</v>
      </c>
      <c r="G29" s="3">
        <f>SUM(C29:F29)</f>
        <v>1397</v>
      </c>
      <c r="H29" s="23">
        <v>336</v>
      </c>
      <c r="I29" s="23">
        <v>364</v>
      </c>
      <c r="J29" s="8">
        <f>J157</f>
        <v>365</v>
      </c>
      <c r="K29" s="1" t="s">
        <v>342</v>
      </c>
    </row>
    <row r="30">
      <c r="A30" s="1"/>
      <c r="B30" s="26" t="s">
        <v>85</v>
      </c>
      <c r="C30" s="58" t="s">
        <v>34</v>
      </c>
      <c r="D30" s="21">
        <f>D29-C29</f>
        <v>10</v>
      </c>
      <c r="E30" s="21">
        <f>E29-D29</f>
        <v>-6</v>
      </c>
      <c r="F30" s="21">
        <f>F29-E29</f>
        <v>11</v>
      </c>
      <c r="G30" s="1"/>
      <c r="H30" s="21">
        <f>H29-F29</f>
        <v>-21</v>
      </c>
      <c r="I30" s="21">
        <f>I29-H29</f>
        <v>28</v>
      </c>
      <c r="J30" s="60">
        <f>J29-I29</f>
        <v>1</v>
      </c>
      <c r="K30" s="1"/>
    </row>
    <row r="31">
      <c r="A31" s="1"/>
      <c r="B31" s="26" t="s">
        <v>75</v>
      </c>
      <c r="C31" s="109" t="s">
        <v>34</v>
      </c>
      <c r="D31" s="109" t="s">
        <v>34</v>
      </c>
      <c r="E31" s="109" t="s">
        <v>34</v>
      </c>
      <c r="F31" s="109" t="s">
        <v>34</v>
      </c>
      <c r="G31" s="109" t="s">
        <v>34</v>
      </c>
      <c r="H31" s="103">
        <f>H29/C29-1</f>
        <v>-0.01754385964912286</v>
      </c>
      <c r="I31" s="103">
        <f>I29/D29-1</f>
        <v>0.03409090909090917</v>
      </c>
      <c r="J31" s="108">
        <f>J29/E29-1</f>
        <v>0.054913294797687806</v>
      </c>
      <c r="K31" s="1"/>
    </row>
    <row r="32">
      <c r="A32" s="1"/>
      <c r="B32" s="26" t="s">
        <v>338</v>
      </c>
      <c r="C32" s="103">
        <f>C29/C10</f>
        <v>0.03299884214588962</v>
      </c>
      <c r="D32" s="103">
        <f>D29/D10</f>
        <v>0.03242745278673422</v>
      </c>
      <c r="E32" s="103">
        <f>E29/E10</f>
        <v>0.031109512677575977</v>
      </c>
      <c r="F32" s="103">
        <f>F29/F10</f>
        <v>0.029226361031518624</v>
      </c>
      <c r="G32" s="103">
        <f>G29/G10</f>
        <v>0.03135380195708771</v>
      </c>
      <c r="H32" s="103">
        <f>H29/H10</f>
        <v>0.03053157655611086</v>
      </c>
      <c r="I32" s="103">
        <f>I29/I10</f>
        <v>0.030348507587126896</v>
      </c>
      <c r="J32" s="108">
        <f>J29/J10</f>
        <v>0.030503454147459134</v>
      </c>
      <c r="K32" s="1"/>
    </row>
    <row r="33">
      <c r="A33" s="1"/>
      <c r="B33" s="26" t="s">
        <v>214</v>
      </c>
      <c r="C33" s="65" t="s">
        <v>34</v>
      </c>
      <c r="D33" s="65" t="s">
        <v>34</v>
      </c>
      <c r="E33" s="65" t="s">
        <v>34</v>
      </c>
      <c r="F33" s="65" t="s">
        <v>34</v>
      </c>
      <c r="G33" s="65" t="s">
        <v>34</v>
      </c>
      <c r="H33" s="70">
        <f>(H32-C32)*10000</f>
        <v>-24.672655897787603</v>
      </c>
      <c r="I33" s="70">
        <f>(I32-D32)*10000</f>
        <v>-20.789451996073257</v>
      </c>
      <c r="J33" s="69">
        <f>(J32-E32)*10000</f>
        <v>-6.060585301168424</v>
      </c>
      <c r="K33" s="1"/>
    </row>
    <row r="34">
      <c r="A34" s="1"/>
      <c r="B34" s="26" t="s">
        <v>215</v>
      </c>
      <c r="C34" s="65" t="s">
        <v>34</v>
      </c>
      <c r="D34" s="70">
        <f>(D32-C32)*10000</f>
        <v>-5.713893591553984</v>
      </c>
      <c r="E34" s="70">
        <f>(E32-D32)*10000</f>
        <v>-13.17940109158245</v>
      </c>
      <c r="F34" s="70">
        <f>(F32-E32)*10000</f>
        <v>-18.831516460573532</v>
      </c>
      <c r="G34" s="1"/>
      <c r="H34" s="70">
        <f>(H32-F32)*10000</f>
        <v>13.052155245922362</v>
      </c>
      <c r="I34" s="70">
        <f>(I32-H32)*10000</f>
        <v>-1.83068968983964</v>
      </c>
      <c r="J34" s="69">
        <f>(J32-I32)*10000</f>
        <v>1.549465603322385</v>
      </c>
      <c r="K34" s="1"/>
    </row>
    <row r="35">
      <c r="A35" s="1"/>
      <c r="B35" s="1" t="s">
        <v>343</v>
      </c>
      <c r="C35" s="23">
        <v>98</v>
      </c>
      <c r="D35" s="23">
        <v>82</v>
      </c>
      <c r="E35" s="23">
        <v>135</v>
      </c>
      <c r="F35" s="23">
        <v>46</v>
      </c>
      <c r="G35" s="3">
        <f>SUM(C35:F35)</f>
        <v>361</v>
      </c>
      <c r="H35" s="23">
        <v>49</v>
      </c>
      <c r="I35" s="23">
        <v>98</v>
      </c>
      <c r="J35" s="8">
        <f>J160</f>
        <v>100</v>
      </c>
      <c r="K35" s="1" t="s">
        <v>344</v>
      </c>
    </row>
    <row r="36">
      <c r="A36" s="1"/>
      <c r="B36" s="1" t="s">
        <v>345</v>
      </c>
      <c r="C36" s="23">
        <v>0</v>
      </c>
      <c r="D36" s="23">
        <v>0</v>
      </c>
      <c r="E36" s="23">
        <v>0</v>
      </c>
      <c r="F36" s="23">
        <v>0</v>
      </c>
      <c r="G36" s="3">
        <f>SUM(C36:F36)</f>
        <v>0</v>
      </c>
      <c r="H36" s="23">
        <v>0</v>
      </c>
      <c r="I36" s="23">
        <v>0</v>
      </c>
      <c r="J36" s="50">
        <f>-'Balance Sheet'!J75</f>
        <v>-203</v>
      </c>
      <c r="K36" s="1" t="s">
        <v>346</v>
      </c>
    </row>
    <row r="37">
      <c r="A37" s="1"/>
      <c r="B37" s="1" t="s">
        <v>347</v>
      </c>
      <c r="C37" s="3">
        <f>C35+C36</f>
        <v>98</v>
      </c>
      <c r="D37" s="3">
        <f>D35+D36</f>
        <v>82</v>
      </c>
      <c r="E37" s="3">
        <f>E35+E36</f>
        <v>135</v>
      </c>
      <c r="F37" s="3">
        <f>F35+F36</f>
        <v>46</v>
      </c>
      <c r="G37" s="3">
        <f>G35+G36</f>
        <v>361</v>
      </c>
      <c r="H37" s="3">
        <f>H35+H36</f>
        <v>49</v>
      </c>
      <c r="I37" s="3">
        <f>I35+I36</f>
        <v>98</v>
      </c>
      <c r="J37" s="8">
        <f>J35+J36</f>
        <v>-103</v>
      </c>
      <c r="K37" s="1" t="s">
        <v>348</v>
      </c>
    </row>
    <row r="38">
      <c r="A38" s="1"/>
      <c r="B38" s="33" t="s">
        <v>349</v>
      </c>
      <c r="C38" s="55">
        <f>C13+C20+C26+C29+C37</f>
        <v>8646</v>
      </c>
      <c r="D38" s="55">
        <f>D13+D20+D26+D29+D37</f>
        <v>9020</v>
      </c>
      <c r="E38" s="55">
        <f>E13+E20+E26+E29+E37</f>
        <v>9181</v>
      </c>
      <c r="F38" s="55">
        <f>F13+F20+F26+F29+F37</f>
        <v>9959</v>
      </c>
      <c r="G38" s="55">
        <f>G13+G20+G26+G29+G37</f>
        <v>36806</v>
      </c>
      <c r="H38" s="55">
        <f>H13+H20+H26+H29+H37</f>
        <v>9142</v>
      </c>
      <c r="I38" s="55">
        <f>I13+I20+I26+I29+I37</f>
        <v>9907</v>
      </c>
      <c r="J38" s="53">
        <f>J13+J20+J26+J29+J37</f>
        <v>9512.456790569779</v>
      </c>
      <c r="K38" s="1" t="s">
        <v>350</v>
      </c>
    </row>
    <row r="39">
      <c r="A39" s="1"/>
      <c r="B39" s="33" t="s">
        <v>351</v>
      </c>
      <c r="C39" s="55">
        <f>C10-C38</f>
        <v>1718</v>
      </c>
      <c r="D39" s="55">
        <f>D10-D38</f>
        <v>1835</v>
      </c>
      <c r="E39" s="55">
        <f>E10-E38</f>
        <v>1941</v>
      </c>
      <c r="F39" s="55">
        <f>F10-F38</f>
        <v>2256</v>
      </c>
      <c r="G39" s="55">
        <f>G10-G38</f>
        <v>7750</v>
      </c>
      <c r="H39" s="55">
        <f>H10-H38</f>
        <v>1863</v>
      </c>
      <c r="I39" s="55">
        <f>I10-I38</f>
        <v>2087</v>
      </c>
      <c r="J39" s="53">
        <f>J10-J38</f>
        <v>2453.4011819576917</v>
      </c>
      <c r="K39" s="1" t="s">
        <v>352</v>
      </c>
    </row>
    <row r="40">
      <c r="A40" s="1"/>
      <c r="B40" s="26" t="s">
        <v>353</v>
      </c>
      <c r="C40" s="103">
        <f>C39/C10</f>
        <v>0.16576611346970282</v>
      </c>
      <c r="D40" s="103">
        <f>D39/D10</f>
        <v>0.1690465223399355</v>
      </c>
      <c r="E40" s="103">
        <f>E39/E10</f>
        <v>0.17451897140802014</v>
      </c>
      <c r="F40" s="103">
        <f>F39/F10</f>
        <v>0.18469095374539501</v>
      </c>
      <c r="G40" s="103">
        <f>G39/G10</f>
        <v>0.1739384145794057</v>
      </c>
      <c r="H40" s="103">
        <f>H39/H10</f>
        <v>0.16928668786915038</v>
      </c>
      <c r="I40" s="103">
        <f>I39/I10</f>
        <v>0.1740036685009171</v>
      </c>
      <c r="J40" s="108">
        <f>J39/J10</f>
        <v>0.20503345331279038</v>
      </c>
      <c r="K40" s="1"/>
    </row>
    <row r="41">
      <c r="A41" s="1"/>
      <c r="B41" s="26" t="s">
        <v>335</v>
      </c>
      <c r="C41" s="102">
        <f>(C40-C184/'Revenue summary'!C52)*10000</f>
        <v>50.12126036160053</v>
      </c>
      <c r="D41" s="102">
        <f>(D40-D184/'Revenue summary'!D52)*10000</f>
        <v>-36.126181590683814</v>
      </c>
      <c r="E41" s="102">
        <f>(E40-E184/'Revenue summary'!E52)*10000</f>
        <v>10.900225497449956</v>
      </c>
      <c r="F41" s="102">
        <f>(F40-F184/'Revenue summary'!F52)*10000</f>
        <v>77.71252121875932</v>
      </c>
      <c r="G41" s="102">
        <f>(G40-G184/'Revenue summary'!G52)*10000</f>
        <v>28.290137071838583</v>
      </c>
      <c r="H41" s="102">
        <f>(H40-H184/'Revenue summary'!H52)*10000</f>
        <v>35.20574399447557</v>
      </c>
      <c r="I41" s="102">
        <f>(I40-I184/'Revenue summary'!I52)*10000</f>
        <v>49.571461609816126</v>
      </c>
      <c r="J41" s="101">
        <f>(J40-J184/'Revenue summary'!J52)*10000</f>
        <v>305.1448190477024</v>
      </c>
      <c r="K41" s="1"/>
    </row>
    <row r="42">
      <c r="A42" s="1"/>
      <c r="B42" s="26" t="s">
        <v>215</v>
      </c>
      <c r="C42" s="65" t="s">
        <v>34</v>
      </c>
      <c r="D42" s="70">
        <f>(D40-C40)*10000</f>
        <v>32.80408870232676</v>
      </c>
      <c r="E42" s="70">
        <f>(E40-D40)*10000</f>
        <v>54.724490680846394</v>
      </c>
      <c r="F42" s="70">
        <f>(F40-E40)*10000</f>
        <v>101.71982337374874</v>
      </c>
      <c r="G42" s="1"/>
      <c r="H42" s="70">
        <f>(H40-F40)*10000</f>
        <v>-154.04265876244634</v>
      </c>
      <c r="I42" s="70">
        <f>(I40-H40)*10000</f>
        <v>47.169806317667316</v>
      </c>
      <c r="J42" s="69">
        <f>(J40-I40)*10000</f>
        <v>310.2978481187327</v>
      </c>
      <c r="K42" s="1"/>
    </row>
    <row r="43">
      <c r="A43" s="1"/>
      <c r="B43" s="26" t="s">
        <v>75</v>
      </c>
      <c r="C43" s="103">
        <f>C39/C184-1</f>
        <v>0.03307276007215876</v>
      </c>
      <c r="D43" s="103">
        <f>D39/D184-1</f>
        <v>0.008241758241758212</v>
      </c>
      <c r="E43" s="103">
        <f>E39/E184-1</f>
        <v>0.05603917301414585</v>
      </c>
      <c r="F43" s="103">
        <f>F39/F184-1</f>
        <v>0.11904761904761907</v>
      </c>
      <c r="G43" s="103">
        <f>G39/G184-1</f>
        <v>0.05629003679978184</v>
      </c>
      <c r="H43" s="103">
        <f>H39/H184-1</f>
        <v>0.08440046565774151</v>
      </c>
      <c r="I43" s="103">
        <f>I39/I184-1</f>
        <v>0.1373297002724796</v>
      </c>
      <c r="J43" s="108">
        <f>J39/J184-1</f>
        <v>0.26398824418222144</v>
      </c>
      <c r="K43" s="1"/>
    </row>
    <row r="44">
      <c r="A44" s="1"/>
      <c r="B44" s="26" t="s">
        <v>85</v>
      </c>
      <c r="C44" s="21">
        <f>C39-F184</f>
        <v>-298</v>
      </c>
      <c r="D44" s="21">
        <f>D39-C39</f>
        <v>117</v>
      </c>
      <c r="E44" s="21">
        <f>E39-D39</f>
        <v>106</v>
      </c>
      <c r="F44" s="21">
        <f>F39-E39</f>
        <v>315</v>
      </c>
      <c r="G44" s="1"/>
      <c r="H44" s="21">
        <f>H39-F39</f>
        <v>-393</v>
      </c>
      <c r="I44" s="21">
        <f>I39-H39</f>
        <v>224</v>
      </c>
      <c r="J44" s="60">
        <f>J39-I39</f>
        <v>366.40118195769173</v>
      </c>
      <c r="K44" s="1"/>
    </row>
    <row r="45">
      <c r="A45" s="1"/>
      <c r="B45" s="1" t="s">
        <v>354</v>
      </c>
      <c r="C45" s="23">
        <v>203</v>
      </c>
      <c r="D45" s="23">
        <v>297</v>
      </c>
      <c r="E45" s="23">
        <v>234</v>
      </c>
      <c r="F45" s="23">
        <v>258</v>
      </c>
      <c r="G45" s="3">
        <f>SUM(C45:F45)</f>
        <v>992</v>
      </c>
      <c r="H45" s="23">
        <v>233</v>
      </c>
      <c r="I45" s="23">
        <v>207</v>
      </c>
      <c r="J45" s="8">
        <f>J162</f>
        <v>220</v>
      </c>
      <c r="K45" s="1"/>
    </row>
    <row r="46">
      <c r="A46" s="1"/>
      <c r="B46" s="26" t="s">
        <v>85</v>
      </c>
      <c r="C46" s="58" t="s">
        <v>34</v>
      </c>
      <c r="D46" s="21">
        <f>D45-C45</f>
        <v>94</v>
      </c>
      <c r="E46" s="21">
        <f>E45-D45</f>
        <v>-63</v>
      </c>
      <c r="F46" s="21">
        <f>F45-E45</f>
        <v>24</v>
      </c>
      <c r="G46" s="1"/>
      <c r="H46" s="21">
        <f>H45-F45</f>
        <v>-25</v>
      </c>
      <c r="I46" s="21">
        <f>I45-H45</f>
        <v>-26</v>
      </c>
      <c r="J46" s="60">
        <f>J45-I45</f>
        <v>13</v>
      </c>
      <c r="K46" s="1"/>
    </row>
    <row r="47">
      <c r="A47" s="1"/>
      <c r="B47" s="26" t="s">
        <v>75</v>
      </c>
      <c r="C47" s="109" t="s">
        <v>34</v>
      </c>
      <c r="D47" s="109" t="s">
        <v>34</v>
      </c>
      <c r="E47" s="109" t="s">
        <v>34</v>
      </c>
      <c r="F47" s="109" t="s">
        <v>34</v>
      </c>
      <c r="G47" s="109" t="s">
        <v>34</v>
      </c>
      <c r="H47" s="103">
        <f>H45/C45-1</f>
        <v>0.14778325123152714</v>
      </c>
      <c r="I47" s="103">
        <f>I45/D45-1</f>
        <v>-0.303030303030303</v>
      </c>
      <c r="J47" s="108">
        <f>J45/E45-1</f>
        <v>-0.05982905982905984</v>
      </c>
      <c r="K47" s="1"/>
    </row>
    <row r="48">
      <c r="A48" s="1"/>
      <c r="B48" s="1" t="s">
        <v>355</v>
      </c>
      <c r="C48" s="23">
        <v>-303</v>
      </c>
      <c r="D48" s="23">
        <v>-404</v>
      </c>
      <c r="E48" s="23">
        <v>-347</v>
      </c>
      <c r="F48" s="23">
        <v>-365</v>
      </c>
      <c r="G48" s="3">
        <f>SUM(C48:F48)</f>
        <v>-1419</v>
      </c>
      <c r="H48" s="23">
        <v>-354</v>
      </c>
      <c r="I48" s="23">
        <v>-401</v>
      </c>
      <c r="J48" s="8">
        <f>J163</f>
        <v>-400</v>
      </c>
      <c r="K48" s="1"/>
    </row>
    <row r="49">
      <c r="A49" s="1"/>
      <c r="B49" s="26" t="s">
        <v>85</v>
      </c>
      <c r="C49" s="58" t="s">
        <v>34</v>
      </c>
      <c r="D49" s="21">
        <f>D48-C48</f>
        <v>-101</v>
      </c>
      <c r="E49" s="21">
        <f>E48-D48</f>
        <v>57</v>
      </c>
      <c r="F49" s="21">
        <f>F48-E48</f>
        <v>-18</v>
      </c>
      <c r="G49" s="1"/>
      <c r="H49" s="21">
        <f>H48-F48</f>
        <v>11</v>
      </c>
      <c r="I49" s="21">
        <f>I48-H48</f>
        <v>-47</v>
      </c>
      <c r="J49" s="60">
        <f>J48-I48</f>
        <v>1</v>
      </c>
      <c r="K49" s="1"/>
    </row>
    <row r="50">
      <c r="A50" s="1"/>
      <c r="B50" s="26" t="s">
        <v>75</v>
      </c>
      <c r="C50" s="109" t="s">
        <v>34</v>
      </c>
      <c r="D50" s="109" t="s">
        <v>34</v>
      </c>
      <c r="E50" s="109" t="s">
        <v>34</v>
      </c>
      <c r="F50" s="109" t="s">
        <v>34</v>
      </c>
      <c r="G50" s="109" t="s">
        <v>34</v>
      </c>
      <c r="H50" s="103">
        <f>H48/C48-1</f>
        <v>0.16831683168316824</v>
      </c>
      <c r="I50" s="103">
        <f>I48/D48-1</f>
        <v>-0.007425742574257432</v>
      </c>
      <c r="J50" s="108">
        <f>J48/E48-1</f>
        <v>0.1527377521613833</v>
      </c>
      <c r="K50" s="1"/>
    </row>
    <row r="51">
      <c r="A51" s="1"/>
      <c r="B51" s="26" t="s">
        <v>356</v>
      </c>
      <c r="C51" s="21">
        <f>-(C45+C48)</f>
        <v>100</v>
      </c>
      <c r="D51" s="21">
        <f>-(D45+D48)</f>
        <v>107</v>
      </c>
      <c r="E51" s="21">
        <f>-(E45+E48)</f>
        <v>113</v>
      </c>
      <c r="F51" s="21">
        <f>-(F45+F48)</f>
        <v>107</v>
      </c>
      <c r="G51" s="21">
        <f>-(G45+G48)</f>
        <v>427</v>
      </c>
      <c r="H51" s="21">
        <f>-(H45+H48)</f>
        <v>121</v>
      </c>
      <c r="I51" s="21">
        <f>-(I45+I48)</f>
        <v>194</v>
      </c>
      <c r="J51" s="60">
        <f>-(J45+J48)</f>
        <v>180</v>
      </c>
      <c r="K51" s="1"/>
    </row>
    <row r="52">
      <c r="A52" s="1"/>
      <c r="B52" s="1" t="s">
        <v>357</v>
      </c>
      <c r="C52" s="23">
        <v>3</v>
      </c>
      <c r="D52" s="23">
        <v>-19</v>
      </c>
      <c r="E52" s="23">
        <v>-2</v>
      </c>
      <c r="F52" s="23">
        <v>5</v>
      </c>
      <c r="G52" s="3">
        <f>SUM(C52:F52)</f>
        <v>-13</v>
      </c>
      <c r="H52" s="23">
        <v>-9</v>
      </c>
      <c r="I52" s="23">
        <v>31</v>
      </c>
      <c r="J52" s="8">
        <f>J164-J165</f>
        <v>-5</v>
      </c>
      <c r="K52" s="1"/>
    </row>
    <row r="53">
      <c r="A53" s="1"/>
      <c r="B53" s="26" t="s">
        <v>85</v>
      </c>
      <c r="C53" s="58" t="s">
        <v>34</v>
      </c>
      <c r="D53" s="21">
        <f>D52-C52</f>
        <v>-22</v>
      </c>
      <c r="E53" s="21">
        <f>E52-D52</f>
        <v>17</v>
      </c>
      <c r="F53" s="21">
        <f>F52-E52</f>
        <v>7</v>
      </c>
      <c r="G53" s="1"/>
      <c r="H53" s="21">
        <f>H52-F52</f>
        <v>-14</v>
      </c>
      <c r="I53" s="21">
        <f>I52-H52</f>
        <v>40</v>
      </c>
      <c r="J53" s="60">
        <f>J52-I52</f>
        <v>-36</v>
      </c>
      <c r="K53" s="1"/>
    </row>
    <row r="54">
      <c r="A54" s="1"/>
      <c r="B54" s="33" t="s">
        <v>358</v>
      </c>
      <c r="C54" s="55">
        <f>C39+C45+C48+C52</f>
        <v>1621</v>
      </c>
      <c r="D54" s="55">
        <f>D39+D45+D48+D52</f>
        <v>1709</v>
      </c>
      <c r="E54" s="55">
        <f>E39+E45+E48+E52</f>
        <v>1826</v>
      </c>
      <c r="F54" s="55">
        <f>F39+F45+F48+F52</f>
        <v>2154</v>
      </c>
      <c r="G54" s="55">
        <f>G39+G45+G48+G52</f>
        <v>7310</v>
      </c>
      <c r="H54" s="55">
        <f>H39+H45+H48+H52</f>
        <v>1733</v>
      </c>
      <c r="I54" s="55">
        <f>I39+I45+I48+I52</f>
        <v>1924</v>
      </c>
      <c r="J54" s="53">
        <f>J39+J45+J48+J52</f>
        <v>2268.4011819576917</v>
      </c>
      <c r="K54" s="1"/>
    </row>
    <row r="55">
      <c r="A55" s="1"/>
      <c r="B55" s="26" t="s">
        <v>85</v>
      </c>
      <c r="C55" s="58" t="s">
        <v>34</v>
      </c>
      <c r="D55" s="21">
        <f>D54-C54</f>
        <v>88</v>
      </c>
      <c r="E55" s="21">
        <f>E54-D54</f>
        <v>117</v>
      </c>
      <c r="F55" s="21">
        <f>F54-E54</f>
        <v>328</v>
      </c>
      <c r="G55" s="1"/>
      <c r="H55" s="21">
        <f>H54-F54</f>
        <v>-421</v>
      </c>
      <c r="I55" s="21">
        <f>I54-H54</f>
        <v>191</v>
      </c>
      <c r="J55" s="60">
        <f>J54-I54</f>
        <v>344.40118195769173</v>
      </c>
      <c r="K55" s="1"/>
    </row>
    <row r="56">
      <c r="A56" s="1"/>
      <c r="B56" s="26" t="s">
        <v>75</v>
      </c>
      <c r="C56" s="109" t="s">
        <v>34</v>
      </c>
      <c r="D56" s="109" t="s">
        <v>34</v>
      </c>
      <c r="E56" s="109" t="s">
        <v>34</v>
      </c>
      <c r="F56" s="109" t="s">
        <v>34</v>
      </c>
      <c r="G56" s="109" t="s">
        <v>34</v>
      </c>
      <c r="H56" s="103">
        <f>H54/C54-1</f>
        <v>0.06909315237507707</v>
      </c>
      <c r="I56" s="103">
        <f>I54/D54-1</f>
        <v>0.12580456407255713</v>
      </c>
      <c r="J56" s="108">
        <f>J54/E54-1</f>
        <v>0.2422788510173559</v>
      </c>
      <c r="K56" s="1"/>
    </row>
    <row r="57">
      <c r="A57" s="1"/>
      <c r="B57" s="1" t="s">
        <v>359</v>
      </c>
      <c r="C57" s="23">
        <v>-95</v>
      </c>
      <c r="D57" s="23">
        <v>-92</v>
      </c>
      <c r="E57" s="23">
        <v>-207</v>
      </c>
      <c r="F57" s="23">
        <v>-153</v>
      </c>
      <c r="G57" s="3">
        <f>SUM(C57:F57)</f>
        <v>-547</v>
      </c>
      <c r="H57" s="23">
        <v>-70</v>
      </c>
      <c r="I57" s="23">
        <v>-167</v>
      </c>
      <c r="J57" s="8">
        <f>J148-J110</f>
        <v>-219.82613592513454</v>
      </c>
      <c r="K57" s="1" t="s">
        <v>360</v>
      </c>
    </row>
    <row r="58">
      <c r="A58" s="1"/>
      <c r="B58" s="26" t="s">
        <v>85</v>
      </c>
      <c r="C58" s="58" t="s">
        <v>34</v>
      </c>
      <c r="D58" s="21">
        <f>D57-C57</f>
        <v>3</v>
      </c>
      <c r="E58" s="21">
        <f>E57-D57</f>
        <v>-115</v>
      </c>
      <c r="F58" s="21">
        <f>F57-E57</f>
        <v>54</v>
      </c>
      <c r="G58" s="1"/>
      <c r="H58" s="21">
        <f>H57-F57</f>
        <v>83</v>
      </c>
      <c r="I58" s="21">
        <f>I57-H57</f>
        <v>-97</v>
      </c>
      <c r="J58" s="60">
        <f>J57-I57</f>
        <v>-52.82613592513454</v>
      </c>
      <c r="K58" s="1"/>
    </row>
    <row r="59">
      <c r="A59" s="1"/>
      <c r="B59" s="26" t="s">
        <v>75</v>
      </c>
      <c r="C59" s="109" t="s">
        <v>34</v>
      </c>
      <c r="D59" s="109" t="s">
        <v>34</v>
      </c>
      <c r="E59" s="109" t="s">
        <v>34</v>
      </c>
      <c r="F59" s="109" t="s">
        <v>34</v>
      </c>
      <c r="G59" s="109" t="s">
        <v>34</v>
      </c>
      <c r="H59" s="103">
        <f>H57/C57-1</f>
        <v>-0.26315789473684215</v>
      </c>
      <c r="I59" s="103">
        <f>I57/D57-1</f>
        <v>0.8152173913043479</v>
      </c>
      <c r="J59" s="108">
        <f>J57/E57-1</f>
        <v>0.06196200930016693</v>
      </c>
      <c r="K59" s="1"/>
    </row>
    <row r="60">
      <c r="A60" s="1"/>
      <c r="B60" s="26" t="s">
        <v>361</v>
      </c>
      <c r="C60" s="103">
        <f>-C57/C54</f>
        <v>0.05860579888957434</v>
      </c>
      <c r="D60" s="103">
        <f>-D57/D54</f>
        <v>0.053832650672908135</v>
      </c>
      <c r="E60" s="103">
        <f>-E57/E54</f>
        <v>0.11336254107338445</v>
      </c>
      <c r="F60" s="103">
        <f>-F57/F54</f>
        <v>0.07103064066852367</v>
      </c>
      <c r="G60" s="103">
        <f>-G57/G54</f>
        <v>0.07482900136798906</v>
      </c>
      <c r="H60" s="103">
        <f>-H57/H54</f>
        <v>0.040392383150605886</v>
      </c>
      <c r="I60" s="103">
        <f>-I57/I54</f>
        <v>0.0867983367983368</v>
      </c>
      <c r="J60" s="108">
        <f>-J57/J54</f>
        <v>0.09690796216893989</v>
      </c>
      <c r="K60" s="1"/>
    </row>
    <row r="61">
      <c r="A61" s="1"/>
      <c r="B61" s="26" t="s">
        <v>214</v>
      </c>
      <c r="C61" s="65" t="s">
        <v>34</v>
      </c>
      <c r="D61" s="65" t="s">
        <v>34</v>
      </c>
      <c r="E61" s="65" t="s">
        <v>34</v>
      </c>
      <c r="F61" s="65" t="s">
        <v>34</v>
      </c>
      <c r="G61" s="65" t="s">
        <v>34</v>
      </c>
      <c r="H61" s="70">
        <f>(H60-C60)*10000</f>
        <v>-182.13415738968453</v>
      </c>
      <c r="I61" s="70">
        <f>(I60-D60)*10000</f>
        <v>329.6568612542867</v>
      </c>
      <c r="J61" s="69">
        <f>(J60-E60)*10000</f>
        <v>-164.54578904444557</v>
      </c>
      <c r="K61" s="1"/>
    </row>
    <row r="62">
      <c r="A62" s="1"/>
      <c r="B62" s="26" t="s">
        <v>215</v>
      </c>
      <c r="C62" s="65" t="s">
        <v>34</v>
      </c>
      <c r="D62" s="70">
        <f>(D60-C60)*10000</f>
        <v>-47.73148216666204</v>
      </c>
      <c r="E62" s="70">
        <f>(E60-D60)*10000</f>
        <v>595.2989040047631</v>
      </c>
      <c r="F62" s="70">
        <f>(F60-E60)*10000</f>
        <v>-423.3190040486078</v>
      </c>
      <c r="G62" s="1"/>
      <c r="H62" s="70">
        <f>(H60-F60)*10000</f>
        <v>-306.3825751791779</v>
      </c>
      <c r="I62" s="70">
        <f>(I60-H60)*10000</f>
        <v>464.05953647730917</v>
      </c>
      <c r="J62" s="69">
        <f>(J60-I60)*10000</f>
        <v>101.09625370603086</v>
      </c>
      <c r="K62" s="1"/>
    </row>
    <row r="63">
      <c r="A63" s="1"/>
      <c r="B63" s="1" t="s">
        <v>362</v>
      </c>
      <c r="C63" s="23">
        <v>-14</v>
      </c>
      <c r="D63" s="23">
        <v>2</v>
      </c>
      <c r="E63" s="23">
        <v>2</v>
      </c>
      <c r="F63" s="23">
        <v>-31</v>
      </c>
      <c r="G63" s="3">
        <f>SUM(C63:F63)</f>
        <v>-41</v>
      </c>
      <c r="H63" s="23">
        <v>-8</v>
      </c>
      <c r="I63" s="23">
        <v>-15</v>
      </c>
      <c r="J63" s="8">
        <f>J168</f>
        <v>-10</v>
      </c>
      <c r="K63" s="1" t="s">
        <v>363</v>
      </c>
    </row>
    <row r="64">
      <c r="A64" s="1"/>
      <c r="B64" s="26" t="s">
        <v>85</v>
      </c>
      <c r="C64" s="58" t="s">
        <v>34</v>
      </c>
      <c r="D64" s="21">
        <f>D63-C63</f>
        <v>16</v>
      </c>
      <c r="E64" s="21">
        <f>E63-D63</f>
        <v>0</v>
      </c>
      <c r="F64" s="21">
        <f>F63-E63</f>
        <v>-33</v>
      </c>
      <c r="G64" s="1"/>
      <c r="H64" s="21">
        <f>H63-F63</f>
        <v>23</v>
      </c>
      <c r="I64" s="21">
        <f>I63-H63</f>
        <v>-7</v>
      </c>
      <c r="J64" s="60">
        <f>J63-I63</f>
        <v>5</v>
      </c>
      <c r="K64" s="1"/>
    </row>
    <row r="65">
      <c r="A65" s="1"/>
      <c r="B65" s="33" t="s">
        <v>364</v>
      </c>
      <c r="C65" s="55">
        <f>C54+C57+C63</f>
        <v>1512</v>
      </c>
      <c r="D65" s="55">
        <f>D54+D57+D63</f>
        <v>1619</v>
      </c>
      <c r="E65" s="55">
        <f>E54+E57+E63</f>
        <v>1621</v>
      </c>
      <c r="F65" s="55">
        <f>F54+F57+F63</f>
        <v>1970</v>
      </c>
      <c r="G65" s="55">
        <f>G54+G57+G63</f>
        <v>6722</v>
      </c>
      <c r="H65" s="55">
        <f>H54+H57+H63</f>
        <v>1655</v>
      </c>
      <c r="I65" s="55">
        <f>I54+I57+I63</f>
        <v>1742</v>
      </c>
      <c r="J65" s="53">
        <f>J54+J57+J63</f>
        <v>2038.575046032557</v>
      </c>
      <c r="K65" s="1"/>
    </row>
    <row r="66">
      <c r="A66" s="1"/>
      <c r="B66" s="26" t="s">
        <v>85</v>
      </c>
      <c r="C66" s="58" t="s">
        <v>34</v>
      </c>
      <c r="D66" s="21">
        <f>D65-C65</f>
        <v>107</v>
      </c>
      <c r="E66" s="21">
        <f>E65-D65</f>
        <v>2</v>
      </c>
      <c r="F66" s="21">
        <f>F65-E65</f>
        <v>349</v>
      </c>
      <c r="G66" s="1"/>
      <c r="H66" s="21">
        <f>H65-F65</f>
        <v>-315</v>
      </c>
      <c r="I66" s="21">
        <f>I65-H65</f>
        <v>87</v>
      </c>
      <c r="J66" s="60">
        <f>J65-I65</f>
        <v>296.5750460325571</v>
      </c>
      <c r="K66" s="1"/>
    </row>
    <row r="67">
      <c r="A67" s="1"/>
      <c r="B67" s="26" t="s">
        <v>75</v>
      </c>
      <c r="C67" s="109" t="s">
        <v>34</v>
      </c>
      <c r="D67" s="109" t="s">
        <v>34</v>
      </c>
      <c r="E67" s="109" t="s">
        <v>34</v>
      </c>
      <c r="F67" s="109" t="s">
        <v>34</v>
      </c>
      <c r="G67" s="109" t="s">
        <v>34</v>
      </c>
      <c r="H67" s="103">
        <f>H65/C65-1</f>
        <v>0.09457671957671954</v>
      </c>
      <c r="I67" s="103">
        <f>I65/D65-1</f>
        <v>0.07597282273008021</v>
      </c>
      <c r="J67" s="108">
        <f>J65/E65-1</f>
        <v>0.2576033596746188</v>
      </c>
      <c r="K67" s="1"/>
    </row>
    <row r="68">
      <c r="A68" s="1"/>
      <c r="B68" s="1" t="s">
        <v>365</v>
      </c>
      <c r="C68" s="23">
        <v>4</v>
      </c>
      <c r="D68" s="23">
        <v>2</v>
      </c>
      <c r="E68" s="23">
        <v>5</v>
      </c>
      <c r="F68" s="23">
        <v>5</v>
      </c>
      <c r="G68" s="3">
        <f>SUM(C68:F68)</f>
        <v>16</v>
      </c>
      <c r="H68" s="23">
        <v>5</v>
      </c>
      <c r="I68" s="23">
        <v>5</v>
      </c>
      <c r="J68" s="8">
        <f>J169</f>
        <v>5</v>
      </c>
      <c r="K68" s="1" t="s">
        <v>366</v>
      </c>
    </row>
    <row r="69">
      <c r="A69" s="1"/>
      <c r="B69" s="26" t="s">
        <v>85</v>
      </c>
      <c r="C69" s="58" t="s">
        <v>34</v>
      </c>
      <c r="D69" s="21">
        <f>D68-C68</f>
        <v>-2</v>
      </c>
      <c r="E69" s="21">
        <f>E68-D68</f>
        <v>3</v>
      </c>
      <c r="F69" s="21">
        <f>F68-E68</f>
        <v>0</v>
      </c>
      <c r="G69" s="1"/>
      <c r="H69" s="21">
        <f>H68-F68</f>
        <v>0</v>
      </c>
      <c r="I69" s="21">
        <f>I68-H68</f>
        <v>0</v>
      </c>
      <c r="J69" s="60">
        <f>J68-I68</f>
        <v>0</v>
      </c>
      <c r="K69" s="1"/>
    </row>
    <row r="70">
      <c r="A70" s="1"/>
      <c r="B70" s="33" t="s">
        <v>367</v>
      </c>
      <c r="C70" s="55">
        <f>C65-C68</f>
        <v>1508</v>
      </c>
      <c r="D70" s="55">
        <f>D65-D68</f>
        <v>1617</v>
      </c>
      <c r="E70" s="55">
        <f>E65-E68</f>
        <v>1616</v>
      </c>
      <c r="F70" s="55">
        <f>F65-F68</f>
        <v>1965</v>
      </c>
      <c r="G70" s="55">
        <f>G65-G68</f>
        <v>6706</v>
      </c>
      <c r="H70" s="55">
        <f>H65-H68</f>
        <v>1650</v>
      </c>
      <c r="I70" s="55">
        <f>I65-I68</f>
        <v>1737</v>
      </c>
      <c r="J70" s="53">
        <f>J65-J68</f>
        <v>2033.575046032557</v>
      </c>
      <c r="K70" s="1" t="s">
        <v>368</v>
      </c>
    </row>
    <row r="71">
      <c r="A71" s="1"/>
      <c r="B71" s="26" t="s">
        <v>75</v>
      </c>
      <c r="C71" s="103">
        <f>C70/C185-1</f>
        <v>0.1355421686746987</v>
      </c>
      <c r="D71" s="103">
        <f>D70/D185-1</f>
        <v>0.04457364341085279</v>
      </c>
      <c r="E71" s="103">
        <f>E70/E185-1</f>
        <v>-0.008588957055214674</v>
      </c>
      <c r="F71" s="103">
        <f>F70/F185-1</f>
        <v>0.07377049180327866</v>
      </c>
      <c r="G71" s="103">
        <f>G70/G185-1</f>
        <v>0.05856353591160213</v>
      </c>
      <c r="H71" s="103">
        <f>H70/H185-1</f>
        <v>0.09416445623342184</v>
      </c>
      <c r="I71" s="103">
        <f>I70/I185-1</f>
        <v>0.07421150278293132</v>
      </c>
      <c r="J71" s="108">
        <f>J70/J185-1</f>
        <v>0.2584003997726221</v>
      </c>
      <c r="K71" s="1"/>
    </row>
    <row r="72">
      <c r="A72" s="1"/>
      <c r="B72" s="26" t="s">
        <v>85</v>
      </c>
      <c r="C72" s="21">
        <f>C70-F185</f>
        <v>-322</v>
      </c>
      <c r="D72" s="21">
        <f>D70-C70</f>
        <v>109</v>
      </c>
      <c r="E72" s="21">
        <f>E70-D70</f>
        <v>-1</v>
      </c>
      <c r="F72" s="21">
        <f>F70-E70</f>
        <v>349</v>
      </c>
      <c r="G72" s="1"/>
      <c r="H72" s="21">
        <f>H70-F70</f>
        <v>-315</v>
      </c>
      <c r="I72" s="21">
        <f>I70-H70</f>
        <v>87</v>
      </c>
      <c r="J72" s="60">
        <f>J70-I70</f>
        <v>296.5750460325571</v>
      </c>
      <c r="K72" s="1"/>
    </row>
    <row r="73">
      <c r="A73" s="1"/>
      <c r="B73" s="26" t="s">
        <v>369</v>
      </c>
      <c r="C73" s="103">
        <f>C70/C10</f>
        <v>0.14550366653801622</v>
      </c>
      <c r="D73" s="103">
        <f>D70/D10</f>
        <v>0.14896361123906035</v>
      </c>
      <c r="E73" s="103">
        <f>E70/E10</f>
        <v>0.14529760834382305</v>
      </c>
      <c r="F73" s="103">
        <f>F70/F10</f>
        <v>0.16086778550961933</v>
      </c>
      <c r="G73" s="103">
        <f>G70/G10</f>
        <v>0.15050722686057993</v>
      </c>
      <c r="H73" s="103">
        <f>H70/H10</f>
        <v>0.14993184915947297</v>
      </c>
      <c r="I73" s="103">
        <f>I70/I10</f>
        <v>0.1448224112056028</v>
      </c>
      <c r="J73" s="108">
        <f>J70/J10</f>
        <v>0.16994811827964712</v>
      </c>
      <c r="K73" s="1"/>
    </row>
    <row r="74">
      <c r="A74" s="1"/>
      <c r="B74" s="26" t="s">
        <v>214</v>
      </c>
      <c r="C74" s="65" t="s">
        <v>34</v>
      </c>
      <c r="D74" s="65" t="s">
        <v>34</v>
      </c>
      <c r="E74" s="65" t="s">
        <v>34</v>
      </c>
      <c r="F74" s="65" t="s">
        <v>34</v>
      </c>
      <c r="G74" s="65" t="s">
        <v>34</v>
      </c>
      <c r="H74" s="70">
        <f>(H73-C73)*10000</f>
        <v>44.2818262145675</v>
      </c>
      <c r="I74" s="70">
        <f>(I73-D73)*10000</f>
        <v>-41.41200033457554</v>
      </c>
      <c r="J74" s="69">
        <f>(J73-E73)*10000</f>
        <v>246.50509935824073</v>
      </c>
      <c r="K74" s="1"/>
    </row>
    <row r="75">
      <c r="A75" s="1"/>
      <c r="B75" s="26" t="s">
        <v>215</v>
      </c>
      <c r="C75" s="65" t="s">
        <v>34</v>
      </c>
      <c r="D75" s="70">
        <f>(D73-C73)*10000</f>
        <v>34.59944701044132</v>
      </c>
      <c r="E75" s="70">
        <f>(E73-D73)*10000</f>
        <v>-36.660028952373025</v>
      </c>
      <c r="F75" s="70">
        <f>(F73-E73)*10000</f>
        <v>155.70177165796284</v>
      </c>
      <c r="G75" s="1"/>
      <c r="H75" s="70">
        <f>(H73-F73)*10000</f>
        <v>-109.35936350146363</v>
      </c>
      <c r="I75" s="70">
        <f>(I73-H73)*10000</f>
        <v>-51.094379538701716</v>
      </c>
      <c r="J75" s="69">
        <f>(J73-I73)*10000</f>
        <v>251.25707074044323</v>
      </c>
      <c r="K75" s="1"/>
    </row>
    <row r="76">
      <c r="A76" s="1"/>
      <c r="B76" s="26" t="s">
        <v>370</v>
      </c>
      <c r="C76" s="58">
        <v>1507</v>
      </c>
      <c r="D76" s="58">
        <v>1617</v>
      </c>
      <c r="E76" s="58">
        <v>1616</v>
      </c>
      <c r="F76" s="58">
        <v>1964</v>
      </c>
      <c r="G76" s="21">
        <f>SUM(C76:F76)</f>
        <v>6704</v>
      </c>
      <c r="H76" s="58">
        <v>1651</v>
      </c>
      <c r="I76" s="58">
        <v>1736</v>
      </c>
      <c r="J76" s="100"/>
      <c r="K76" s="1" t="s">
        <v>371</v>
      </c>
    </row>
    <row r="77">
      <c r="A77" s="1"/>
      <c r="B77" s="26" t="s">
        <v>372</v>
      </c>
      <c r="C77" s="21">
        <f>C70-C76</f>
        <v>1</v>
      </c>
      <c r="D77" s="21">
        <f>D70-D76</f>
        <v>0</v>
      </c>
      <c r="E77" s="21">
        <f>E70-E76</f>
        <v>0</v>
      </c>
      <c r="F77" s="21">
        <f>F70-F76</f>
        <v>1</v>
      </c>
      <c r="G77" s="21">
        <f>G70-G76</f>
        <v>2</v>
      </c>
      <c r="H77" s="21">
        <f>H70-H76</f>
        <v>-1</v>
      </c>
      <c r="I77" s="21">
        <f>I70-I76</f>
        <v>1</v>
      </c>
      <c r="J77" s="100"/>
      <c r="K77" s="1" t="s">
        <v>373</v>
      </c>
    </row>
    <row r="78">
      <c r="A78" s="1"/>
      <c r="B78" s="1" t="s">
        <v>374</v>
      </c>
      <c r="C78" s="32">
        <v>3.99</v>
      </c>
      <c r="D78" s="32">
        <v>4.28</v>
      </c>
      <c r="E78" s="32">
        <v>4.28</v>
      </c>
      <c r="F78" s="32">
        <v>5.22</v>
      </c>
      <c r="G78" s="32">
        <v>17.77</v>
      </c>
      <c r="H78" s="32">
        <v>4.44</v>
      </c>
      <c r="I78" s="32">
        <v>4.68</v>
      </c>
      <c r="J78" s="56">
        <f>J70/J84</f>
        <v>5.4969319224376125</v>
      </c>
      <c r="K78" s="1"/>
    </row>
    <row r="79">
      <c r="A79" s="1"/>
      <c r="B79" s="62" t="s">
        <v>375</v>
      </c>
      <c r="C79" s="92">
        <v>3.98</v>
      </c>
      <c r="D79" s="92">
        <v>4.28</v>
      </c>
      <c r="E79" s="92">
        <v>4.27</v>
      </c>
      <c r="F79" s="92">
        <v>5.21</v>
      </c>
      <c r="G79" s="92">
        <v>17.74</v>
      </c>
      <c r="H79" s="92">
        <v>4.43</v>
      </c>
      <c r="I79" s="92">
        <v>4.68</v>
      </c>
      <c r="J79" s="97">
        <f>J70/J85</f>
        <v>5.488031144377501</v>
      </c>
      <c r="K79" s="2" t="s">
        <v>376</v>
      </c>
    </row>
    <row r="80">
      <c r="A80" s="1"/>
      <c r="B80" s="26" t="s">
        <v>75</v>
      </c>
      <c r="C80" s="103">
        <f>C79/C186-1</f>
        <v>0.1502890173410405</v>
      </c>
      <c r="D80" s="103">
        <f>D79/D186-1</f>
        <v>0.05940594059405946</v>
      </c>
      <c r="E80" s="103">
        <f>E79/E186-1</f>
        <v>0.004705882352941115</v>
      </c>
      <c r="F80" s="103">
        <f>F79/F186-1</f>
        <v>0.08995815899581583</v>
      </c>
      <c r="G80" s="103">
        <f>G79/G186-1</f>
        <v>0.07320024198427078</v>
      </c>
      <c r="H80" s="103">
        <f>H79/H186-1</f>
        <v>0.11306532663316582</v>
      </c>
      <c r="I80" s="103">
        <f>I79/I186-1</f>
        <v>0.09345794392523343</v>
      </c>
      <c r="J80" s="108">
        <f>J79/J186-1</f>
        <v>0.2852531954045672</v>
      </c>
      <c r="K80" s="1"/>
    </row>
    <row r="81">
      <c r="A81" s="1"/>
      <c r="B81" s="26" t="s">
        <v>377</v>
      </c>
      <c r="C81" s="88">
        <f>C79-F186</f>
        <v>-0.8000000000000003</v>
      </c>
      <c r="D81" s="88">
        <f>D79-C79</f>
        <v>0.30000000000000027</v>
      </c>
      <c r="E81" s="88">
        <f>E79-D79</f>
        <v>-0.010000000000000675</v>
      </c>
      <c r="F81" s="88">
        <f>F79-E79</f>
        <v>0.9400000000000004</v>
      </c>
      <c r="G81" s="1"/>
      <c r="H81" s="88">
        <f>H79-F79</f>
        <v>-0.7800000000000002</v>
      </c>
      <c r="I81" s="88">
        <f>I79-H79</f>
        <v>0.25</v>
      </c>
      <c r="J81" s="98">
        <f>J79-I79</f>
        <v>0.8080311443775017</v>
      </c>
      <c r="K81" s="1"/>
    </row>
    <row r="82">
      <c r="A82" s="1"/>
      <c r="B82" s="1" t="s">
        <v>378</v>
      </c>
      <c r="C82" s="17">
        <f>C70/C85</f>
        <v>3.978891820580475</v>
      </c>
      <c r="D82" s="17">
        <f>D70/D85</f>
        <v>4.277777777777778</v>
      </c>
      <c r="E82" s="17">
        <f>E70/E85</f>
        <v>4.275132275132275</v>
      </c>
      <c r="F82" s="17">
        <f>F70/F85</f>
        <v>5.212201591511937</v>
      </c>
      <c r="G82" s="17">
        <f>G70/G85</f>
        <v>17.74074074074074</v>
      </c>
      <c r="H82" s="17">
        <f>H70/H85</f>
        <v>4.423592493297587</v>
      </c>
      <c r="I82" s="17">
        <f>I70/I85</f>
        <v>4.681940700808625</v>
      </c>
      <c r="J82" s="56">
        <f>J70/J85</f>
        <v>5.488031144377501</v>
      </c>
      <c r="K82" s="1" t="s">
        <v>379</v>
      </c>
    </row>
    <row r="83">
      <c r="A83" s="1"/>
      <c r="B83" s="1" t="s">
        <v>380</v>
      </c>
      <c r="C83" s="40" t="b">
        <f>ABS(C79-C82)&lt;=0.03</f>
        <v>1</v>
      </c>
      <c r="D83" s="40" t="b">
        <f>ABS(D79-D82)&lt;=0.03</f>
        <v>1</v>
      </c>
      <c r="E83" s="40" t="b">
        <f>ABS(E79-E82)&lt;=0.03</f>
        <v>1</v>
      </c>
      <c r="F83" s="40" t="b">
        <f>ABS(F79-F82)&lt;=0.03</f>
        <v>1</v>
      </c>
      <c r="G83" s="40" t="b">
        <f>ABS(G79-G82)&lt;=0.03</f>
        <v>1</v>
      </c>
      <c r="H83" s="40" t="b">
        <f>ABS(H79-H82)&lt;=0.03</f>
        <v>1</v>
      </c>
      <c r="I83" s="40" t="b">
        <f>ABS(I79-I82)&lt;=0.03</f>
        <v>1</v>
      </c>
      <c r="J83" s="76" t="b">
        <f>ABS(J79-J82)&lt;=0.03</f>
        <v>1</v>
      </c>
      <c r="K83" s="1" t="s">
        <v>381</v>
      </c>
    </row>
    <row r="84">
      <c r="A84" s="1"/>
      <c r="B84" s="1" t="s">
        <v>382</v>
      </c>
      <c r="C84" s="18">
        <f>'Share Count'!C10</f>
        <v>378</v>
      </c>
      <c r="D84" s="18">
        <f>'Share Count'!D10</f>
        <v>378</v>
      </c>
      <c r="E84" s="18">
        <f>'Share Count'!E10</f>
        <v>378</v>
      </c>
      <c r="F84" s="18">
        <f>'Share Count'!F10</f>
        <v>376</v>
      </c>
      <c r="G84" s="18">
        <f>'Share Count'!G10</f>
        <v>377</v>
      </c>
      <c r="H84" s="18">
        <f>'Share Count'!H10</f>
        <v>372</v>
      </c>
      <c r="I84" s="18">
        <f>'Share Count'!I10</f>
        <v>371</v>
      </c>
      <c r="J84" s="50">
        <f>'Share Count'!J10</f>
        <v>369.94728599999996</v>
      </c>
      <c r="K84" s="1" t="s">
        <v>383</v>
      </c>
    </row>
    <row r="85">
      <c r="A85" s="1"/>
      <c r="B85" s="1" t="s">
        <v>57</v>
      </c>
      <c r="C85" s="18">
        <f>'Share Count'!C11</f>
        <v>379</v>
      </c>
      <c r="D85" s="18">
        <f>'Share Count'!D11</f>
        <v>378</v>
      </c>
      <c r="E85" s="18">
        <f>'Share Count'!E11</f>
        <v>378</v>
      </c>
      <c r="F85" s="18">
        <f>'Share Count'!F11</f>
        <v>377</v>
      </c>
      <c r="G85" s="18">
        <f>'Share Count'!G11</f>
        <v>378</v>
      </c>
      <c r="H85" s="18">
        <f>'Share Count'!H11</f>
        <v>373</v>
      </c>
      <c r="I85" s="18">
        <f>'Share Count'!I11</f>
        <v>371</v>
      </c>
      <c r="J85" s="50">
        <f>'Share Count'!J11</f>
        <v>370.547286</v>
      </c>
      <c r="K85" s="1" t="s">
        <v>384</v>
      </c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>
      <c r="A87" s="1"/>
      <c r="B87" s="13" t="s">
        <v>385</v>
      </c>
      <c r="C87" s="1"/>
      <c r="D87" s="1"/>
      <c r="E87" s="1"/>
      <c r="F87" s="1"/>
      <c r="G87" s="1"/>
      <c r="H87" s="1"/>
      <c r="I87" s="1"/>
      <c r="J87" s="1"/>
      <c r="K87" s="1"/>
    </row>
    <row r="88">
      <c r="A88" s="1"/>
      <c r="B88" s="1" t="s">
        <v>386</v>
      </c>
      <c r="C88" s="3">
        <f>C39</f>
        <v>1718</v>
      </c>
      <c r="D88" s="3">
        <f>D39</f>
        <v>1835</v>
      </c>
      <c r="E88" s="3">
        <f>E39</f>
        <v>1941</v>
      </c>
      <c r="F88" s="3">
        <f>F39</f>
        <v>2256</v>
      </c>
      <c r="G88" s="3">
        <f>G39</f>
        <v>7750</v>
      </c>
      <c r="H88" s="3">
        <f>H39</f>
        <v>1863</v>
      </c>
      <c r="I88" s="3">
        <f>I39</f>
        <v>2087</v>
      </c>
      <c r="J88" s="8">
        <f>J39</f>
        <v>2453.4011819576917</v>
      </c>
      <c r="K88" s="1"/>
    </row>
    <row r="89">
      <c r="A89" s="1"/>
      <c r="B89" s="1" t="s">
        <v>387</v>
      </c>
      <c r="C89" s="23">
        <v>11</v>
      </c>
      <c r="D89" s="23">
        <v>10</v>
      </c>
      <c r="E89" s="23">
        <v>10</v>
      </c>
      <c r="F89" s="23">
        <v>33</v>
      </c>
      <c r="G89" s="3">
        <f>SUM(C89:F89)</f>
        <v>64</v>
      </c>
      <c r="H89" s="23">
        <v>14</v>
      </c>
      <c r="I89" s="23">
        <v>28</v>
      </c>
      <c r="J89" s="8">
        <f>J158</f>
        <v>15</v>
      </c>
      <c r="K89" s="1" t="s">
        <v>388</v>
      </c>
    </row>
    <row r="90">
      <c r="A90" s="1"/>
      <c r="B90" s="1" t="s">
        <v>389</v>
      </c>
      <c r="C90" s="23">
        <v>14</v>
      </c>
      <c r="D90" s="23">
        <v>20</v>
      </c>
      <c r="E90" s="23">
        <v>66</v>
      </c>
      <c r="F90" s="23">
        <v>107</v>
      </c>
      <c r="G90" s="3">
        <f>SUM(C90:F90)</f>
        <v>207</v>
      </c>
      <c r="H90" s="23">
        <v>43</v>
      </c>
      <c r="I90" s="23">
        <v>36</v>
      </c>
      <c r="J90" s="8">
        <f>J159</f>
        <v>40</v>
      </c>
      <c r="K90" s="1" t="s">
        <v>390</v>
      </c>
    </row>
    <row r="91">
      <c r="A91" s="1"/>
      <c r="B91" s="1" t="s">
        <v>391</v>
      </c>
      <c r="C91" s="3">
        <f>C37</f>
        <v>98</v>
      </c>
      <c r="D91" s="3">
        <f>D37</f>
        <v>82</v>
      </c>
      <c r="E91" s="3">
        <f>E37</f>
        <v>135</v>
      </c>
      <c r="F91" s="3">
        <f>F37</f>
        <v>46</v>
      </c>
      <c r="G91" s="3">
        <f>G37</f>
        <v>361</v>
      </c>
      <c r="H91" s="3">
        <f>H37</f>
        <v>49</v>
      </c>
      <c r="I91" s="3">
        <f>I37</f>
        <v>98</v>
      </c>
      <c r="J91" s="8">
        <f>J37</f>
        <v>-103</v>
      </c>
      <c r="K91" s="1" t="s">
        <v>392</v>
      </c>
    </row>
    <row r="92">
      <c r="A92" s="1"/>
      <c r="B92" s="1" t="s">
        <v>393</v>
      </c>
      <c r="C92" s="3">
        <f>C26</f>
        <v>429</v>
      </c>
      <c r="D92" s="3">
        <f>D26</f>
        <v>429</v>
      </c>
      <c r="E92" s="3">
        <f>E26</f>
        <v>435</v>
      </c>
      <c r="F92" s="3">
        <f>F26</f>
        <v>436</v>
      </c>
      <c r="G92" s="3">
        <f>G26</f>
        <v>1729</v>
      </c>
      <c r="H92" s="3">
        <f>H26</f>
        <v>430</v>
      </c>
      <c r="I92" s="3">
        <f>I26</f>
        <v>485</v>
      </c>
      <c r="J92" s="8">
        <f>J26</f>
        <v>480</v>
      </c>
      <c r="K92" s="1" t="s">
        <v>394</v>
      </c>
    </row>
    <row r="93">
      <c r="A93" s="1"/>
      <c r="B93" s="33" t="s">
        <v>395</v>
      </c>
      <c r="C93" s="55">
        <f>C88+C89+C90+C91+C92</f>
        <v>2270</v>
      </c>
      <c r="D93" s="55">
        <f>D88+D89+D90+D91+D92</f>
        <v>2376</v>
      </c>
      <c r="E93" s="55">
        <f>E88+E89+E90+E91+E92</f>
        <v>2587</v>
      </c>
      <c r="F93" s="55">
        <f>F88+F89+F90+F91+F92</f>
        <v>2878</v>
      </c>
      <c r="G93" s="55">
        <f>G88+G89+G90+G91+G92</f>
        <v>10111</v>
      </c>
      <c r="H93" s="55">
        <f>H88+H89+H90+H91+H92</f>
        <v>2399</v>
      </c>
      <c r="I93" s="55">
        <f>I88+I89+I90+I91+I92</f>
        <v>2734</v>
      </c>
      <c r="J93" s="53">
        <f>J88+J89+J90+J91+J92</f>
        <v>2885.4011819576917</v>
      </c>
      <c r="K93" s="1" t="s">
        <v>396</v>
      </c>
    </row>
    <row r="94">
      <c r="A94" s="1"/>
      <c r="B94" s="26" t="s">
        <v>397</v>
      </c>
      <c r="C94" s="103">
        <f>C93/C10</f>
        <v>0.21902740254727904</v>
      </c>
      <c r="D94" s="103">
        <f>D93/D10</f>
        <v>0.21888530631045602</v>
      </c>
      <c r="E94" s="103">
        <f>E93/E10</f>
        <v>0.2326020499910088</v>
      </c>
      <c r="F94" s="103">
        <f>F93/F10</f>
        <v>0.23561195251739664</v>
      </c>
      <c r="G94" s="103">
        <f>G93/G10</f>
        <v>0.22692791094353174</v>
      </c>
      <c r="H94" s="103">
        <f>H93/H10</f>
        <v>0.21799182189913677</v>
      </c>
      <c r="I94" s="103">
        <f>I93/I10</f>
        <v>0.22794730698682675</v>
      </c>
      <c r="J94" s="108">
        <f>J93/J10</f>
        <v>0.24113617164622148</v>
      </c>
      <c r="K94" s="1"/>
    </row>
    <row r="95">
      <c r="A95" s="1"/>
      <c r="B95" s="26" t="s">
        <v>335</v>
      </c>
      <c r="C95" s="102">
        <f>(C94-C187/'Revenue summary'!C52)*10000</f>
        <v>-11.755940694440081</v>
      </c>
      <c r="D95" s="102">
        <f>(D94-D187/'Revenue summary'!D52)*10000</f>
        <v>-37.69090805567116</v>
      </c>
      <c r="E95" s="102">
        <f>(E94-E187/'Revenue summary'!E52)*10000</f>
        <v>97.29809945717233</v>
      </c>
      <c r="F95" s="102">
        <f>(F94-F187/'Revenue summary'!F52)*10000</f>
        <v>-30.8923221274815</v>
      </c>
      <c r="G95" s="102">
        <f>(G94-G187/'Revenue summary'!G52)*10000</f>
        <v>5.466986951117581</v>
      </c>
      <c r="H95" s="102">
        <f>(H94-H187/'Revenue summary'!H52)*10000</f>
        <v>-10.355806481422702</v>
      </c>
      <c r="I95" s="102">
        <f>(I94-I187/'Revenue summary'!I52)*10000</f>
        <v>90.62000676370724</v>
      </c>
      <c r="J95" s="101">
        <f>(J94-J187/'Revenue summary'!J52)*10000</f>
        <v>85.34121655212668</v>
      </c>
      <c r="K95" s="1"/>
    </row>
    <row r="96">
      <c r="A96" s="1"/>
      <c r="B96" s="26" t="s">
        <v>215</v>
      </c>
      <c r="C96" s="65" t="s">
        <v>34</v>
      </c>
      <c r="D96" s="70">
        <f>(D94-C94)*10000</f>
        <v>-1.4209623682301387</v>
      </c>
      <c r="E96" s="70">
        <f>(E94-D94)*10000</f>
        <v>137.16743680552784</v>
      </c>
      <c r="F96" s="70">
        <f>(F94-E94)*10000</f>
        <v>30.09902526387831</v>
      </c>
      <c r="G96" s="1"/>
      <c r="H96" s="70">
        <f>(H94-F94)*10000</f>
        <v>-176.20130618259873</v>
      </c>
      <c r="I96" s="70">
        <f>(I94-H94)*10000</f>
        <v>99.5548508768998</v>
      </c>
      <c r="J96" s="69">
        <f>(J94-I94)*10000</f>
        <v>131.88864659394727</v>
      </c>
      <c r="K96" s="1"/>
    </row>
    <row r="97">
      <c r="A97" s="1"/>
      <c r="B97" s="26" t="s">
        <v>75</v>
      </c>
      <c r="C97" s="103">
        <f>C93/C187-1</f>
        <v>-0.0035118525021948788</v>
      </c>
      <c r="D97" s="103">
        <f>D93/D187-1</f>
        <v>0.01235619940349375</v>
      </c>
      <c r="E97" s="103">
        <f>E93/E187-1</f>
        <v>0.09525825571549529</v>
      </c>
      <c r="F97" s="103">
        <f>F93/F187-1</f>
        <v>0.05808823529411766</v>
      </c>
      <c r="G97" s="103">
        <f>G93/G187-1</f>
        <v>0.04161944988152877</v>
      </c>
      <c r="H97" s="103">
        <f>H93/H187-1</f>
        <v>0.05682819383259918</v>
      </c>
      <c r="I97" s="103">
        <f>I93/I187-1</f>
        <v>0.15067340067340074</v>
      </c>
      <c r="J97" s="108">
        <f>J93/J187-1</f>
        <v>0.11534641745562113</v>
      </c>
      <c r="K97" s="1"/>
    </row>
    <row r="98">
      <c r="A98" s="1"/>
      <c r="B98" s="26" t="s">
        <v>85</v>
      </c>
      <c r="C98" s="21">
        <f>C93-F187</f>
        <v>-450</v>
      </c>
      <c r="D98" s="21">
        <f>D93-C93</f>
        <v>106</v>
      </c>
      <c r="E98" s="21">
        <f>E93-D93</f>
        <v>211</v>
      </c>
      <c r="F98" s="21">
        <f>F93-E93</f>
        <v>291</v>
      </c>
      <c r="G98" s="1"/>
      <c r="H98" s="21">
        <f>H93-F93</f>
        <v>-479</v>
      </c>
      <c r="I98" s="21">
        <f>I93-H93</f>
        <v>335</v>
      </c>
      <c r="J98" s="60">
        <f>J93-I93</f>
        <v>151.40118195769173</v>
      </c>
      <c r="K98" s="1"/>
    </row>
    <row r="99">
      <c r="A99" s="1"/>
      <c r="B99" s="1" t="s">
        <v>398</v>
      </c>
      <c r="C99" s="18">
        <f>'Segment - Life Sciences'!C84+'Segment - Analytical Instr'!C71+'Segment - Specialty Dx'!C110+'Segment - Lab Products &amp; BPS'!C97</f>
        <v>2268</v>
      </c>
      <c r="D99" s="18">
        <f>'Segment - Life Sciences'!D84+'Segment - Analytical Instr'!D71+'Segment - Specialty Dx'!D110+'Segment - Lab Products &amp; BPS'!D97</f>
        <v>2375</v>
      </c>
      <c r="E99" s="18">
        <f>'Segment - Life Sciences'!E84+'Segment - Analytical Instr'!E71+'Segment - Specialty Dx'!E110+'Segment - Lab Products &amp; BPS'!E97</f>
        <v>2586</v>
      </c>
      <c r="F99" s="18">
        <f>'Segment - Life Sciences'!F84+'Segment - Analytical Instr'!F71+'Segment - Specialty Dx'!F110+'Segment - Lab Products &amp; BPS'!F97</f>
        <v>2878</v>
      </c>
      <c r="G99" s="18">
        <f>'Segment - Life Sciences'!G84+'Segment - Analytical Instr'!G71+'Segment - Specialty Dx'!G110+'Segment - Lab Products &amp; BPS'!G97</f>
        <v>10107</v>
      </c>
      <c r="H99" s="18">
        <f>'Segment - Life Sciences'!H84+'Segment - Analytical Instr'!H71+'Segment - Specialty Dx'!H110+'Segment - Lab Products &amp; BPS'!H97</f>
        <v>2400</v>
      </c>
      <c r="I99" s="18">
        <f>'Segment - Life Sciences'!I84+'Segment - Analytical Instr'!I71+'Segment - Specialty Dx'!I110+'Segment - Lab Products &amp; BPS'!I97</f>
        <v>2735</v>
      </c>
      <c r="J99" s="50">
        <f>'Segment - Life Sciences'!J84+'Segment - Analytical Instr'!J71+'Segment - Specialty Dx'!J110+'Segment - Lab Products &amp; BPS'!J97</f>
        <v>2885.4011819576917</v>
      </c>
      <c r="K99" s="1" t="s">
        <v>399</v>
      </c>
    </row>
    <row r="100">
      <c r="A100" s="1"/>
      <c r="B100" s="26" t="s">
        <v>400</v>
      </c>
      <c r="C100" s="21">
        <f>C93-C99</f>
        <v>2</v>
      </c>
      <c r="D100" s="21">
        <f>D93-D99</f>
        <v>1</v>
      </c>
      <c r="E100" s="21">
        <f>E93-E99</f>
        <v>1</v>
      </c>
      <c r="F100" s="21">
        <f>F93-F99</f>
        <v>0</v>
      </c>
      <c r="G100" s="21">
        <f>G93-G99</f>
        <v>4</v>
      </c>
      <c r="H100" s="21">
        <f>H93-H99</f>
        <v>-1</v>
      </c>
      <c r="I100" s="21">
        <f>I93-I99</f>
        <v>-1</v>
      </c>
      <c r="J100" s="60">
        <f>J93-J99</f>
        <v>0</v>
      </c>
      <c r="K100" s="1" t="s">
        <v>401</v>
      </c>
    </row>
    <row r="101">
      <c r="A101" s="1"/>
      <c r="B101" s="1" t="s">
        <v>402</v>
      </c>
      <c r="C101" s="40" t="b">
        <f>ABS(C100)&lt;=2</f>
        <v>1</v>
      </c>
      <c r="D101" s="40" t="b">
        <f>ABS(D100)&lt;=2</f>
        <v>1</v>
      </c>
      <c r="E101" s="40" t="b">
        <f>ABS(E100)&lt;=2</f>
        <v>1</v>
      </c>
      <c r="F101" s="40" t="b">
        <f>ABS(F100)&lt;=2</f>
        <v>1</v>
      </c>
      <c r="G101" s="40" t="b">
        <f>ABS(G100)&lt;=5</f>
        <v>1</v>
      </c>
      <c r="H101" s="40" t="b">
        <f>ABS(H100)&lt;=2</f>
        <v>1</v>
      </c>
      <c r="I101" s="40" t="b">
        <f>ABS(I100)&lt;=2</f>
        <v>1</v>
      </c>
      <c r="J101" s="76" t="b">
        <f>ABS(J100)&lt;=2</f>
        <v>1</v>
      </c>
      <c r="K101" s="1" t="s">
        <v>403</v>
      </c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>
      <c r="A103" s="1"/>
      <c r="B103" s="13" t="s">
        <v>404</v>
      </c>
      <c r="C103" s="1"/>
      <c r="D103" s="1"/>
      <c r="E103" s="1"/>
      <c r="F103" s="1"/>
      <c r="G103" s="1"/>
      <c r="H103" s="1"/>
      <c r="I103" s="1"/>
      <c r="J103" s="1"/>
      <c r="K103" s="1"/>
    </row>
    <row r="104">
      <c r="A104" s="1"/>
      <c r="B104" s="1" t="s">
        <v>405</v>
      </c>
      <c r="C104" s="3">
        <f>C70</f>
        <v>1508</v>
      </c>
      <c r="D104" s="3">
        <f>D70</f>
        <v>1617</v>
      </c>
      <c r="E104" s="3">
        <f>E70</f>
        <v>1616</v>
      </c>
      <c r="F104" s="3">
        <f>F70</f>
        <v>1965</v>
      </c>
      <c r="G104" s="3">
        <f>G70</f>
        <v>6706</v>
      </c>
      <c r="H104" s="3">
        <f>H70</f>
        <v>1650</v>
      </c>
      <c r="I104" s="3">
        <f>I70</f>
        <v>1737</v>
      </c>
      <c r="J104" s="8">
        <f>J70</f>
        <v>2033.575046032557</v>
      </c>
      <c r="K104" s="1" t="s">
        <v>406</v>
      </c>
    </row>
    <row r="105">
      <c r="A105" s="1"/>
      <c r="B105" s="1" t="s">
        <v>407</v>
      </c>
      <c r="C105" s="3">
        <f>C89</f>
        <v>11</v>
      </c>
      <c r="D105" s="3">
        <f>D89</f>
        <v>10</v>
      </c>
      <c r="E105" s="3">
        <f>E89</f>
        <v>10</v>
      </c>
      <c r="F105" s="3">
        <f>F89</f>
        <v>33</v>
      </c>
      <c r="G105" s="3">
        <f>G89</f>
        <v>64</v>
      </c>
      <c r="H105" s="3">
        <f>H89</f>
        <v>14</v>
      </c>
      <c r="I105" s="3">
        <f>I89</f>
        <v>28</v>
      </c>
      <c r="J105" s="8">
        <f>J89</f>
        <v>15</v>
      </c>
      <c r="K105" s="1"/>
    </row>
    <row r="106">
      <c r="A106" s="1"/>
      <c r="B106" s="1" t="s">
        <v>389</v>
      </c>
      <c r="C106" s="3">
        <f>C90</f>
        <v>14</v>
      </c>
      <c r="D106" s="3">
        <f>D90</f>
        <v>20</v>
      </c>
      <c r="E106" s="3">
        <f>E90</f>
        <v>66</v>
      </c>
      <c r="F106" s="3">
        <f>F90</f>
        <v>107</v>
      </c>
      <c r="G106" s="3">
        <f>G90</f>
        <v>207</v>
      </c>
      <c r="H106" s="3">
        <f>H90</f>
        <v>43</v>
      </c>
      <c r="I106" s="3">
        <f>I90</f>
        <v>36</v>
      </c>
      <c r="J106" s="8">
        <f>J90</f>
        <v>40</v>
      </c>
      <c r="K106" s="1"/>
    </row>
    <row r="107">
      <c r="A107" s="1"/>
      <c r="B107" s="1" t="s">
        <v>391</v>
      </c>
      <c r="C107" s="3">
        <f>C37</f>
        <v>98</v>
      </c>
      <c r="D107" s="3">
        <f>D37</f>
        <v>82</v>
      </c>
      <c r="E107" s="3">
        <f>E37</f>
        <v>135</v>
      </c>
      <c r="F107" s="3">
        <f>F37</f>
        <v>46</v>
      </c>
      <c r="G107" s="3">
        <f>G37</f>
        <v>361</v>
      </c>
      <c r="H107" s="3">
        <f>H37</f>
        <v>49</v>
      </c>
      <c r="I107" s="3">
        <f>I37</f>
        <v>98</v>
      </c>
      <c r="J107" s="8">
        <f>J37</f>
        <v>-103</v>
      </c>
      <c r="K107" s="1" t="s">
        <v>408</v>
      </c>
    </row>
    <row r="108">
      <c r="A108" s="1"/>
      <c r="B108" s="1" t="s">
        <v>393</v>
      </c>
      <c r="C108" s="3">
        <f>C26</f>
        <v>429</v>
      </c>
      <c r="D108" s="3">
        <f>D26</f>
        <v>429</v>
      </c>
      <c r="E108" s="3">
        <f>E26</f>
        <v>435</v>
      </c>
      <c r="F108" s="3">
        <f>F26</f>
        <v>436</v>
      </c>
      <c r="G108" s="3">
        <f>G26</f>
        <v>1729</v>
      </c>
      <c r="H108" s="3">
        <f>H26</f>
        <v>430</v>
      </c>
      <c r="I108" s="3">
        <f>I26</f>
        <v>485</v>
      </c>
      <c r="J108" s="8">
        <f>J26</f>
        <v>480</v>
      </c>
      <c r="K108" s="1" t="s">
        <v>394</v>
      </c>
    </row>
    <row r="109">
      <c r="A109" s="1"/>
      <c r="B109" s="1" t="s">
        <v>409</v>
      </c>
      <c r="C109" s="23">
        <v>-1</v>
      </c>
      <c r="D109" s="23">
        <v>5</v>
      </c>
      <c r="E109" s="23">
        <v>-5</v>
      </c>
      <c r="F109" s="23">
        <v>-5</v>
      </c>
      <c r="G109" s="3">
        <f>SUM(C109:F109)</f>
        <v>-6</v>
      </c>
      <c r="H109" s="23">
        <v>1</v>
      </c>
      <c r="I109" s="23">
        <v>-31</v>
      </c>
      <c r="J109" s="8">
        <f>J165</f>
        <v>0</v>
      </c>
      <c r="K109" s="1" t="s">
        <v>410</v>
      </c>
    </row>
    <row r="110">
      <c r="A110" s="1"/>
      <c r="B110" s="1" t="s">
        <v>411</v>
      </c>
      <c r="C110" s="23">
        <v>-122</v>
      </c>
      <c r="D110" s="23">
        <v>-133</v>
      </c>
      <c r="E110" s="23">
        <v>-64</v>
      </c>
      <c r="F110" s="23">
        <v>-138</v>
      </c>
      <c r="G110" s="3">
        <f>SUM(C110:F110)</f>
        <v>-457</v>
      </c>
      <c r="H110" s="23">
        <v>-168</v>
      </c>
      <c r="I110" s="23">
        <v>-127</v>
      </c>
      <c r="J110" s="8">
        <f>-(J89+J90+J37+J26+J109)*J167</f>
        <v>-90.72</v>
      </c>
      <c r="K110" s="1"/>
    </row>
    <row r="111">
      <c r="A111" s="1"/>
      <c r="B111" s="1" t="s">
        <v>412</v>
      </c>
      <c r="C111" s="23">
        <v>14</v>
      </c>
      <c r="D111" s="23">
        <v>-2</v>
      </c>
      <c r="E111" s="23">
        <v>-2</v>
      </c>
      <c r="F111" s="23">
        <v>31</v>
      </c>
      <c r="G111" s="3">
        <f>SUM(C111:F111)</f>
        <v>41</v>
      </c>
      <c r="H111" s="23">
        <v>8</v>
      </c>
      <c r="I111" s="23">
        <v>15</v>
      </c>
      <c r="J111" s="8">
        <f>-J63</f>
        <v>10</v>
      </c>
      <c r="K111" s="1" t="s">
        <v>413</v>
      </c>
    </row>
    <row r="112">
      <c r="A112" s="1"/>
      <c r="B112" s="1" t="s">
        <v>414</v>
      </c>
      <c r="C112" s="23">
        <v>0</v>
      </c>
      <c r="D112" s="23">
        <v>-1</v>
      </c>
      <c r="E112" s="23">
        <v>0</v>
      </c>
      <c r="F112" s="23">
        <v>0</v>
      </c>
      <c r="G112" s="3">
        <f>SUM(C112:F112)</f>
        <v>-1</v>
      </c>
      <c r="H112" s="23">
        <v>0</v>
      </c>
      <c r="I112" s="23">
        <v>0</v>
      </c>
      <c r="J112" s="8">
        <f>J170</f>
        <v>0</v>
      </c>
      <c r="K112" s="1" t="s">
        <v>415</v>
      </c>
    </row>
    <row r="113">
      <c r="A113" s="1"/>
      <c r="B113" s="33" t="s">
        <v>416</v>
      </c>
      <c r="C113" s="55">
        <f>C104+C105+C106+C107+C108+C109+C110+C111+C112</f>
        <v>1951</v>
      </c>
      <c r="D113" s="55">
        <f>D104+D105+D106+D107+D108+D109+D110+D111+D112</f>
        <v>2027</v>
      </c>
      <c r="E113" s="55">
        <f>E104+E105+E106+E107+E108+E109+E110+E111+E112</f>
        <v>2191</v>
      </c>
      <c r="F113" s="55">
        <f>F104+F105+F106+F107+F108+F109+F110+F111+F112</f>
        <v>2475</v>
      </c>
      <c r="G113" s="55">
        <f>G104+G105+G106+G107+G108+G109+G110+G111+G112</f>
        <v>8644</v>
      </c>
      <c r="H113" s="55">
        <f>H104+H105+H106+H107+H108+H109+H110+H111+H112</f>
        <v>2027</v>
      </c>
      <c r="I113" s="55">
        <f>I104+I105+I106+I107+I108+I109+I110+I111+I112</f>
        <v>2241</v>
      </c>
      <c r="J113" s="53">
        <f>J104+J105+J106+J107+J108+J109+J110+J111+J112</f>
        <v>2384.8550460325573</v>
      </c>
      <c r="K113" s="1" t="s">
        <v>417</v>
      </c>
    </row>
    <row r="114">
      <c r="A114" s="1"/>
      <c r="B114" s="26" t="s">
        <v>75</v>
      </c>
      <c r="C114" s="103">
        <f>C113/C188-1</f>
        <v>-0.0040837161817253165</v>
      </c>
      <c r="D114" s="103">
        <f>D113/D188-1</f>
        <v>-0.014584346135148252</v>
      </c>
      <c r="E114" s="103">
        <f>E113/E188-1</f>
        <v>0.08144126357354398</v>
      </c>
      <c r="F114" s="103">
        <f>F113/F188-1</f>
        <v>0.05859709153122328</v>
      </c>
      <c r="G114" s="103">
        <f>G113/G188-1</f>
        <v>0.03150357995226738</v>
      </c>
      <c r="H114" s="103">
        <f>H113/H188-1</f>
        <v>0.038954382368016294</v>
      </c>
      <c r="I114" s="103">
        <f>I113/I188-1</f>
        <v>0.10557474099654662</v>
      </c>
      <c r="J114" s="108">
        <f>J113/J188-1</f>
        <v>0.0884778849988852</v>
      </c>
      <c r="K114" s="1"/>
    </row>
    <row r="115">
      <c r="A115" s="1"/>
      <c r="B115" s="26" t="s">
        <v>85</v>
      </c>
      <c r="C115" s="21">
        <f>C113-F188</f>
        <v>-387</v>
      </c>
      <c r="D115" s="21">
        <f>D113-C113</f>
        <v>76</v>
      </c>
      <c r="E115" s="21">
        <f>E113-D113</f>
        <v>164</v>
      </c>
      <c r="F115" s="21">
        <f>F113-E113</f>
        <v>284</v>
      </c>
      <c r="G115" s="1"/>
      <c r="H115" s="21">
        <f>H113-F113</f>
        <v>-448</v>
      </c>
      <c r="I115" s="21">
        <f>I113-H113</f>
        <v>214</v>
      </c>
      <c r="J115" s="60">
        <f>J113-I113</f>
        <v>143.8550460325573</v>
      </c>
      <c r="K115" s="1"/>
    </row>
    <row r="116">
      <c r="A116" s="1"/>
      <c r="B116" s="26" t="s">
        <v>418</v>
      </c>
      <c r="C116" s="58">
        <v>1950</v>
      </c>
      <c r="D116" s="58">
        <v>2026</v>
      </c>
      <c r="E116" s="58">
        <v>2190</v>
      </c>
      <c r="F116" s="58">
        <v>2475</v>
      </c>
      <c r="G116" s="21">
        <f>SUM(C116:F116)</f>
        <v>8641</v>
      </c>
      <c r="H116" s="58">
        <v>2027</v>
      </c>
      <c r="I116" s="58">
        <v>2241</v>
      </c>
      <c r="J116" s="100"/>
      <c r="K116" s="1" t="s">
        <v>419</v>
      </c>
    </row>
    <row r="117">
      <c r="A117" s="1"/>
      <c r="B117" s="26" t="s">
        <v>372</v>
      </c>
      <c r="C117" s="21">
        <f>C113-C116</f>
        <v>1</v>
      </c>
      <c r="D117" s="21">
        <f>D113-D116</f>
        <v>1</v>
      </c>
      <c r="E117" s="21">
        <f>E113-E116</f>
        <v>1</v>
      </c>
      <c r="F117" s="21">
        <f>F113-F116</f>
        <v>0</v>
      </c>
      <c r="G117" s="21">
        <f>G113-G116</f>
        <v>3</v>
      </c>
      <c r="H117" s="21">
        <f>H113-H116</f>
        <v>0</v>
      </c>
      <c r="I117" s="21">
        <f>I113-I116</f>
        <v>0</v>
      </c>
      <c r="J117" s="100"/>
      <c r="K117" s="1" t="s">
        <v>420</v>
      </c>
    </row>
    <row r="118">
      <c r="A118" s="1"/>
      <c r="B118" s="33" t="s">
        <v>421</v>
      </c>
      <c r="C118" s="92">
        <v>5.15</v>
      </c>
      <c r="D118" s="92">
        <v>5.36</v>
      </c>
      <c r="E118" s="92">
        <v>5.79</v>
      </c>
      <c r="F118" s="92">
        <v>6.57</v>
      </c>
      <c r="G118" s="92">
        <v>22.87</v>
      </c>
      <c r="H118" s="92">
        <v>5.44</v>
      </c>
      <c r="I118" s="92">
        <v>6.03</v>
      </c>
      <c r="J118" s="97">
        <f>J113/J85</f>
        <v>6.436034309619953</v>
      </c>
      <c r="K118" s="1" t="s">
        <v>422</v>
      </c>
    </row>
    <row r="119">
      <c r="A119" s="1"/>
      <c r="B119" s="26" t="s">
        <v>75</v>
      </c>
      <c r="C119" s="103">
        <f>C118/C189-1</f>
        <v>0.007827788649706457</v>
      </c>
      <c r="D119" s="103">
        <f>D118/D189-1</f>
        <v>-0.0018621973929235924</v>
      </c>
      <c r="E119" s="103">
        <f>E118/E189-1</f>
        <v>0.09659090909090895</v>
      </c>
      <c r="F119" s="103">
        <f>F118/F189-1</f>
        <v>0.077049180327869</v>
      </c>
      <c r="G119" s="103">
        <f>G118/G189-1</f>
        <v>0.04620311070448313</v>
      </c>
      <c r="H119" s="103">
        <f>H118/H189-1</f>
        <v>0.056310679611650594</v>
      </c>
      <c r="I119" s="103">
        <f>I118/I189-1</f>
        <v>0.125</v>
      </c>
      <c r="J119" s="108">
        <f>J118/J189-1</f>
        <v>0.11157760097063085</v>
      </c>
      <c r="K119" s="1"/>
    </row>
    <row r="120">
      <c r="A120" s="1"/>
      <c r="B120" s="26" t="s">
        <v>377</v>
      </c>
      <c r="C120" s="88">
        <f>C118-F189</f>
        <v>-0.9499999999999993</v>
      </c>
      <c r="D120" s="88">
        <f>D118-C118</f>
        <v>0.20999999999999996</v>
      </c>
      <c r="E120" s="88">
        <f>E118-D118</f>
        <v>0.4299999999999997</v>
      </c>
      <c r="F120" s="88">
        <f>F118-E118</f>
        <v>0.7800000000000002</v>
      </c>
      <c r="G120" s="1"/>
      <c r="H120" s="88">
        <f>H118-F118</f>
        <v>-1.13</v>
      </c>
      <c r="I120" s="88">
        <f>I118-H118</f>
        <v>0.5899999999999999</v>
      </c>
      <c r="J120" s="98">
        <f>J118-I118</f>
        <v>0.4060343096199528</v>
      </c>
      <c r="K120" s="1"/>
    </row>
    <row r="121">
      <c r="A121" s="1"/>
      <c r="B121" s="1" t="s">
        <v>423</v>
      </c>
      <c r="C121" s="17">
        <f>C113/C85</f>
        <v>5.147757255936676</v>
      </c>
      <c r="D121" s="17">
        <f>D113/D85</f>
        <v>5.362433862433862</v>
      </c>
      <c r="E121" s="17">
        <f>E113/E85</f>
        <v>5.796296296296297</v>
      </c>
      <c r="F121" s="17">
        <f>F113/F85</f>
        <v>6.56498673740053</v>
      </c>
      <c r="G121" s="17">
        <f>G113/G85</f>
        <v>22.867724867724867</v>
      </c>
      <c r="H121" s="17">
        <f>H113/H85</f>
        <v>5.434316353887399</v>
      </c>
      <c r="I121" s="17">
        <f>I113/I85</f>
        <v>6.040431266846361</v>
      </c>
      <c r="J121" s="56">
        <f>J113/J85</f>
        <v>6.436034309619953</v>
      </c>
      <c r="K121" s="1" t="s">
        <v>424</v>
      </c>
    </row>
    <row r="122">
      <c r="A122" s="1"/>
      <c r="B122" s="1" t="s">
        <v>425</v>
      </c>
      <c r="C122" s="40" t="b">
        <f>ABS(C118-C121)&lt;=0.03</f>
        <v>1</v>
      </c>
      <c r="D122" s="40" t="b">
        <f>ABS(D118-D121)&lt;=0.03</f>
        <v>1</v>
      </c>
      <c r="E122" s="40" t="b">
        <f>ABS(E118-E121)&lt;=0.03</f>
        <v>1</v>
      </c>
      <c r="F122" s="40" t="b">
        <f>ABS(F118-F121)&lt;=0.03</f>
        <v>1</v>
      </c>
      <c r="G122" s="40" t="b">
        <f>ABS(G118-G121)&lt;=0.03</f>
        <v>1</v>
      </c>
      <c r="H122" s="40" t="b">
        <f>ABS(H118-H121)&lt;=0.03</f>
        <v>1</v>
      </c>
      <c r="I122" s="40" t="b">
        <f>ABS(I118-I121)&lt;=0.03</f>
        <v>1</v>
      </c>
      <c r="J122" s="76" t="b">
        <f>ABS(J118-J121)&lt;=0.03</f>
        <v>1</v>
      </c>
      <c r="K122" s="1" t="s">
        <v>426</v>
      </c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>
      <c r="A124" s="1"/>
      <c r="B124" s="13" t="s">
        <v>427</v>
      </c>
      <c r="C124" s="1"/>
      <c r="D124" s="1"/>
      <c r="E124" s="1"/>
      <c r="F124" s="1"/>
      <c r="G124" s="1"/>
      <c r="H124" s="1"/>
      <c r="I124" s="1"/>
      <c r="J124" s="1"/>
      <c r="K124" s="1"/>
    </row>
    <row r="125">
      <c r="A125" s="1"/>
      <c r="B125" s="1" t="s">
        <v>428</v>
      </c>
      <c r="C125" s="17">
        <f>C82</f>
        <v>3.978891820580475</v>
      </c>
      <c r="D125" s="17">
        <f>D82</f>
        <v>4.277777777777778</v>
      </c>
      <c r="E125" s="17">
        <f>E82</f>
        <v>4.275132275132275</v>
      </c>
      <c r="F125" s="17">
        <f>F82</f>
        <v>5.212201591511937</v>
      </c>
      <c r="G125" s="17">
        <f>G82</f>
        <v>17.74074074074074</v>
      </c>
      <c r="H125" s="17">
        <f>H82</f>
        <v>4.423592493297587</v>
      </c>
      <c r="I125" s="17">
        <f>I82</f>
        <v>4.681940700808625</v>
      </c>
      <c r="J125" s="56">
        <f>J82</f>
        <v>5.488031144377501</v>
      </c>
      <c r="K125" s="1"/>
    </row>
    <row r="126">
      <c r="A126" s="1"/>
      <c r="B126" s="1" t="s">
        <v>407</v>
      </c>
      <c r="C126" s="17">
        <f>C105/C85</f>
        <v>0.029023746701846966</v>
      </c>
      <c r="D126" s="17">
        <f>D105/D85</f>
        <v>0.026455026455026454</v>
      </c>
      <c r="E126" s="17">
        <f>E105/E85</f>
        <v>0.026455026455026454</v>
      </c>
      <c r="F126" s="17">
        <f>F105/F85</f>
        <v>0.08753315649867374</v>
      </c>
      <c r="G126" s="17">
        <f>G105/G85</f>
        <v>0.1693121693121693</v>
      </c>
      <c r="H126" s="17">
        <f>H105/H85</f>
        <v>0.03753351206434316</v>
      </c>
      <c r="I126" s="17">
        <f>I105/I85</f>
        <v>0.07547169811320754</v>
      </c>
      <c r="J126" s="56">
        <f>J105/J85</f>
        <v>0.04048066351240257</v>
      </c>
      <c r="K126" s="1"/>
    </row>
    <row r="127">
      <c r="A127" s="1"/>
      <c r="B127" s="1" t="s">
        <v>389</v>
      </c>
      <c r="C127" s="17">
        <f>C106/C85</f>
        <v>0.036939313984168866</v>
      </c>
      <c r="D127" s="17">
        <f>D106/D85</f>
        <v>0.05291005291005291</v>
      </c>
      <c r="E127" s="17">
        <f>E106/E85</f>
        <v>0.1746031746031746</v>
      </c>
      <c r="F127" s="17">
        <f>F106/F85</f>
        <v>0.2838196286472148</v>
      </c>
      <c r="G127" s="17">
        <f>G106/G85</f>
        <v>0.5476190476190477</v>
      </c>
      <c r="H127" s="17">
        <f>H106/H85</f>
        <v>0.11528150134048257</v>
      </c>
      <c r="I127" s="17">
        <f>I106/I85</f>
        <v>0.09703504043126684</v>
      </c>
      <c r="J127" s="56">
        <f>J106/J85</f>
        <v>0.10794843603307352</v>
      </c>
      <c r="K127" s="1"/>
    </row>
    <row r="128">
      <c r="A128" s="1"/>
      <c r="B128" s="1" t="s">
        <v>391</v>
      </c>
      <c r="C128" s="17">
        <f>C107/C85</f>
        <v>0.25857519788918204</v>
      </c>
      <c r="D128" s="17">
        <f>D107/D85</f>
        <v>0.21693121693121692</v>
      </c>
      <c r="E128" s="17">
        <f>E107/E85</f>
        <v>0.35714285714285715</v>
      </c>
      <c r="F128" s="17">
        <f>F107/F85</f>
        <v>0.1220159151193634</v>
      </c>
      <c r="G128" s="17">
        <f>G107/G85</f>
        <v>0.955026455026455</v>
      </c>
      <c r="H128" s="17">
        <f>H107/H85</f>
        <v>0.13136729222520108</v>
      </c>
      <c r="I128" s="17">
        <f>I107/I85</f>
        <v>0.2641509433962264</v>
      </c>
      <c r="J128" s="56">
        <f>J107/J85</f>
        <v>-0.27796722278516434</v>
      </c>
      <c r="K128" s="1" t="s">
        <v>408</v>
      </c>
    </row>
    <row r="129">
      <c r="A129" s="1"/>
      <c r="B129" s="1" t="s">
        <v>393</v>
      </c>
      <c r="C129" s="17">
        <f>C108/C85</f>
        <v>1.1319261213720317</v>
      </c>
      <c r="D129" s="17">
        <f>D108/D85</f>
        <v>1.1349206349206349</v>
      </c>
      <c r="E129" s="17">
        <f>E108/E85</f>
        <v>1.1507936507936507</v>
      </c>
      <c r="F129" s="17">
        <f>F108/F85</f>
        <v>1.156498673740053</v>
      </c>
      <c r="G129" s="17">
        <f>G108/G85</f>
        <v>4.574074074074074</v>
      </c>
      <c r="H129" s="17">
        <f>H108/H85</f>
        <v>1.1528150134048258</v>
      </c>
      <c r="I129" s="17">
        <f>I108/I85</f>
        <v>1.307277628032345</v>
      </c>
      <c r="J129" s="56">
        <f>J108/J85</f>
        <v>1.2953812323968823</v>
      </c>
      <c r="K129" s="1" t="s">
        <v>429</v>
      </c>
    </row>
    <row r="130">
      <c r="A130" s="1"/>
      <c r="B130" s="1" t="s">
        <v>409</v>
      </c>
      <c r="C130" s="17">
        <f>C109/C85</f>
        <v>-0.002638522427440633</v>
      </c>
      <c r="D130" s="17">
        <f>D109/D85</f>
        <v>0.013227513227513227</v>
      </c>
      <c r="E130" s="17">
        <f>E109/E85</f>
        <v>-0.013227513227513227</v>
      </c>
      <c r="F130" s="17">
        <f>F109/F85</f>
        <v>-0.013262599469496022</v>
      </c>
      <c r="G130" s="17">
        <f>G109/G85</f>
        <v>-0.015873015873015872</v>
      </c>
      <c r="H130" s="17">
        <f>H109/H85</f>
        <v>0.002680965147453083</v>
      </c>
      <c r="I130" s="17">
        <f>I109/I85</f>
        <v>-0.08355795148247978</v>
      </c>
      <c r="J130" s="56">
        <f>J109/J85</f>
        <v>0</v>
      </c>
      <c r="K130" s="1" t="s">
        <v>430</v>
      </c>
    </row>
    <row r="131">
      <c r="A131" s="1"/>
      <c r="B131" s="1" t="s">
        <v>411</v>
      </c>
      <c r="C131" s="17">
        <f>C110/C85</f>
        <v>-0.32189973614775724</v>
      </c>
      <c r="D131" s="17">
        <f>D110/D85</f>
        <v>-0.35185185185185186</v>
      </c>
      <c r="E131" s="17">
        <f>E110/E85</f>
        <v>-0.1693121693121693</v>
      </c>
      <c r="F131" s="17">
        <f>F110/F85</f>
        <v>-0.3660477453580902</v>
      </c>
      <c r="G131" s="17">
        <f>G110/G85</f>
        <v>-1.208994708994709</v>
      </c>
      <c r="H131" s="17">
        <f>H110/H85</f>
        <v>-0.450402144772118</v>
      </c>
      <c r="I131" s="17">
        <f>I110/I85</f>
        <v>-0.3423180592991914</v>
      </c>
      <c r="J131" s="56">
        <f>J110/J85</f>
        <v>-0.24482705292301077</v>
      </c>
      <c r="K131" s="1"/>
    </row>
    <row r="132">
      <c r="A132" s="1"/>
      <c r="B132" s="1" t="s">
        <v>412</v>
      </c>
      <c r="C132" s="17">
        <f>C111/C85</f>
        <v>0.036939313984168866</v>
      </c>
      <c r="D132" s="17">
        <f>D111/D85</f>
        <v>-0.005291005291005291</v>
      </c>
      <c r="E132" s="17">
        <f>E111/E85</f>
        <v>-0.005291005291005291</v>
      </c>
      <c r="F132" s="17">
        <f>F111/F85</f>
        <v>0.08222811671087533</v>
      </c>
      <c r="G132" s="17">
        <f>G111/G85</f>
        <v>0.10846560846560846</v>
      </c>
      <c r="H132" s="17">
        <f>H111/H85</f>
        <v>0.021447721179624665</v>
      </c>
      <c r="I132" s="17">
        <f>I111/I85</f>
        <v>0.04043126684636118</v>
      </c>
      <c r="J132" s="56">
        <f>J111/J85</f>
        <v>0.02698710900826838</v>
      </c>
      <c r="K132" s="1" t="s">
        <v>431</v>
      </c>
    </row>
    <row r="133">
      <c r="A133" s="1"/>
      <c r="B133" s="1" t="s">
        <v>414</v>
      </c>
      <c r="C133" s="17">
        <f>C112/C85</f>
        <v>0</v>
      </c>
      <c r="D133" s="17">
        <f>D112/D85</f>
        <v>-0.0026455026455026454</v>
      </c>
      <c r="E133" s="17">
        <f>E112/E85</f>
        <v>0</v>
      </c>
      <c r="F133" s="17">
        <f>F112/F85</f>
        <v>0</v>
      </c>
      <c r="G133" s="17">
        <f>G112/G85</f>
        <v>-0.0026455026455026454</v>
      </c>
      <c r="H133" s="17">
        <f>H112/H85</f>
        <v>0</v>
      </c>
      <c r="I133" s="17">
        <f>I112/I85</f>
        <v>0</v>
      </c>
      <c r="J133" s="56">
        <f>J112/J85</f>
        <v>0</v>
      </c>
      <c r="K133" s="1" t="s">
        <v>432</v>
      </c>
    </row>
    <row r="134">
      <c r="A134" s="1"/>
      <c r="B134" s="33" t="s">
        <v>433</v>
      </c>
      <c r="C134" s="87">
        <f>C125+C126+C127+C128+C129+C130+C131+C132+C133</f>
        <v>5.147757255936675</v>
      </c>
      <c r="D134" s="87">
        <f>D125+D126+D127+D128+D129+D130+D131+D132+D133</f>
        <v>5.362433862433862</v>
      </c>
      <c r="E134" s="87">
        <f>E125+E126+E127+E128+E129+E130+E131+E132+E133</f>
        <v>5.796296296296296</v>
      </c>
      <c r="F134" s="87">
        <f>F125+F126+F127+F128+F129+F130+F131+F132+F133</f>
        <v>6.564986737400531</v>
      </c>
      <c r="G134" s="87">
        <f>G125+G126+G127+G128+G129+G130+G131+G132+G133</f>
        <v>22.867724867724867</v>
      </c>
      <c r="H134" s="87">
        <f>H125+H126+H127+H128+H129+H130+H131+H132+H133</f>
        <v>5.434316353887399</v>
      </c>
      <c r="I134" s="87">
        <f>I125+I126+I127+I128+I129+I130+I131+I132+I133</f>
        <v>6.040431266846363</v>
      </c>
      <c r="J134" s="97">
        <f>J125+J126+J127+J128+J129+J130+J131+J132+J133</f>
        <v>6.436034309619953</v>
      </c>
      <c r="K134" s="1" t="s">
        <v>434</v>
      </c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>
      <c r="A136" s="1"/>
      <c r="B136" s="13" t="s">
        <v>435</v>
      </c>
      <c r="C136" s="1"/>
      <c r="D136" s="1"/>
      <c r="E136" s="1"/>
      <c r="F136" s="1"/>
      <c r="G136" s="1"/>
      <c r="H136" s="1"/>
      <c r="I136" s="1"/>
      <c r="J136" s="1"/>
      <c r="K136" s="1"/>
    </row>
    <row r="137">
      <c r="A137" s="1"/>
      <c r="B137" s="1" t="s">
        <v>436</v>
      </c>
      <c r="C137" s="3">
        <f>C13-C89</f>
        <v>6045</v>
      </c>
      <c r="D137" s="3">
        <f>D13-D89</f>
        <v>6368</v>
      </c>
      <c r="E137" s="3">
        <f>E13-E89</f>
        <v>6460</v>
      </c>
      <c r="F137" s="3">
        <f>F13-F89</f>
        <v>7110</v>
      </c>
      <c r="G137" s="3">
        <f>G13-G89</f>
        <v>25983</v>
      </c>
      <c r="H137" s="3">
        <f>H13-H89</f>
        <v>6515</v>
      </c>
      <c r="I137" s="3">
        <f>I13-I89</f>
        <v>7023</v>
      </c>
      <c r="J137" s="8">
        <f>J10*(1-J156)</f>
        <v>6904.30005014835</v>
      </c>
      <c r="K137" s="1" t="s">
        <v>437</v>
      </c>
    </row>
    <row r="138">
      <c r="A138" s="1"/>
      <c r="B138" s="1" t="s">
        <v>438</v>
      </c>
      <c r="C138" s="3">
        <f>C10-C137</f>
        <v>4319</v>
      </c>
      <c r="D138" s="3">
        <f>D10-D137</f>
        <v>4487</v>
      </c>
      <c r="E138" s="3">
        <f>E10-E137</f>
        <v>4662</v>
      </c>
      <c r="F138" s="3">
        <f>F10-F137</f>
        <v>5105</v>
      </c>
      <c r="G138" s="3">
        <f>G10-G137</f>
        <v>18573</v>
      </c>
      <c r="H138" s="3">
        <f>H10-H137</f>
        <v>4490</v>
      </c>
      <c r="I138" s="3">
        <f>I10-I137</f>
        <v>4971</v>
      </c>
      <c r="J138" s="8">
        <f>J10-J137</f>
        <v>5061.55792237912</v>
      </c>
      <c r="K138" s="1"/>
    </row>
    <row r="139">
      <c r="A139" s="1"/>
      <c r="B139" s="26" t="s">
        <v>439</v>
      </c>
      <c r="C139" s="103">
        <f>C138/C10</f>
        <v>0.4167309918950212</v>
      </c>
      <c r="D139" s="103">
        <f>D138/D10</f>
        <v>0.4133578995854445</v>
      </c>
      <c r="E139" s="103">
        <f>E138/E10</f>
        <v>0.41916921417011327</v>
      </c>
      <c r="F139" s="103">
        <f>F138/F10</f>
        <v>0.4179287760949652</v>
      </c>
      <c r="G139" s="103">
        <f>G138/G10</f>
        <v>0.4168462159978454</v>
      </c>
      <c r="H139" s="103">
        <f>H138/H10</f>
        <v>0.40799636528850525</v>
      </c>
      <c r="I139" s="103">
        <f>I138/I10</f>
        <v>0.41445722861430717</v>
      </c>
      <c r="J139" s="108">
        <f>J138/J10</f>
        <v>0.423</v>
      </c>
      <c r="K139" s="1"/>
    </row>
    <row r="140">
      <c r="A140" s="1"/>
      <c r="B140" s="26" t="s">
        <v>335</v>
      </c>
      <c r="C140" s="65" t="s">
        <v>34</v>
      </c>
      <c r="D140" s="65" t="s">
        <v>34</v>
      </c>
      <c r="E140" s="65" t="s">
        <v>34</v>
      </c>
      <c r="F140" s="65" t="s">
        <v>34</v>
      </c>
      <c r="G140" s="65" t="s">
        <v>34</v>
      </c>
      <c r="H140" s="70">
        <f>(H139-C139)*10000</f>
        <v>-87.34626606515971</v>
      </c>
      <c r="I140" s="70">
        <f>(I139-D139)*10000</f>
        <v>10.993290288626723</v>
      </c>
      <c r="J140" s="69">
        <f>(J139-E139)*10000</f>
        <v>38.30785829886718</v>
      </c>
      <c r="K140" s="1" t="s">
        <v>440</v>
      </c>
    </row>
    <row r="141">
      <c r="A141" s="1"/>
      <c r="B141" s="26" t="s">
        <v>215</v>
      </c>
      <c r="C141" s="65" t="s">
        <v>34</v>
      </c>
      <c r="D141" s="70">
        <f>(D139-C139)*10000</f>
        <v>-33.730923095767196</v>
      </c>
      <c r="E141" s="70">
        <f>(E139-D139)*10000</f>
        <v>58.1131458466877</v>
      </c>
      <c r="F141" s="70">
        <f>(F139-E139)*10000</f>
        <v>-12.404380751480648</v>
      </c>
      <c r="G141" s="1"/>
      <c r="H141" s="70">
        <f>(H139-F139)*10000</f>
        <v>-99.32410806459957</v>
      </c>
      <c r="I141" s="70">
        <f>(I139-H139)*10000</f>
        <v>64.60863325801924</v>
      </c>
      <c r="J141" s="69">
        <f>(J139-I139)*10000</f>
        <v>85.42771385692815</v>
      </c>
      <c r="K141" s="1"/>
    </row>
    <row r="142">
      <c r="A142" s="1"/>
      <c r="B142" s="1" t="s">
        <v>441</v>
      </c>
      <c r="C142" s="3">
        <f>C20-C90</f>
        <v>1707</v>
      </c>
      <c r="D142" s="3">
        <f>D20-D90</f>
        <v>1759</v>
      </c>
      <c r="E142" s="3">
        <f>E20-E90</f>
        <v>1729</v>
      </c>
      <c r="F142" s="3">
        <f>F20-F90</f>
        <v>1870</v>
      </c>
      <c r="G142" s="3">
        <f>G20-G90</f>
        <v>7065</v>
      </c>
      <c r="H142" s="3">
        <f>H20-H90</f>
        <v>1755</v>
      </c>
      <c r="I142" s="3">
        <f>I20-I90</f>
        <v>1873</v>
      </c>
      <c r="J142" s="8">
        <f>J10-J137-J29-J99</f>
        <v>1811.1567404214284</v>
      </c>
      <c r="K142" s="1" t="s">
        <v>442</v>
      </c>
    </row>
    <row r="143">
      <c r="A143" s="1"/>
      <c r="B143" s="26" t="s">
        <v>338</v>
      </c>
      <c r="C143" s="103">
        <f>C142/C10</f>
        <v>0.16470474720185257</v>
      </c>
      <c r="D143" s="103">
        <f>D142/D10</f>
        <v>0.16204514048825427</v>
      </c>
      <c r="E143" s="103">
        <f>E142/E10</f>
        <v>0.15545765150152852</v>
      </c>
      <c r="F143" s="103">
        <f>F142/F10</f>
        <v>0.15309046254604994</v>
      </c>
      <c r="G143" s="103">
        <f>G142/G10</f>
        <v>0.15856450309722597</v>
      </c>
      <c r="H143" s="103">
        <f>H142/H10</f>
        <v>0.15947296683325762</v>
      </c>
      <c r="I143" s="103">
        <f>I142/I10</f>
        <v>0.1561614140403535</v>
      </c>
      <c r="J143" s="108">
        <f>J142/J10</f>
        <v>0.1513603742063194</v>
      </c>
      <c r="K143" s="1"/>
    </row>
    <row r="144">
      <c r="A144" s="1"/>
      <c r="B144" s="26" t="s">
        <v>214</v>
      </c>
      <c r="C144" s="65" t="s">
        <v>34</v>
      </c>
      <c r="D144" s="65" t="s">
        <v>34</v>
      </c>
      <c r="E144" s="65" t="s">
        <v>34</v>
      </c>
      <c r="F144" s="65" t="s">
        <v>34</v>
      </c>
      <c r="G144" s="65" t="s">
        <v>34</v>
      </c>
      <c r="H144" s="70">
        <f>(H143-C143)*10000</f>
        <v>-52.317803685949514</v>
      </c>
      <c r="I144" s="70">
        <f>(I143-D143)*10000</f>
        <v>-58.83726447900778</v>
      </c>
      <c r="J144" s="69">
        <f>(J143-E143)*10000</f>
        <v>-40.97277295209118</v>
      </c>
      <c r="K144" s="1"/>
    </row>
    <row r="145">
      <c r="A145" s="1"/>
      <c r="B145" s="26" t="s">
        <v>215</v>
      </c>
      <c r="C145" s="65" t="s">
        <v>34</v>
      </c>
      <c r="D145" s="70">
        <f>(D143-C143)*10000</f>
        <v>-26.596067135983002</v>
      </c>
      <c r="E145" s="70">
        <f>(E143-D143)*10000</f>
        <v>-65.8748898672576</v>
      </c>
      <c r="F145" s="70">
        <f>(F143-E143)*10000</f>
        <v>-23.671889554785775</v>
      </c>
      <c r="G145" s="1"/>
      <c r="H145" s="70">
        <f>(H143-F143)*10000</f>
        <v>63.82504287207686</v>
      </c>
      <c r="I145" s="70">
        <f>(I143-H143)*10000</f>
        <v>-33.115527929041264</v>
      </c>
      <c r="J145" s="69">
        <f>(J143-I143)*10000</f>
        <v>-48.010398340340984</v>
      </c>
      <c r="K145" s="1"/>
    </row>
    <row r="146">
      <c r="A146" s="1"/>
      <c r="B146" s="1" t="s">
        <v>443</v>
      </c>
      <c r="C146" s="3">
        <f>C52+C109</f>
        <v>2</v>
      </c>
      <c r="D146" s="3">
        <f>D52+D109</f>
        <v>-14</v>
      </c>
      <c r="E146" s="3">
        <f>E52+E109</f>
        <v>-7</v>
      </c>
      <c r="F146" s="3">
        <f>F52+F109</f>
        <v>0</v>
      </c>
      <c r="G146" s="3">
        <f>G52+G109</f>
        <v>-19</v>
      </c>
      <c r="H146" s="3">
        <f>H52+H109</f>
        <v>-8</v>
      </c>
      <c r="I146" s="3">
        <f>I52+I109</f>
        <v>0</v>
      </c>
      <c r="J146" s="8">
        <f>J52+J109</f>
        <v>-5</v>
      </c>
      <c r="K146" s="1"/>
    </row>
    <row r="147">
      <c r="A147" s="1"/>
      <c r="B147" s="33" t="s">
        <v>444</v>
      </c>
      <c r="C147" s="55">
        <f>C93+C45+C48+C146</f>
        <v>2172</v>
      </c>
      <c r="D147" s="55">
        <f>D93+D45+D48+D146</f>
        <v>2255</v>
      </c>
      <c r="E147" s="55">
        <f>E93+E45+E48+E146</f>
        <v>2467</v>
      </c>
      <c r="F147" s="55">
        <f>F93+F45+F48+F146</f>
        <v>2771</v>
      </c>
      <c r="G147" s="55">
        <f>G93+G45+G48+G146</f>
        <v>9665</v>
      </c>
      <c r="H147" s="55">
        <f>H93+H45+H48+H146</f>
        <v>2270</v>
      </c>
      <c r="I147" s="55">
        <f>I93+I45+I48+I146</f>
        <v>2540</v>
      </c>
      <c r="J147" s="53">
        <f>J93+J45+J48+J146</f>
        <v>2700.4011819576917</v>
      </c>
      <c r="K147" s="1"/>
    </row>
    <row r="148">
      <c r="A148" s="1"/>
      <c r="B148" s="1" t="s">
        <v>445</v>
      </c>
      <c r="C148" s="3">
        <f>C57+C110</f>
        <v>-217</v>
      </c>
      <c r="D148" s="3">
        <f>D57+D110</f>
        <v>-225</v>
      </c>
      <c r="E148" s="3">
        <f>E57+E110</f>
        <v>-271</v>
      </c>
      <c r="F148" s="3">
        <f>F57+F110</f>
        <v>-291</v>
      </c>
      <c r="G148" s="3">
        <f>G57+G110</f>
        <v>-1004</v>
      </c>
      <c r="H148" s="3">
        <f>H57+H110</f>
        <v>-238</v>
      </c>
      <c r="I148" s="3">
        <f>I57+I110</f>
        <v>-294</v>
      </c>
      <c r="J148" s="8">
        <f>-J147*J166</f>
        <v>-310.54613592513454</v>
      </c>
      <c r="K148" s="1"/>
    </row>
    <row r="149">
      <c r="A149" s="1"/>
      <c r="B149" s="26" t="s">
        <v>446</v>
      </c>
      <c r="C149" s="103">
        <f>-C148/C147</f>
        <v>0.09990791896869244</v>
      </c>
      <c r="D149" s="103">
        <f>-D148/D147</f>
        <v>0.09977827050997783</v>
      </c>
      <c r="E149" s="103">
        <f>-E148/E147</f>
        <v>0.10985002026753142</v>
      </c>
      <c r="F149" s="103">
        <f>-F148/F147</f>
        <v>0.10501623962468423</v>
      </c>
      <c r="G149" s="103">
        <f>-G148/G147</f>
        <v>0.10387997930677703</v>
      </c>
      <c r="H149" s="103">
        <f>-H148/H147</f>
        <v>0.10484581497797357</v>
      </c>
      <c r="I149" s="103">
        <f>-I148/I147</f>
        <v>0.115748031496063</v>
      </c>
      <c r="J149" s="108">
        <f>-J148/J147</f>
        <v>0.11499999999999999</v>
      </c>
      <c r="K149" s="1"/>
    </row>
    <row r="150">
      <c r="A150" s="1"/>
      <c r="B150" s="26" t="s">
        <v>214</v>
      </c>
      <c r="C150" s="65" t="s">
        <v>34</v>
      </c>
      <c r="D150" s="65" t="s">
        <v>34</v>
      </c>
      <c r="E150" s="65" t="s">
        <v>34</v>
      </c>
      <c r="F150" s="65" t="s">
        <v>34</v>
      </c>
      <c r="G150" s="65" t="s">
        <v>34</v>
      </c>
      <c r="H150" s="70">
        <f>(H149-C149)*10000</f>
        <v>49.37896009281128</v>
      </c>
      <c r="I150" s="70">
        <f>(I149-D149)*10000</f>
        <v>159.6976098608517</v>
      </c>
      <c r="J150" s="69">
        <f>(J149-E149)*10000</f>
        <v>51.49979732468571</v>
      </c>
      <c r="K150" s="1"/>
    </row>
    <row r="151">
      <c r="A151" s="1"/>
      <c r="B151" s="26" t="s">
        <v>215</v>
      </c>
      <c r="C151" s="65" t="s">
        <v>34</v>
      </c>
      <c r="D151" s="70">
        <f>(D149-C149)*10000</f>
        <v>-1.2964845871461794</v>
      </c>
      <c r="E151" s="70">
        <f>(E149-D149)*10000</f>
        <v>100.71749757553594</v>
      </c>
      <c r="F151" s="70">
        <f>(F149-E149)*10000</f>
        <v>-48.33780642847188</v>
      </c>
      <c r="G151" s="1"/>
      <c r="H151" s="70">
        <f>(H149-F149)*10000</f>
        <v>-1.704246467106596</v>
      </c>
      <c r="I151" s="70">
        <f>(I149-H149)*10000</f>
        <v>109.02216518089425</v>
      </c>
      <c r="J151" s="69">
        <f>(J149-I149)*10000</f>
        <v>-7.480314960630063</v>
      </c>
      <c r="K151" s="1"/>
    </row>
    <row r="152">
      <c r="A152" s="1"/>
      <c r="B152" s="1" t="s">
        <v>447</v>
      </c>
      <c r="C152" s="3">
        <f>C147+C148-C68+C112</f>
        <v>1951</v>
      </c>
      <c r="D152" s="3">
        <f>D147+D148-D68+D112</f>
        <v>2027</v>
      </c>
      <c r="E152" s="3">
        <f>E147+E148-E68+E112</f>
        <v>2191</v>
      </c>
      <c r="F152" s="3">
        <f>F147+F148-F68+F112</f>
        <v>2475</v>
      </c>
      <c r="G152" s="3">
        <f>G147+G148-G68+G112</f>
        <v>8644</v>
      </c>
      <c r="H152" s="3">
        <f>H147+H148-H68+H112</f>
        <v>2027</v>
      </c>
      <c r="I152" s="3">
        <f>I147+I148-I68+I112</f>
        <v>2241</v>
      </c>
      <c r="J152" s="8">
        <f>J147+J148-J68+J112</f>
        <v>2384.8550460325573</v>
      </c>
      <c r="K152" s="1" t="s">
        <v>448</v>
      </c>
    </row>
    <row r="153">
      <c r="A153" s="1"/>
      <c r="B153" s="1" t="s">
        <v>449</v>
      </c>
      <c r="C153" s="40" t="b">
        <f>ABS(C113-C152)&lt;=2</f>
        <v>1</v>
      </c>
      <c r="D153" s="40" t="b">
        <f>ABS(D113-D152)&lt;=2</f>
        <v>1</v>
      </c>
      <c r="E153" s="40" t="b">
        <f>ABS(E113-E152)&lt;=2</f>
        <v>1</v>
      </c>
      <c r="F153" s="40" t="b">
        <f>ABS(F113-F152)&lt;=2</f>
        <v>1</v>
      </c>
      <c r="G153" s="40" t="b">
        <f>ABS(G113-G152)&lt;=2</f>
        <v>1</v>
      </c>
      <c r="H153" s="40" t="b">
        <f>ABS(H113-H152)&lt;=2</f>
        <v>1</v>
      </c>
      <c r="I153" s="40" t="b">
        <f>ABS(I113-I152)&lt;=2</f>
        <v>1</v>
      </c>
      <c r="J153" s="76" t="b">
        <f>ABS(J113-J152)&lt;=2</f>
        <v>1</v>
      </c>
      <c r="K153" s="1" t="s">
        <v>450</v>
      </c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>
      <c r="A155" s="1"/>
      <c r="B155" s="13" t="s">
        <v>451</v>
      </c>
      <c r="C155" s="1"/>
      <c r="D155" s="1"/>
      <c r="E155" s="1"/>
      <c r="F155" s="1"/>
      <c r="G155" s="1"/>
      <c r="H155" s="1"/>
      <c r="I155" s="1"/>
      <c r="J155" s="1"/>
      <c r="K155" s="1"/>
    </row>
    <row r="156">
      <c r="A156" s="1"/>
      <c r="B156" s="26" t="s">
        <v>452</v>
      </c>
      <c r="C156" s="1"/>
      <c r="D156" s="1"/>
      <c r="E156" s="1"/>
      <c r="F156" s="1"/>
      <c r="G156" s="1"/>
      <c r="H156" s="1"/>
      <c r="I156" s="1"/>
      <c r="J156" s="112">
        <v>0.423</v>
      </c>
      <c r="K156" s="1" t="s">
        <v>453</v>
      </c>
    </row>
    <row r="157">
      <c r="A157" s="1"/>
      <c r="B157" s="1" t="s">
        <v>454</v>
      </c>
      <c r="C157" s="1"/>
      <c r="D157" s="1"/>
      <c r="E157" s="1"/>
      <c r="F157" s="1"/>
      <c r="G157" s="1"/>
      <c r="H157" s="1"/>
      <c r="I157" s="1"/>
      <c r="J157" s="57">
        <v>365</v>
      </c>
      <c r="K157" s="1" t="s">
        <v>455</v>
      </c>
    </row>
    <row r="158">
      <c r="A158" s="1"/>
      <c r="B158" s="1" t="s">
        <v>456</v>
      </c>
      <c r="C158" s="1"/>
      <c r="D158" s="1"/>
      <c r="E158" s="1"/>
      <c r="F158" s="1"/>
      <c r="G158" s="1"/>
      <c r="H158" s="1"/>
      <c r="I158" s="1"/>
      <c r="J158" s="57">
        <v>15</v>
      </c>
      <c r="K158" s="1" t="s">
        <v>457</v>
      </c>
    </row>
    <row r="159">
      <c r="A159" s="1"/>
      <c r="B159" s="1" t="s">
        <v>458</v>
      </c>
      <c r="C159" s="1"/>
      <c r="D159" s="1"/>
      <c r="E159" s="1"/>
      <c r="F159" s="1"/>
      <c r="G159" s="1"/>
      <c r="H159" s="1"/>
      <c r="I159" s="1"/>
      <c r="J159" s="57">
        <v>40</v>
      </c>
      <c r="K159" s="1" t="s">
        <v>459</v>
      </c>
    </row>
    <row r="160">
      <c r="A160" s="1"/>
      <c r="B160" s="1" t="s">
        <v>460</v>
      </c>
      <c r="C160" s="1"/>
      <c r="D160" s="1"/>
      <c r="E160" s="1"/>
      <c r="F160" s="1"/>
      <c r="G160" s="1"/>
      <c r="H160" s="1"/>
      <c r="I160" s="1"/>
      <c r="J160" s="57">
        <v>100</v>
      </c>
      <c r="K160" s="1" t="s">
        <v>461</v>
      </c>
    </row>
    <row r="161">
      <c r="A161" s="1"/>
      <c r="B161" s="1" t="s">
        <v>462</v>
      </c>
      <c r="C161" s="1"/>
      <c r="D161" s="1"/>
      <c r="E161" s="1"/>
      <c r="F161" s="1"/>
      <c r="G161" s="1"/>
      <c r="H161" s="1"/>
      <c r="I161" s="1"/>
      <c r="J161" s="57">
        <v>480</v>
      </c>
      <c r="K161" s="1" t="s">
        <v>463</v>
      </c>
    </row>
    <row r="162">
      <c r="A162" s="1"/>
      <c r="B162" s="1" t="s">
        <v>464</v>
      </c>
      <c r="C162" s="1"/>
      <c r="D162" s="1"/>
      <c r="E162" s="1"/>
      <c r="F162" s="1"/>
      <c r="G162" s="1"/>
      <c r="H162" s="1"/>
      <c r="I162" s="1"/>
      <c r="J162" s="57">
        <v>220</v>
      </c>
      <c r="K162" s="1" t="s">
        <v>465</v>
      </c>
    </row>
    <row r="163">
      <c r="A163" s="1"/>
      <c r="B163" s="1" t="s">
        <v>466</v>
      </c>
      <c r="C163" s="1"/>
      <c r="D163" s="1"/>
      <c r="E163" s="1"/>
      <c r="F163" s="1"/>
      <c r="G163" s="1"/>
      <c r="H163" s="1"/>
      <c r="I163" s="1"/>
      <c r="J163" s="57">
        <v>-400</v>
      </c>
      <c r="K163" s="1" t="s">
        <v>467</v>
      </c>
    </row>
    <row r="164">
      <c r="A164" s="1"/>
      <c r="B164" s="1" t="s">
        <v>468</v>
      </c>
      <c r="C164" s="1"/>
      <c r="D164" s="1"/>
      <c r="E164" s="1"/>
      <c r="F164" s="1"/>
      <c r="G164" s="1"/>
      <c r="H164" s="1"/>
      <c r="I164" s="1"/>
      <c r="J164" s="57">
        <v>-5</v>
      </c>
      <c r="K164" s="1" t="s">
        <v>469</v>
      </c>
    </row>
    <row r="165">
      <c r="A165" s="1"/>
      <c r="B165" s="1" t="s">
        <v>470</v>
      </c>
      <c r="C165" s="1"/>
      <c r="D165" s="1"/>
      <c r="E165" s="1"/>
      <c r="F165" s="1"/>
      <c r="G165" s="1"/>
      <c r="H165" s="1"/>
      <c r="I165" s="1"/>
      <c r="J165" s="57">
        <v>0</v>
      </c>
      <c r="K165" s="1" t="s">
        <v>471</v>
      </c>
    </row>
    <row r="166">
      <c r="A166" s="1"/>
      <c r="B166" s="26" t="s">
        <v>56</v>
      </c>
      <c r="C166" s="1"/>
      <c r="D166" s="1"/>
      <c r="E166" s="1"/>
      <c r="F166" s="1"/>
      <c r="G166" s="1"/>
      <c r="H166" s="1"/>
      <c r="I166" s="1"/>
      <c r="J166" s="112">
        <v>0.115</v>
      </c>
      <c r="K166" s="1" t="s">
        <v>472</v>
      </c>
    </row>
    <row r="167">
      <c r="A167" s="1"/>
      <c r="B167" s="26" t="s">
        <v>473</v>
      </c>
      <c r="C167" s="1"/>
      <c r="D167" s="1"/>
      <c r="E167" s="1"/>
      <c r="F167" s="1"/>
      <c r="G167" s="1"/>
      <c r="H167" s="1"/>
      <c r="I167" s="1"/>
      <c r="J167" s="112">
        <v>0.21</v>
      </c>
      <c r="K167" s="1" t="s">
        <v>474</v>
      </c>
    </row>
    <row r="168">
      <c r="A168" s="1"/>
      <c r="B168" s="1" t="s">
        <v>475</v>
      </c>
      <c r="C168" s="1"/>
      <c r="D168" s="1"/>
      <c r="E168" s="1"/>
      <c r="F168" s="1"/>
      <c r="G168" s="1"/>
      <c r="H168" s="1"/>
      <c r="I168" s="1"/>
      <c r="J168" s="57">
        <v>-10</v>
      </c>
      <c r="K168" s="1" t="s">
        <v>476</v>
      </c>
    </row>
    <row r="169">
      <c r="A169" s="1"/>
      <c r="B169" s="1" t="s">
        <v>477</v>
      </c>
      <c r="C169" s="1"/>
      <c r="D169" s="1"/>
      <c r="E169" s="1"/>
      <c r="F169" s="1"/>
      <c r="G169" s="1"/>
      <c r="H169" s="1"/>
      <c r="I169" s="1"/>
      <c r="J169" s="57">
        <v>5</v>
      </c>
      <c r="K169" s="1" t="s">
        <v>478</v>
      </c>
    </row>
    <row r="170">
      <c r="A170" s="1"/>
      <c r="B170" s="1" t="s">
        <v>479</v>
      </c>
      <c r="C170" s="1"/>
      <c r="D170" s="1"/>
      <c r="E170" s="1"/>
      <c r="F170" s="1"/>
      <c r="G170" s="1"/>
      <c r="H170" s="1"/>
      <c r="I170" s="1"/>
      <c r="J170" s="57">
        <v>0</v>
      </c>
      <c r="K170" s="1" t="s">
        <v>480</v>
      </c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>
      <c r="A172" s="1"/>
      <c r="B172" s="13" t="s">
        <v>481</v>
      </c>
      <c r="C172" s="1"/>
      <c r="D172" s="1"/>
      <c r="E172" s="1"/>
      <c r="F172" s="1"/>
      <c r="G172" s="1"/>
      <c r="H172" s="1"/>
      <c r="I172" s="1"/>
      <c r="J172" s="1"/>
      <c r="K172" s="1"/>
    </row>
    <row r="173">
      <c r="A173" s="1"/>
      <c r="B173" s="1" t="s">
        <v>482</v>
      </c>
      <c r="C173" s="39">
        <f>Inputs!D103</f>
        <v>5.1</v>
      </c>
      <c r="D173" s="39">
        <f>Inputs!D104</f>
        <v>5.23</v>
      </c>
      <c r="E173" s="39">
        <f>Inputs!D105</f>
        <v>5.5</v>
      </c>
      <c r="F173" s="39">
        <f>Inputs!D106</f>
        <v>6.45</v>
      </c>
      <c r="G173" s="1"/>
      <c r="H173" s="39">
        <f>Inputs!D107</f>
        <v>5.24</v>
      </c>
      <c r="I173" s="39">
        <f>Inputs!D108</f>
        <v>5.71</v>
      </c>
      <c r="J173" s="91">
        <f>Inputs!C45</f>
        <v>6.4</v>
      </c>
      <c r="K173" s="1" t="s">
        <v>483</v>
      </c>
    </row>
    <row r="174">
      <c r="A174" s="1"/>
      <c r="B174" s="1" t="s">
        <v>484</v>
      </c>
      <c r="C174" s="39">
        <f>Inputs!E103</f>
        <v>5.15</v>
      </c>
      <c r="D174" s="39">
        <f>Inputs!E104</f>
        <v>5.36</v>
      </c>
      <c r="E174" s="39">
        <f>Inputs!E105</f>
        <v>5.79</v>
      </c>
      <c r="F174" s="39">
        <f>Inputs!E106</f>
        <v>6.57</v>
      </c>
      <c r="G174" s="1"/>
      <c r="H174" s="39">
        <f>Inputs!E107</f>
        <v>5.44</v>
      </c>
      <c r="I174" s="39">
        <f>Inputs!E108</f>
        <v>6.03</v>
      </c>
      <c r="J174" s="90"/>
      <c r="K174" s="1" t="s">
        <v>485</v>
      </c>
    </row>
    <row r="175">
      <c r="A175" s="1"/>
      <c r="B175" s="1" t="s">
        <v>486</v>
      </c>
      <c r="C175" s="17">
        <f>C118-C173</f>
        <v>0.05000000000000071</v>
      </c>
      <c r="D175" s="17">
        <f>D118-D173</f>
        <v>0.1299999999999999</v>
      </c>
      <c r="E175" s="17">
        <f>E118-E173</f>
        <v>0.29000000000000004</v>
      </c>
      <c r="F175" s="17">
        <f>F118-F173</f>
        <v>0.1200000000000001</v>
      </c>
      <c r="G175" s="1"/>
      <c r="H175" s="17">
        <f>H118-H173</f>
        <v>0.20000000000000018</v>
      </c>
      <c r="I175" s="17">
        <f>I118-I173</f>
        <v>0.3200000000000003</v>
      </c>
      <c r="J175" s="56">
        <f>J118-J173</f>
        <v>0.03603430961995269</v>
      </c>
      <c r="K175" s="1" t="s">
        <v>487</v>
      </c>
    </row>
    <row r="176">
      <c r="A176" s="1"/>
      <c r="B176" s="1" t="s">
        <v>488</v>
      </c>
      <c r="C176" s="40" t="b">
        <f>ABS(C118-C174)&lt;0.005</f>
        <v>1</v>
      </c>
      <c r="D176" s="40" t="b">
        <f>ABS(D118-D174)&lt;0.005</f>
        <v>1</v>
      </c>
      <c r="E176" s="40" t="b">
        <f>ABS(E118-E174)&lt;0.005</f>
        <v>1</v>
      </c>
      <c r="F176" s="40" t="b">
        <f>ABS(F118-F174)&lt;0.005</f>
        <v>1</v>
      </c>
      <c r="G176" s="1"/>
      <c r="H176" s="40" t="b">
        <f>ABS(H118-H174)&lt;0.005</f>
        <v>1</v>
      </c>
      <c r="I176" s="40" t="b">
        <f>ABS(I118-I174)&lt;0.005</f>
        <v>1</v>
      </c>
      <c r="J176" s="68"/>
      <c r="K176" s="1" t="s">
        <v>489</v>
      </c>
    </row>
    <row r="177">
      <c r="A177" s="1"/>
      <c r="B177" s="1" t="s">
        <v>490</v>
      </c>
      <c r="C177" s="39">
        <f>Inputs!F103</f>
        <v>3.77</v>
      </c>
      <c r="D177" s="39">
        <f>Inputs!F104</f>
        <v>4</v>
      </c>
      <c r="E177" s="39">
        <f>Inputs!F105</f>
        <v>4.29</v>
      </c>
      <c r="F177" s="39">
        <f>Inputs!F106</f>
        <v>5.2</v>
      </c>
      <c r="G177" s="1"/>
      <c r="H177" s="39">
        <f>Inputs!F107</f>
        <v>3.95</v>
      </c>
      <c r="I177" s="39">
        <f>Inputs!F108</f>
        <v>4.44</v>
      </c>
      <c r="J177" s="91">
        <f>Inputs!C54</f>
        <v>5.03</v>
      </c>
      <c r="K177" s="1"/>
    </row>
    <row r="178">
      <c r="A178" s="1"/>
      <c r="B178" s="1" t="s">
        <v>491</v>
      </c>
      <c r="C178" s="39">
        <f>Inputs!G103</f>
        <v>3.98</v>
      </c>
      <c r="D178" s="39">
        <f>Inputs!G104</f>
        <v>4.28</v>
      </c>
      <c r="E178" s="39">
        <f>Inputs!G105</f>
        <v>4.27</v>
      </c>
      <c r="F178" s="39">
        <f>Inputs!G106</f>
        <v>5.21</v>
      </c>
      <c r="G178" s="1"/>
      <c r="H178" s="39">
        <f>Inputs!G107</f>
        <v>4.43</v>
      </c>
      <c r="I178" s="39">
        <f>Inputs!G108</f>
        <v>4.68</v>
      </c>
      <c r="J178" s="90"/>
      <c r="K178" s="1"/>
    </row>
    <row r="179">
      <c r="A179" s="1"/>
      <c r="B179" s="1" t="s">
        <v>486</v>
      </c>
      <c r="C179" s="17">
        <f>C79-C177</f>
        <v>0.20999999999999996</v>
      </c>
      <c r="D179" s="17">
        <f>D79-D177</f>
        <v>0.28000000000000025</v>
      </c>
      <c r="E179" s="17">
        <f>E79-E177</f>
        <v>-0.020000000000000462</v>
      </c>
      <c r="F179" s="17">
        <f>F79-F177</f>
        <v>0.009999999999999787</v>
      </c>
      <c r="G179" s="1"/>
      <c r="H179" s="17">
        <f>H79-H177</f>
        <v>0.47999999999999954</v>
      </c>
      <c r="I179" s="17">
        <f>I79-I177</f>
        <v>0.23999999999999932</v>
      </c>
      <c r="J179" s="56">
        <f>J79-J177</f>
        <v>0.45803114437750114</v>
      </c>
      <c r="K179" s="1" t="s">
        <v>487</v>
      </c>
    </row>
    <row r="180">
      <c r="A180" s="1"/>
      <c r="B180" s="1" t="s">
        <v>492</v>
      </c>
      <c r="C180" s="40" t="b">
        <f>ABS(C79-C178)&lt;0.005</f>
        <v>1</v>
      </c>
      <c r="D180" s="40" t="b">
        <f>ABS(D79-D178)&lt;0.005</f>
        <v>1</v>
      </c>
      <c r="E180" s="40" t="b">
        <f>ABS(E79-E178)&lt;0.005</f>
        <v>1</v>
      </c>
      <c r="F180" s="40" t="b">
        <f>ABS(F79-F178)&lt;0.005</f>
        <v>1</v>
      </c>
      <c r="G180" s="1"/>
      <c r="H180" s="40" t="b">
        <f>ABS(H79-H178)&lt;0.005</f>
        <v>1</v>
      </c>
      <c r="I180" s="40" t="b">
        <f>ABS(I79-I178)&lt;0.005</f>
        <v>1</v>
      </c>
      <c r="J180" s="68"/>
      <c r="K180" s="1" t="s">
        <v>493</v>
      </c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>
      <c r="A182" s="1"/>
      <c r="B182" s="13" t="s">
        <v>494</v>
      </c>
      <c r="C182" s="1"/>
      <c r="D182" s="1"/>
      <c r="E182" s="1"/>
      <c r="F182" s="1"/>
      <c r="G182" s="1"/>
      <c r="H182" s="1"/>
      <c r="I182" s="1"/>
      <c r="J182" s="1"/>
      <c r="K182" s="1"/>
    </row>
    <row r="183">
      <c r="A183" s="1"/>
      <c r="B183" s="1" t="s">
        <v>495</v>
      </c>
      <c r="C183" s="23">
        <v>6040</v>
      </c>
      <c r="D183" s="23">
        <v>6106</v>
      </c>
      <c r="E183" s="23">
        <v>6180</v>
      </c>
      <c r="F183" s="23">
        <v>6492</v>
      </c>
      <c r="G183" s="23">
        <v>24818</v>
      </c>
      <c r="H183" s="3">
        <f>C13</f>
        <v>6056</v>
      </c>
      <c r="I183" s="3">
        <f>D13</f>
        <v>6378</v>
      </c>
      <c r="J183" s="8">
        <f>E13</f>
        <v>6470</v>
      </c>
      <c r="K183" s="1"/>
    </row>
    <row r="184">
      <c r="A184" s="1"/>
      <c r="B184" s="1" t="s">
        <v>496</v>
      </c>
      <c r="C184" s="23">
        <v>1663</v>
      </c>
      <c r="D184" s="23">
        <v>1820</v>
      </c>
      <c r="E184" s="23">
        <v>1838</v>
      </c>
      <c r="F184" s="23">
        <v>2016</v>
      </c>
      <c r="G184" s="23">
        <v>7337</v>
      </c>
      <c r="H184" s="3">
        <f>C39</f>
        <v>1718</v>
      </c>
      <c r="I184" s="3">
        <f>D39</f>
        <v>1835</v>
      </c>
      <c r="J184" s="8">
        <f>E39</f>
        <v>1941</v>
      </c>
      <c r="K184" s="1"/>
    </row>
    <row r="185">
      <c r="A185" s="1"/>
      <c r="B185" s="1" t="s">
        <v>497</v>
      </c>
      <c r="C185" s="23">
        <v>1328</v>
      </c>
      <c r="D185" s="23">
        <v>1548</v>
      </c>
      <c r="E185" s="23">
        <v>1630</v>
      </c>
      <c r="F185" s="23">
        <v>1830</v>
      </c>
      <c r="G185" s="23">
        <v>6335</v>
      </c>
      <c r="H185" s="3">
        <f>C70</f>
        <v>1508</v>
      </c>
      <c r="I185" s="3">
        <f>D70</f>
        <v>1617</v>
      </c>
      <c r="J185" s="8">
        <f>E70</f>
        <v>1616</v>
      </c>
      <c r="K185" s="1" t="s">
        <v>498</v>
      </c>
    </row>
    <row r="186">
      <c r="A186" s="1"/>
      <c r="B186" s="1" t="s">
        <v>499</v>
      </c>
      <c r="C186" s="32">
        <v>3.46</v>
      </c>
      <c r="D186" s="32">
        <v>4.04</v>
      </c>
      <c r="E186" s="32">
        <v>4.25</v>
      </c>
      <c r="F186" s="32">
        <v>4.78</v>
      </c>
      <c r="G186" s="32">
        <v>16.53</v>
      </c>
      <c r="H186" s="17">
        <f>C79</f>
        <v>3.98</v>
      </c>
      <c r="I186" s="17">
        <f>D79</f>
        <v>4.28</v>
      </c>
      <c r="J186" s="56">
        <f>E79</f>
        <v>4.27</v>
      </c>
      <c r="K186" s="1"/>
    </row>
    <row r="187">
      <c r="A187" s="1"/>
      <c r="B187" s="1" t="s">
        <v>500</v>
      </c>
      <c r="C187" s="23">
        <v>2278</v>
      </c>
      <c r="D187" s="23">
        <v>2347</v>
      </c>
      <c r="E187" s="23">
        <v>2362</v>
      </c>
      <c r="F187" s="23">
        <v>2720</v>
      </c>
      <c r="G187" s="23">
        <v>9707</v>
      </c>
      <c r="H187" s="3">
        <f>C93</f>
        <v>2270</v>
      </c>
      <c r="I187" s="3">
        <f>D93</f>
        <v>2376</v>
      </c>
      <c r="J187" s="8">
        <f>E93</f>
        <v>2587</v>
      </c>
      <c r="K187" s="1" t="s">
        <v>501</v>
      </c>
    </row>
    <row r="188">
      <c r="A188" s="1"/>
      <c r="B188" s="1" t="s">
        <v>502</v>
      </c>
      <c r="C188" s="23">
        <v>1959</v>
      </c>
      <c r="D188" s="23">
        <v>2057</v>
      </c>
      <c r="E188" s="23">
        <v>2026</v>
      </c>
      <c r="F188" s="23">
        <v>2338</v>
      </c>
      <c r="G188" s="23">
        <v>8380</v>
      </c>
      <c r="H188" s="3">
        <f>C113</f>
        <v>1951</v>
      </c>
      <c r="I188" s="3">
        <f>D113</f>
        <v>2027</v>
      </c>
      <c r="J188" s="8">
        <f>E113</f>
        <v>2191</v>
      </c>
      <c r="K188" s="1"/>
    </row>
    <row r="189">
      <c r="A189" s="1"/>
      <c r="B189" s="1" t="s">
        <v>503</v>
      </c>
      <c r="C189" s="32">
        <v>5.11</v>
      </c>
      <c r="D189" s="32">
        <v>5.37</v>
      </c>
      <c r="E189" s="32">
        <v>5.28</v>
      </c>
      <c r="F189" s="32">
        <v>6.1</v>
      </c>
      <c r="G189" s="32">
        <v>21.86</v>
      </c>
      <c r="H189" s="17">
        <f>C118</f>
        <v>5.15</v>
      </c>
      <c r="I189" s="17">
        <f>D118</f>
        <v>5.36</v>
      </c>
      <c r="J189" s="56">
        <f>E118</f>
        <v>5.79</v>
      </c>
      <c r="K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7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504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61</v>
      </c>
      <c r="C5" s="16" t="s">
        <v>62</v>
      </c>
      <c r="D5" s="16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6" t="s">
        <v>68</v>
      </c>
      <c r="J5" s="43" t="s">
        <v>69</v>
      </c>
      <c r="K5" s="9" t="s">
        <v>4</v>
      </c>
    </row>
    <row r="6">
      <c r="A6" s="1"/>
      <c r="B6" s="6" t="s">
        <v>70</v>
      </c>
      <c r="C6" s="14">
        <v>45745</v>
      </c>
      <c r="D6" s="14">
        <v>45836</v>
      </c>
      <c r="E6" s="14">
        <v>45927</v>
      </c>
      <c r="F6" s="14">
        <v>46022</v>
      </c>
      <c r="G6" s="14">
        <v>46022</v>
      </c>
      <c r="H6" s="14">
        <v>46109</v>
      </c>
      <c r="I6" s="14">
        <v>46200</v>
      </c>
      <c r="J6" s="45">
        <v>46291</v>
      </c>
      <c r="K6" s="6" t="s">
        <v>71</v>
      </c>
    </row>
    <row r="7">
      <c r="A7" s="1"/>
      <c r="B7" s="28" t="s">
        <v>72</v>
      </c>
      <c r="C7" s="22">
        <v>88</v>
      </c>
      <c r="D7" s="11">
        <f>D6-C6</f>
        <v>91</v>
      </c>
      <c r="E7" s="11">
        <f>E6-D6</f>
        <v>91</v>
      </c>
      <c r="F7" s="11">
        <f>F6-E6</f>
        <v>95</v>
      </c>
      <c r="G7" s="22">
        <v>365</v>
      </c>
      <c r="H7" s="11">
        <f>H6-F6</f>
        <v>87</v>
      </c>
      <c r="I7" s="11">
        <f>I6-H6</f>
        <v>91</v>
      </c>
      <c r="J7" s="36">
        <f>J6-I6</f>
        <v>91</v>
      </c>
      <c r="K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505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 t="s">
        <v>506</v>
      </c>
      <c r="C10" s="23">
        <v>4134</v>
      </c>
      <c r="D10" s="23">
        <v>4576</v>
      </c>
      <c r="E10" s="23">
        <v>1982</v>
      </c>
      <c r="F10" s="23">
        <v>9852</v>
      </c>
      <c r="G10" s="3">
        <f>F10</f>
        <v>9852</v>
      </c>
      <c r="H10" s="23">
        <v>3254</v>
      </c>
      <c r="I10" s="23">
        <v>4064</v>
      </c>
      <c r="J10" s="50">
        <f>'Cash Flow Statement'!J41-J52</f>
        <v>6981.596770704215</v>
      </c>
      <c r="K10" s="1" t="s">
        <v>507</v>
      </c>
    </row>
    <row r="11">
      <c r="A11" s="1"/>
      <c r="B11" s="1" t="s">
        <v>508</v>
      </c>
      <c r="C11" s="23">
        <v>1813</v>
      </c>
      <c r="D11" s="23">
        <v>1814</v>
      </c>
      <c r="E11" s="23">
        <v>1564</v>
      </c>
      <c r="F11" s="23">
        <v>253</v>
      </c>
      <c r="G11" s="3">
        <f>F11</f>
        <v>253</v>
      </c>
      <c r="H11" s="23">
        <v>2</v>
      </c>
      <c r="I11" s="23">
        <v>0</v>
      </c>
      <c r="J11" s="8">
        <f>I11</f>
        <v>0</v>
      </c>
      <c r="K11" s="1"/>
    </row>
    <row r="12">
      <c r="A12" s="1"/>
      <c r="B12" s="1" t="s">
        <v>509</v>
      </c>
      <c r="C12" s="23">
        <v>8455</v>
      </c>
      <c r="D12" s="23">
        <v>8594</v>
      </c>
      <c r="E12" s="23">
        <v>8911</v>
      </c>
      <c r="F12" s="23">
        <v>8900</v>
      </c>
      <c r="G12" s="3">
        <f>F12</f>
        <v>8900</v>
      </c>
      <c r="H12" s="23">
        <v>9204</v>
      </c>
      <c r="I12" s="23">
        <v>9451</v>
      </c>
      <c r="J12" s="50">
        <f>'Income Statement'!J10*J63/J$7</f>
        <v>9467.492022219538</v>
      </c>
      <c r="K12" s="1"/>
    </row>
    <row r="13">
      <c r="A13" s="1"/>
      <c r="B13" s="1" t="s">
        <v>510</v>
      </c>
      <c r="C13" s="23">
        <v>5224</v>
      </c>
      <c r="D13" s="23">
        <v>5559</v>
      </c>
      <c r="E13" s="23">
        <v>5745</v>
      </c>
      <c r="F13" s="23">
        <v>5425</v>
      </c>
      <c r="G13" s="3">
        <f>F13</f>
        <v>5425</v>
      </c>
      <c r="H13" s="23">
        <v>5496</v>
      </c>
      <c r="I13" s="23">
        <v>5627</v>
      </c>
      <c r="J13" s="50">
        <f>'Income Statement'!J13*J64/J$7</f>
        <v>5474.611028688804</v>
      </c>
      <c r="K13" s="1"/>
    </row>
    <row r="14">
      <c r="A14" s="1"/>
      <c r="B14" s="1" t="s">
        <v>511</v>
      </c>
      <c r="C14" s="23">
        <v>1366</v>
      </c>
      <c r="D14" s="23">
        <v>1441</v>
      </c>
      <c r="E14" s="23">
        <v>1620</v>
      </c>
      <c r="F14" s="23">
        <v>1666</v>
      </c>
      <c r="G14" s="3">
        <f>F14</f>
        <v>1666</v>
      </c>
      <c r="H14" s="23">
        <v>1684</v>
      </c>
      <c r="I14" s="23">
        <v>1688</v>
      </c>
      <c r="J14" s="8">
        <f>I14</f>
        <v>1688</v>
      </c>
      <c r="K14" s="1" t="s">
        <v>512</v>
      </c>
    </row>
    <row r="15">
      <c r="A15" s="1"/>
      <c r="B15" s="1" t="s">
        <v>513</v>
      </c>
      <c r="C15" s="23">
        <v>2387</v>
      </c>
      <c r="D15" s="23">
        <v>2599</v>
      </c>
      <c r="E15" s="23">
        <v>2472</v>
      </c>
      <c r="F15" s="23">
        <v>2612</v>
      </c>
      <c r="G15" s="3">
        <f>F15</f>
        <v>2612</v>
      </c>
      <c r="H15" s="23">
        <v>2677</v>
      </c>
      <c r="I15" s="23">
        <v>2536</v>
      </c>
      <c r="J15" s="8">
        <f>I15-J67</f>
        <v>2308</v>
      </c>
      <c r="K15" s="1" t="s">
        <v>514</v>
      </c>
    </row>
    <row r="16">
      <c r="A16" s="1"/>
      <c r="B16" s="33" t="s">
        <v>515</v>
      </c>
      <c r="C16" s="55">
        <f>C10+C11+C12+C13+C14+C15</f>
        <v>23379</v>
      </c>
      <c r="D16" s="55">
        <f>D10+D11+D12+D13+D14+D15</f>
        <v>24583</v>
      </c>
      <c r="E16" s="55">
        <f>E10+E11+E12+E13+E14+E15</f>
        <v>22294</v>
      </c>
      <c r="F16" s="55">
        <f>F10+F11+F12+F13+F14+F15</f>
        <v>28708</v>
      </c>
      <c r="G16" s="55">
        <f>G10+G11+G12+G13+G14+G15</f>
        <v>28708</v>
      </c>
      <c r="H16" s="55">
        <f>H10+H11+H12+H13+H14+H15</f>
        <v>22317</v>
      </c>
      <c r="I16" s="55">
        <f>I10+I11+I12+I13+I14+I15</f>
        <v>23366</v>
      </c>
      <c r="J16" s="53">
        <f>J10+J11+J12+J13+J14+J15</f>
        <v>25919.699821612554</v>
      </c>
      <c r="K16" s="1"/>
    </row>
    <row r="17">
      <c r="A17" s="1"/>
      <c r="B17" s="1" t="s">
        <v>516</v>
      </c>
      <c r="C17" s="23">
        <v>9331</v>
      </c>
      <c r="D17" s="23">
        <v>9635</v>
      </c>
      <c r="E17" s="23">
        <v>10177</v>
      </c>
      <c r="F17" s="23">
        <v>10565</v>
      </c>
      <c r="G17" s="3">
        <f>F17</f>
        <v>10565</v>
      </c>
      <c r="H17" s="23">
        <v>10658</v>
      </c>
      <c r="I17" s="23">
        <v>10755</v>
      </c>
      <c r="J17" s="50">
        <f>I17-'Cash Flow Statement'!J19-'Cash Flow Statement'!J70</f>
        <v>10970</v>
      </c>
      <c r="K17" s="1" t="s">
        <v>517</v>
      </c>
    </row>
    <row r="18">
      <c r="A18" s="1"/>
      <c r="B18" s="1" t="s">
        <v>518</v>
      </c>
      <c r="C18" s="23">
        <v>15323</v>
      </c>
      <c r="D18" s="23">
        <v>15148</v>
      </c>
      <c r="E18" s="23">
        <v>16242</v>
      </c>
      <c r="F18" s="23">
        <v>15838</v>
      </c>
      <c r="G18" s="3">
        <f>F18</f>
        <v>15838</v>
      </c>
      <c r="H18" s="23">
        <v>19146</v>
      </c>
      <c r="I18" s="23">
        <v>18606</v>
      </c>
      <c r="J18" s="50">
        <f>I18-'Income Statement'!J26</f>
        <v>18126</v>
      </c>
      <c r="K18" s="1" t="s">
        <v>519</v>
      </c>
    </row>
    <row r="19">
      <c r="A19" s="1"/>
      <c r="B19" s="1" t="s">
        <v>520</v>
      </c>
      <c r="C19" s="23">
        <v>4516</v>
      </c>
      <c r="D19" s="23">
        <v>4615</v>
      </c>
      <c r="E19" s="23">
        <v>5019</v>
      </c>
      <c r="F19" s="23">
        <v>5871</v>
      </c>
      <c r="G19" s="3">
        <f>F19</f>
        <v>5871</v>
      </c>
      <c r="H19" s="23">
        <v>5973</v>
      </c>
      <c r="I19" s="23">
        <v>5616</v>
      </c>
      <c r="J19" s="8">
        <f>I19+J73</f>
        <v>5666</v>
      </c>
      <c r="K19" s="1" t="s">
        <v>521</v>
      </c>
    </row>
    <row r="20">
      <c r="A20" s="1"/>
      <c r="B20" s="1" t="s">
        <v>522</v>
      </c>
      <c r="C20" s="23">
        <v>46493</v>
      </c>
      <c r="D20" s="23">
        <v>47249</v>
      </c>
      <c r="E20" s="23">
        <v>49287</v>
      </c>
      <c r="F20" s="23">
        <v>49362</v>
      </c>
      <c r="G20" s="3">
        <f>F20</f>
        <v>49362</v>
      </c>
      <c r="H20" s="23">
        <v>55187</v>
      </c>
      <c r="I20" s="23">
        <v>54832</v>
      </c>
      <c r="J20" s="8">
        <f>I20-J68</f>
        <v>54072</v>
      </c>
      <c r="K20" s="1" t="s">
        <v>523</v>
      </c>
    </row>
    <row r="21">
      <c r="A21" s="1"/>
      <c r="B21" s="33" t="s">
        <v>524</v>
      </c>
      <c r="C21" s="55">
        <f>C16+C17+C18+C19+C20</f>
        <v>99042</v>
      </c>
      <c r="D21" s="55">
        <f>D16+D17+D18+D19+D20</f>
        <v>101230</v>
      </c>
      <c r="E21" s="55">
        <f>E16+E17+E18+E19+E20</f>
        <v>103019</v>
      </c>
      <c r="F21" s="55">
        <f>F16+F17+F18+F19+F20</f>
        <v>110344</v>
      </c>
      <c r="G21" s="55">
        <f>G16+G17+G18+G19+G20</f>
        <v>110344</v>
      </c>
      <c r="H21" s="55">
        <f>H16+H17+H18+H19+H20</f>
        <v>113281</v>
      </c>
      <c r="I21" s="55">
        <f>I16+I17+I18+I19+I20</f>
        <v>113175</v>
      </c>
      <c r="J21" s="53">
        <f>J16+J17+J18+J19+J20</f>
        <v>114753.69982161255</v>
      </c>
      <c r="K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>
      <c r="A23" s="1"/>
      <c r="B23" s="13" t="s">
        <v>525</v>
      </c>
      <c r="C23" s="1"/>
      <c r="D23" s="1"/>
      <c r="E23" s="1"/>
      <c r="F23" s="1"/>
      <c r="G23" s="1"/>
      <c r="H23" s="1"/>
      <c r="I23" s="1"/>
      <c r="J23" s="1"/>
      <c r="K23" s="1"/>
    </row>
    <row r="24">
      <c r="A24" s="1"/>
      <c r="B24" s="1" t="s">
        <v>526</v>
      </c>
      <c r="C24" s="23">
        <v>2819</v>
      </c>
      <c r="D24" s="23">
        <v>2214</v>
      </c>
      <c r="E24" s="23">
        <v>3823</v>
      </c>
      <c r="F24" s="23">
        <v>3533</v>
      </c>
      <c r="G24" s="3">
        <f>F24</f>
        <v>3533</v>
      </c>
      <c r="H24" s="23">
        <v>3090</v>
      </c>
      <c r="I24" s="23">
        <v>3368</v>
      </c>
      <c r="J24" s="8">
        <f>I24</f>
        <v>3368</v>
      </c>
      <c r="K24" s="1" t="s">
        <v>527</v>
      </c>
    </row>
    <row r="25">
      <c r="A25" s="1"/>
      <c r="B25" s="1" t="s">
        <v>528</v>
      </c>
      <c r="C25" s="23">
        <v>3049</v>
      </c>
      <c r="D25" s="23">
        <v>2980</v>
      </c>
      <c r="E25" s="23">
        <v>3120</v>
      </c>
      <c r="F25" s="23">
        <v>3622</v>
      </c>
      <c r="G25" s="3">
        <f>F25</f>
        <v>3622</v>
      </c>
      <c r="H25" s="23">
        <v>3344</v>
      </c>
      <c r="I25" s="23">
        <v>3268</v>
      </c>
      <c r="J25" s="8">
        <f>I25</f>
        <v>3268</v>
      </c>
      <c r="K25" s="1" t="s">
        <v>512</v>
      </c>
    </row>
    <row r="26">
      <c r="A26" s="1"/>
      <c r="B26" s="1" t="s">
        <v>529</v>
      </c>
      <c r="C26" s="23">
        <v>1419</v>
      </c>
      <c r="D26" s="23">
        <v>1518</v>
      </c>
      <c r="E26" s="23">
        <v>1884</v>
      </c>
      <c r="F26" s="23">
        <v>1995</v>
      </c>
      <c r="G26" s="3">
        <f>F26</f>
        <v>1995</v>
      </c>
      <c r="H26" s="23">
        <v>1565</v>
      </c>
      <c r="I26" s="23">
        <v>1694</v>
      </c>
      <c r="J26" s="8">
        <f>I26</f>
        <v>1694</v>
      </c>
      <c r="K26" s="1" t="s">
        <v>530</v>
      </c>
    </row>
    <row r="27">
      <c r="A27" s="1"/>
      <c r="B27" s="1" t="s">
        <v>531</v>
      </c>
      <c r="C27" s="23">
        <v>2866</v>
      </c>
      <c r="D27" s="23">
        <v>2805</v>
      </c>
      <c r="E27" s="23">
        <v>2852</v>
      </c>
      <c r="F27" s="23">
        <v>2710</v>
      </c>
      <c r="G27" s="3">
        <f>F27</f>
        <v>2710</v>
      </c>
      <c r="H27" s="23">
        <v>2928</v>
      </c>
      <c r="I27" s="23">
        <v>2918</v>
      </c>
      <c r="J27" s="8">
        <f>I27</f>
        <v>2918</v>
      </c>
      <c r="K27" s="1" t="s">
        <v>512</v>
      </c>
    </row>
    <row r="28">
      <c r="A28" s="1"/>
      <c r="B28" s="1" t="s">
        <v>532</v>
      </c>
      <c r="C28" s="23">
        <v>3022</v>
      </c>
      <c r="D28" s="23">
        <v>3200</v>
      </c>
      <c r="E28" s="23">
        <v>3209</v>
      </c>
      <c r="F28" s="23">
        <v>3329</v>
      </c>
      <c r="G28" s="3">
        <f>F28</f>
        <v>3329</v>
      </c>
      <c r="H28" s="23">
        <v>3694</v>
      </c>
      <c r="I28" s="23">
        <v>3823</v>
      </c>
      <c r="J28" s="8">
        <f>I28-J69+J65</f>
        <v>3602</v>
      </c>
      <c r="K28" s="1" t="s">
        <v>533</v>
      </c>
    </row>
    <row r="29">
      <c r="A29" s="1"/>
      <c r="B29" s="33" t="s">
        <v>534</v>
      </c>
      <c r="C29" s="55">
        <f>C24+C25+C26+C27+C28</f>
        <v>13175</v>
      </c>
      <c r="D29" s="55">
        <f>D24+D25+D26+D27+D28</f>
        <v>12717</v>
      </c>
      <c r="E29" s="55">
        <f>E24+E25+E26+E27+E28</f>
        <v>14888</v>
      </c>
      <c r="F29" s="55">
        <f>F24+F25+F26+F27+F28</f>
        <v>15189</v>
      </c>
      <c r="G29" s="55">
        <f>G24+G25+G26+G27+G28</f>
        <v>15189</v>
      </c>
      <c r="H29" s="55">
        <f>H24+H25+H26+H27+H28</f>
        <v>14621</v>
      </c>
      <c r="I29" s="55">
        <f>I24+I25+I26+I27+I28</f>
        <v>15071</v>
      </c>
      <c r="J29" s="53">
        <f>J24+J25+J26+J27+J28</f>
        <v>14850</v>
      </c>
      <c r="K29" s="1"/>
    </row>
    <row r="30">
      <c r="A30" s="1"/>
      <c r="B30" s="1" t="s">
        <v>535</v>
      </c>
      <c r="C30" s="23">
        <v>1041</v>
      </c>
      <c r="D30" s="23">
        <v>624</v>
      </c>
      <c r="E30" s="23">
        <v>842</v>
      </c>
      <c r="F30" s="23">
        <v>1493</v>
      </c>
      <c r="G30" s="3">
        <f>F30</f>
        <v>1493</v>
      </c>
      <c r="H30" s="23">
        <v>2107</v>
      </c>
      <c r="I30" s="23">
        <v>1579</v>
      </c>
      <c r="J30" s="50">
        <f>I30+'Cash Flow Statement'!J13</f>
        <v>1379</v>
      </c>
      <c r="K30" s="1" t="s">
        <v>536</v>
      </c>
    </row>
    <row r="31">
      <c r="A31" s="1"/>
      <c r="B31" s="1" t="s">
        <v>537</v>
      </c>
      <c r="C31" s="23">
        <v>3971</v>
      </c>
      <c r="D31" s="23">
        <v>4270</v>
      </c>
      <c r="E31" s="23">
        <v>4278</v>
      </c>
      <c r="F31" s="23">
        <v>4273</v>
      </c>
      <c r="G31" s="3">
        <f>F31</f>
        <v>4273</v>
      </c>
      <c r="H31" s="23">
        <v>4421</v>
      </c>
      <c r="I31" s="23">
        <v>4538</v>
      </c>
      <c r="J31" s="8">
        <f>I31-J70</f>
        <v>4493</v>
      </c>
      <c r="K31" s="1" t="s">
        <v>538</v>
      </c>
    </row>
    <row r="32">
      <c r="A32" s="1"/>
      <c r="B32" s="1" t="s">
        <v>539</v>
      </c>
      <c r="C32" s="23">
        <v>31370</v>
      </c>
      <c r="D32" s="23">
        <v>33015</v>
      </c>
      <c r="E32" s="23">
        <v>31857</v>
      </c>
      <c r="F32" s="23">
        <v>35852</v>
      </c>
      <c r="G32" s="3">
        <f>F32</f>
        <v>35852</v>
      </c>
      <c r="H32" s="23">
        <v>40071</v>
      </c>
      <c r="I32" s="23">
        <v>39181</v>
      </c>
      <c r="J32" s="8">
        <f>I32</f>
        <v>39181</v>
      </c>
      <c r="K32" s="1"/>
    </row>
    <row r="33">
      <c r="A33" s="1"/>
      <c r="B33" s="33" t="s">
        <v>540</v>
      </c>
      <c r="C33" s="55">
        <f>C29+C30+C31+C32</f>
        <v>49557</v>
      </c>
      <c r="D33" s="55">
        <f>D29+D30+D31+D32</f>
        <v>50626</v>
      </c>
      <c r="E33" s="55">
        <f>E29+E30+E31+E32</f>
        <v>51865</v>
      </c>
      <c r="F33" s="55">
        <f>F29+F30+F31+F32</f>
        <v>56807</v>
      </c>
      <c r="G33" s="55">
        <f>G29+G30+G31+G32</f>
        <v>56807</v>
      </c>
      <c r="H33" s="55">
        <f>H29+H30+H31+H32</f>
        <v>61220</v>
      </c>
      <c r="I33" s="55">
        <f>I29+I30+I31+I32</f>
        <v>60369</v>
      </c>
      <c r="J33" s="53">
        <f>J29+J30+J31+J32</f>
        <v>59903</v>
      </c>
      <c r="K33" s="1"/>
    </row>
    <row r="34">
      <c r="A34" s="1"/>
      <c r="B34" s="1" t="s">
        <v>541</v>
      </c>
      <c r="C34" s="23">
        <v>128</v>
      </c>
      <c r="D34" s="23">
        <v>126</v>
      </c>
      <c r="E34" s="23">
        <v>129</v>
      </c>
      <c r="F34" s="23">
        <v>122</v>
      </c>
      <c r="G34" s="3">
        <f>F34</f>
        <v>122</v>
      </c>
      <c r="H34" s="23">
        <v>121</v>
      </c>
      <c r="I34" s="23">
        <v>121</v>
      </c>
      <c r="J34" s="8">
        <f>I34</f>
        <v>121</v>
      </c>
      <c r="K34" s="1" t="s">
        <v>542</v>
      </c>
    </row>
    <row r="35">
      <c r="A35" s="1"/>
      <c r="B35" s="1" t="s">
        <v>543</v>
      </c>
      <c r="C35" s="23">
        <v>444</v>
      </c>
      <c r="D35" s="23">
        <v>444</v>
      </c>
      <c r="E35" s="23">
        <v>445</v>
      </c>
      <c r="F35" s="23">
        <v>445</v>
      </c>
      <c r="G35" s="3">
        <f>F35</f>
        <v>445</v>
      </c>
      <c r="H35" s="23">
        <v>445</v>
      </c>
      <c r="I35" s="23">
        <v>446</v>
      </c>
      <c r="J35" s="8">
        <f>I35</f>
        <v>446</v>
      </c>
      <c r="K35" s="1"/>
    </row>
    <row r="36">
      <c r="A36" s="1"/>
      <c r="B36" s="1" t="s">
        <v>544</v>
      </c>
      <c r="C36" s="23">
        <v>18111</v>
      </c>
      <c r="D36" s="23">
        <v>18232</v>
      </c>
      <c r="E36" s="23">
        <v>18330</v>
      </c>
      <c r="F36" s="23">
        <v>18563</v>
      </c>
      <c r="G36" s="3">
        <f>F36</f>
        <v>18563</v>
      </c>
      <c r="H36" s="23">
        <v>18713</v>
      </c>
      <c r="I36" s="23">
        <v>18870</v>
      </c>
      <c r="J36" s="50">
        <f>I36+'Cash Flow Statement'!J14</f>
        <v>19050</v>
      </c>
      <c r="K36" s="1" t="s">
        <v>545</v>
      </c>
    </row>
    <row r="37">
      <c r="A37" s="1"/>
      <c r="B37" s="1" t="s">
        <v>546</v>
      </c>
      <c r="C37" s="23">
        <v>54447</v>
      </c>
      <c r="D37" s="23">
        <v>55901</v>
      </c>
      <c r="E37" s="23">
        <v>57354</v>
      </c>
      <c r="F37" s="23">
        <v>59156</v>
      </c>
      <c r="G37" s="3">
        <f>F37</f>
        <v>59156</v>
      </c>
      <c r="H37" s="23">
        <v>60632</v>
      </c>
      <c r="I37" s="23">
        <v>62194</v>
      </c>
      <c r="J37" s="50">
        <f>I37+'Income Statement'!J70+'Cash Flow Statement'!J35</f>
        <v>64053.69982161256</v>
      </c>
      <c r="K37" s="1" t="s">
        <v>547</v>
      </c>
    </row>
    <row r="38">
      <c r="A38" s="1"/>
      <c r="B38" s="1" t="s">
        <v>548</v>
      </c>
      <c r="C38" s="23">
        <v>-21269</v>
      </c>
      <c r="D38" s="23">
        <v>-21269</v>
      </c>
      <c r="E38" s="23">
        <v>-22310</v>
      </c>
      <c r="F38" s="23">
        <v>-22309</v>
      </c>
      <c r="G38" s="3">
        <f>F38</f>
        <v>-22309</v>
      </c>
      <c r="H38" s="23">
        <v>-25360</v>
      </c>
      <c r="I38" s="23">
        <v>-26370</v>
      </c>
      <c r="J38" s="50">
        <f>I38+'Cash Flow Statement'!J34</f>
        <v>-26370</v>
      </c>
      <c r="K38" s="1" t="s">
        <v>549</v>
      </c>
    </row>
    <row r="39">
      <c r="A39" s="1"/>
      <c r="B39" s="1" t="s">
        <v>550</v>
      </c>
      <c r="C39" s="23">
        <v>-2343</v>
      </c>
      <c r="D39" s="23">
        <v>-2797</v>
      </c>
      <c r="E39" s="23">
        <v>-2801</v>
      </c>
      <c r="F39" s="23">
        <v>-2448</v>
      </c>
      <c r="G39" s="3">
        <f>F39</f>
        <v>-2448</v>
      </c>
      <c r="H39" s="23">
        <v>-2497</v>
      </c>
      <c r="I39" s="23">
        <v>-2460</v>
      </c>
      <c r="J39" s="8">
        <f>I39</f>
        <v>-2460</v>
      </c>
      <c r="K39" s="1" t="s">
        <v>551</v>
      </c>
    </row>
    <row r="40">
      <c r="A40" s="1"/>
      <c r="B40" s="33" t="s">
        <v>552</v>
      </c>
      <c r="C40" s="55">
        <f>C35+C36+C37+C38+C39</f>
        <v>49390</v>
      </c>
      <c r="D40" s="55">
        <f>D35+D36+D37+D38+D39</f>
        <v>50511</v>
      </c>
      <c r="E40" s="55">
        <f>E35+E36+E37+E38+E39</f>
        <v>51018</v>
      </c>
      <c r="F40" s="55">
        <f>F35+F36+F37+F38+F39</f>
        <v>53407</v>
      </c>
      <c r="G40" s="55">
        <f>G35+G36+G37+G38+G39</f>
        <v>53407</v>
      </c>
      <c r="H40" s="55">
        <f>H35+H36+H37+H38+H39</f>
        <v>51933</v>
      </c>
      <c r="I40" s="55">
        <f>I35+I36+I37+I38+I39</f>
        <v>52680</v>
      </c>
      <c r="J40" s="53">
        <f>J35+J36+J37+J38+J39</f>
        <v>54719.699821612565</v>
      </c>
      <c r="K40" s="1"/>
    </row>
    <row r="41">
      <c r="A41" s="1"/>
      <c r="B41" s="1" t="s">
        <v>553</v>
      </c>
      <c r="C41" s="23">
        <v>-33</v>
      </c>
      <c r="D41" s="23">
        <v>-35</v>
      </c>
      <c r="E41" s="23">
        <v>7</v>
      </c>
      <c r="F41" s="23">
        <v>7</v>
      </c>
      <c r="G41" s="3">
        <f>F41</f>
        <v>7</v>
      </c>
      <c r="H41" s="23">
        <v>7</v>
      </c>
      <c r="I41" s="23">
        <v>7</v>
      </c>
      <c r="J41" s="50">
        <f>I41+'Income Statement'!J68</f>
        <v>12</v>
      </c>
      <c r="K41" s="1" t="s">
        <v>554</v>
      </c>
    </row>
    <row r="42">
      <c r="A42" s="1"/>
      <c r="B42" s="33" t="s">
        <v>555</v>
      </c>
      <c r="C42" s="55">
        <f>C40+C41</f>
        <v>49357</v>
      </c>
      <c r="D42" s="55">
        <f>D40+D41</f>
        <v>50476</v>
      </c>
      <c r="E42" s="55">
        <f>E40+E41</f>
        <v>51025</v>
      </c>
      <c r="F42" s="55">
        <f>F40+F41</f>
        <v>53414</v>
      </c>
      <c r="G42" s="55">
        <f>G40+G41</f>
        <v>53414</v>
      </c>
      <c r="H42" s="55">
        <f>H40+H41</f>
        <v>51940</v>
      </c>
      <c r="I42" s="55">
        <f>I40+I41</f>
        <v>52687</v>
      </c>
      <c r="J42" s="53">
        <f>J40+J41</f>
        <v>54731.699821612565</v>
      </c>
      <c r="K42" s="1"/>
    </row>
    <row r="43">
      <c r="A43" s="1"/>
      <c r="B43" s="33" t="s">
        <v>556</v>
      </c>
      <c r="C43" s="55">
        <f>C33+C34+C42</f>
        <v>99042</v>
      </c>
      <c r="D43" s="55">
        <f>D33+D34+D42</f>
        <v>101228</v>
      </c>
      <c r="E43" s="55">
        <f>E33+E34+E42</f>
        <v>103019</v>
      </c>
      <c r="F43" s="55">
        <f>F33+F34+F42</f>
        <v>110343</v>
      </c>
      <c r="G43" s="55">
        <f>G33+G34+G42</f>
        <v>110343</v>
      </c>
      <c r="H43" s="55">
        <f>H33+H34+H42</f>
        <v>113281</v>
      </c>
      <c r="I43" s="55">
        <f>I33+I34+I42</f>
        <v>113177</v>
      </c>
      <c r="J43" s="53">
        <f>J33+J34+J42</f>
        <v>114755.69982161256</v>
      </c>
      <c r="K43" s="1" t="s">
        <v>557</v>
      </c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>
      <c r="A45" s="1"/>
      <c r="B45" s="26" t="s">
        <v>558</v>
      </c>
      <c r="C45" s="21">
        <f>C21-C43</f>
        <v>0</v>
      </c>
      <c r="D45" s="21">
        <f>D21-D43</f>
        <v>2</v>
      </c>
      <c r="E45" s="21">
        <f>E21-E43</f>
        <v>0</v>
      </c>
      <c r="F45" s="21">
        <f>F21-F43</f>
        <v>1</v>
      </c>
      <c r="G45" s="21">
        <f>G21-G43</f>
        <v>1</v>
      </c>
      <c r="H45" s="21">
        <f>H21-H43</f>
        <v>0</v>
      </c>
      <c r="I45" s="21">
        <f>I21-I43</f>
        <v>-2</v>
      </c>
      <c r="J45" s="60">
        <f>J21-J43</f>
        <v>-2.000000000014552</v>
      </c>
      <c r="K45" s="1" t="s">
        <v>559</v>
      </c>
    </row>
    <row r="46">
      <c r="A46" s="1"/>
      <c r="B46" s="1" t="s">
        <v>560</v>
      </c>
      <c r="C46" s="40" t="b">
        <f>ABS(C45)&lt;=2</f>
        <v>1</v>
      </c>
      <c r="D46" s="40" t="b">
        <f>ABS(D45)&lt;=2</f>
        <v>1</v>
      </c>
      <c r="E46" s="40" t="b">
        <f>ABS(E45)&lt;=2</f>
        <v>1</v>
      </c>
      <c r="F46" s="40" t="b">
        <f>ABS(F45)&lt;=2</f>
        <v>1</v>
      </c>
      <c r="G46" s="40" t="b">
        <f>ABS(G45)&lt;=2</f>
        <v>1</v>
      </c>
      <c r="H46" s="40" t="b">
        <f>ABS(H45)&lt;=2</f>
        <v>1</v>
      </c>
      <c r="I46" s="40" t="b">
        <f>ABS(I45)&lt;=2</f>
        <v>1</v>
      </c>
      <c r="J46" s="76" t="b">
        <f>ABS(J45-I45)&lt;0.001</f>
        <v>1</v>
      </c>
      <c r="K46" s="1" t="s">
        <v>561</v>
      </c>
    </row>
    <row r="47">
      <c r="A47" s="1"/>
      <c r="B47" s="26" t="s">
        <v>562</v>
      </c>
      <c r="C47" s="21">
        <f>C25+C26+C27+C28</f>
        <v>10356</v>
      </c>
      <c r="D47" s="21">
        <f>D25+D26+D27+D28</f>
        <v>10503</v>
      </c>
      <c r="E47" s="21">
        <f>E25+E26+E27+E28</f>
        <v>11065</v>
      </c>
      <c r="F47" s="21">
        <f>F25+F26+F27+F28</f>
        <v>11656</v>
      </c>
      <c r="G47" s="21">
        <f>G25+G26+G27+G28</f>
        <v>11656</v>
      </c>
      <c r="H47" s="21">
        <f>H25+H26+H27+H28</f>
        <v>11531</v>
      </c>
      <c r="I47" s="21">
        <f>I25+I26+I27+I28</f>
        <v>11703</v>
      </c>
      <c r="J47" s="60">
        <f>J25+J26+J27+J28</f>
        <v>11482</v>
      </c>
      <c r="K47" s="1" t="s">
        <v>563</v>
      </c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>
      <c r="A49" s="1"/>
      <c r="B49" s="13" t="s">
        <v>564</v>
      </c>
      <c r="C49" s="1"/>
      <c r="D49" s="1"/>
      <c r="E49" s="1"/>
      <c r="F49" s="1"/>
      <c r="G49" s="1"/>
      <c r="H49" s="1"/>
      <c r="I49" s="1"/>
      <c r="J49" s="1"/>
      <c r="K49" s="1"/>
    </row>
    <row r="50">
      <c r="A50" s="1"/>
      <c r="B50" s="1" t="s">
        <v>565</v>
      </c>
      <c r="C50" s="23">
        <v>16</v>
      </c>
      <c r="D50" s="23">
        <v>3</v>
      </c>
      <c r="E50" s="23">
        <v>7</v>
      </c>
      <c r="F50" s="23">
        <v>5</v>
      </c>
      <c r="G50" s="3">
        <f>F50</f>
        <v>5</v>
      </c>
      <c r="H50" s="23">
        <v>4</v>
      </c>
      <c r="I50" s="23">
        <v>11</v>
      </c>
      <c r="J50" s="8">
        <f>I50</f>
        <v>11</v>
      </c>
      <c r="K50" s="1" t="s">
        <v>566</v>
      </c>
    </row>
    <row r="51">
      <c r="A51" s="1"/>
      <c r="B51" s="1" t="s">
        <v>567</v>
      </c>
      <c r="C51" s="23">
        <v>22</v>
      </c>
      <c r="D51" s="23">
        <v>24</v>
      </c>
      <c r="E51" s="23">
        <v>22</v>
      </c>
      <c r="F51" s="23">
        <v>22</v>
      </c>
      <c r="G51" s="3">
        <f>F51</f>
        <v>22</v>
      </c>
      <c r="H51" s="23">
        <v>22</v>
      </c>
      <c r="I51" s="23">
        <v>22</v>
      </c>
      <c r="J51" s="8">
        <f>I51</f>
        <v>22</v>
      </c>
      <c r="K51" s="1" t="s">
        <v>568</v>
      </c>
    </row>
    <row r="52">
      <c r="A52" s="1"/>
      <c r="B52" s="33" t="s">
        <v>569</v>
      </c>
      <c r="C52" s="55">
        <f>C50+C51</f>
        <v>38</v>
      </c>
      <c r="D52" s="55">
        <f>D50+D51</f>
        <v>27</v>
      </c>
      <c r="E52" s="55">
        <f>E50+E51</f>
        <v>29</v>
      </c>
      <c r="F52" s="55">
        <f>F50+F51</f>
        <v>27</v>
      </c>
      <c r="G52" s="55">
        <f>G50+G51</f>
        <v>27</v>
      </c>
      <c r="H52" s="55">
        <f>H50+H51</f>
        <v>26</v>
      </c>
      <c r="I52" s="55">
        <f>I50+I51</f>
        <v>33</v>
      </c>
      <c r="J52" s="53">
        <f>J50+J51</f>
        <v>33</v>
      </c>
      <c r="K52" s="1"/>
    </row>
    <row r="53">
      <c r="A53" s="1"/>
      <c r="B53" s="33" t="s">
        <v>570</v>
      </c>
      <c r="C53" s="55">
        <f>C24+C32</f>
        <v>34189</v>
      </c>
      <c r="D53" s="55">
        <f>D24+D32</f>
        <v>35229</v>
      </c>
      <c r="E53" s="55">
        <f>E24+E32</f>
        <v>35680</v>
      </c>
      <c r="F53" s="55">
        <f>F24+F32</f>
        <v>39385</v>
      </c>
      <c r="G53" s="55">
        <f>G24+G32</f>
        <v>39385</v>
      </c>
      <c r="H53" s="55">
        <f>H24+H32</f>
        <v>43161</v>
      </c>
      <c r="I53" s="55">
        <f>I24+I32</f>
        <v>42549</v>
      </c>
      <c r="J53" s="53">
        <f>J24+J32</f>
        <v>42549</v>
      </c>
      <c r="K53" s="1"/>
    </row>
    <row r="54">
      <c r="A54" s="1"/>
      <c r="B54" s="1" t="s">
        <v>571</v>
      </c>
      <c r="C54" s="3">
        <f>C53-C10-C11</f>
        <v>28242</v>
      </c>
      <c r="D54" s="3">
        <f>D53-D10-D11</f>
        <v>28839</v>
      </c>
      <c r="E54" s="3">
        <f>E53-E10-E11</f>
        <v>32134</v>
      </c>
      <c r="F54" s="3">
        <f>F53-F10-F11</f>
        <v>29280</v>
      </c>
      <c r="G54" s="3">
        <f>G53-G10-G11</f>
        <v>29280</v>
      </c>
      <c r="H54" s="3">
        <f>H53-H10-H11</f>
        <v>39905</v>
      </c>
      <c r="I54" s="3">
        <f>I53-I10-I11</f>
        <v>38485</v>
      </c>
      <c r="J54" s="8">
        <f>J53-J10-J11</f>
        <v>35567.403229295785</v>
      </c>
      <c r="K54" s="1" t="s">
        <v>572</v>
      </c>
    </row>
    <row r="55">
      <c r="A55" s="1"/>
      <c r="B55" s="1" t="s">
        <v>573</v>
      </c>
      <c r="C55" s="18">
        <f>C12/'Income Statement'!C10*C$7</f>
        <v>71.79081435739096</v>
      </c>
      <c r="D55" s="18">
        <f>D12/'Income Statement'!D10*D$7</f>
        <v>72.04550898203593</v>
      </c>
      <c r="E55" s="18">
        <f>E12/'Income Statement'!E10*E$7</f>
        <v>72.90963855421687</v>
      </c>
      <c r="F55" s="18">
        <f>F12/'Income Statement'!F10*F$7</f>
        <v>69.2181743757675</v>
      </c>
      <c r="G55" s="18">
        <f>G12/'Income Statement'!G10*G$7</f>
        <v>72.90825029176766</v>
      </c>
      <c r="H55" s="18">
        <f>H12/'Income Statement'!H10*H$7</f>
        <v>72.76219900045434</v>
      </c>
      <c r="I55" s="18">
        <f>I12/'Income Statement'!I10*I$7</f>
        <v>71.70593630148407</v>
      </c>
      <c r="J55" s="50">
        <f>J12/'Income Statement'!J10*J$7</f>
        <v>72</v>
      </c>
      <c r="K55" s="1" t="s">
        <v>574</v>
      </c>
    </row>
    <row r="56">
      <c r="A56" s="1"/>
      <c r="B56" s="26" t="s">
        <v>575</v>
      </c>
      <c r="C56" s="58" t="s">
        <v>34</v>
      </c>
      <c r="D56" s="21">
        <f>D55-C55</f>
        <v>0.2546946246449693</v>
      </c>
      <c r="E56" s="21">
        <f>E55-D55</f>
        <v>0.8641295721809428</v>
      </c>
      <c r="F56" s="21">
        <f>F55-E55</f>
        <v>-3.6914641784493654</v>
      </c>
      <c r="G56" s="1"/>
      <c r="H56" s="21">
        <f>H55-F55</f>
        <v>3.544024624686841</v>
      </c>
      <c r="I56" s="21">
        <f>I55-H55</f>
        <v>-1.0562626989702721</v>
      </c>
      <c r="J56" s="60">
        <f>J55-I55</f>
        <v>0.2940636985159273</v>
      </c>
      <c r="K56" s="1"/>
    </row>
    <row r="57">
      <c r="A57" s="1"/>
      <c r="B57" s="26" t="s">
        <v>576</v>
      </c>
      <c r="C57" s="58" t="s">
        <v>34</v>
      </c>
      <c r="D57" s="58" t="s">
        <v>34</v>
      </c>
      <c r="E57" s="58" t="s">
        <v>34</v>
      </c>
      <c r="F57" s="58" t="s">
        <v>34</v>
      </c>
      <c r="G57" s="58" t="s">
        <v>34</v>
      </c>
      <c r="H57" s="21">
        <f>H55-C55</f>
        <v>0.9713846430633879</v>
      </c>
      <c r="I57" s="21">
        <f>I55-D55</f>
        <v>-0.3395726805518535</v>
      </c>
      <c r="J57" s="60">
        <f>J55-E55</f>
        <v>-0.909638554216869</v>
      </c>
      <c r="K57" s="1"/>
    </row>
    <row r="58">
      <c r="A58" s="1"/>
      <c r="B58" s="1" t="s">
        <v>577</v>
      </c>
      <c r="C58" s="18">
        <f>C13/'Income Statement'!C13*C$7</f>
        <v>75.91017173051519</v>
      </c>
      <c r="D58" s="18">
        <f>D13/'Income Statement'!D13*D$7</f>
        <v>79.31467544684854</v>
      </c>
      <c r="E58" s="18">
        <f>E13/'Income Statement'!E13*E$7</f>
        <v>80.80293663060279</v>
      </c>
      <c r="F58" s="18">
        <f>F13/'Income Statement'!F13*F$7</f>
        <v>72.15105697886042</v>
      </c>
      <c r="G58" s="18">
        <f>G13/'Income Statement'!G13*G$7</f>
        <v>76.02123085192152</v>
      </c>
      <c r="H58" s="18">
        <f>H13/'Income Statement'!H13*H$7</f>
        <v>73.23510491652627</v>
      </c>
      <c r="I58" s="18">
        <f>I13/'Income Statement'!I13*I$7</f>
        <v>72.62189760317686</v>
      </c>
      <c r="J58" s="50">
        <f>J13/'Income Statement'!J13*J$7</f>
        <v>72</v>
      </c>
      <c r="K58" s="1" t="s">
        <v>578</v>
      </c>
    </row>
    <row r="59">
      <c r="A59" s="1"/>
      <c r="B59" s="26" t="s">
        <v>575</v>
      </c>
      <c r="C59" s="58" t="s">
        <v>34</v>
      </c>
      <c r="D59" s="21">
        <f>D58-C58</f>
        <v>3.404503716333352</v>
      </c>
      <c r="E59" s="21">
        <f>E58-D58</f>
        <v>1.488261183754247</v>
      </c>
      <c r="F59" s="21">
        <f>F58-E58</f>
        <v>-8.651879651742362</v>
      </c>
      <c r="G59" s="1"/>
      <c r="H59" s="21">
        <f>H58-F58</f>
        <v>1.0840479376658436</v>
      </c>
      <c r="I59" s="21">
        <f>I58-H58</f>
        <v>-0.613207313349406</v>
      </c>
      <c r="J59" s="60">
        <f>J58-I58</f>
        <v>-0.6218976031768619</v>
      </c>
      <c r="K59" s="1"/>
    </row>
    <row r="60">
      <c r="A60" s="1"/>
      <c r="B60" s="26" t="s">
        <v>576</v>
      </c>
      <c r="C60" s="58" t="s">
        <v>34</v>
      </c>
      <c r="D60" s="58" t="s">
        <v>34</v>
      </c>
      <c r="E60" s="58" t="s">
        <v>34</v>
      </c>
      <c r="F60" s="58" t="s">
        <v>34</v>
      </c>
      <c r="G60" s="58" t="s">
        <v>34</v>
      </c>
      <c r="H60" s="21">
        <f>H58-C58</f>
        <v>-2.67506681398892</v>
      </c>
      <c r="I60" s="21">
        <f>I58-D58</f>
        <v>-6.692777843671678</v>
      </c>
      <c r="J60" s="60">
        <f>J58-E58</f>
        <v>-8.802936630602787</v>
      </c>
      <c r="K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>
      <c r="A62" s="1"/>
      <c r="B62" s="13" t="s">
        <v>579</v>
      </c>
      <c r="C62" s="1"/>
      <c r="D62" s="1"/>
      <c r="E62" s="1"/>
      <c r="F62" s="1"/>
      <c r="G62" s="1"/>
      <c r="H62" s="1"/>
      <c r="I62" s="1"/>
      <c r="J62" s="1"/>
      <c r="K62" s="1"/>
    </row>
    <row r="63">
      <c r="A63" s="1"/>
      <c r="B63" s="1" t="s">
        <v>580</v>
      </c>
      <c r="C63" s="1"/>
      <c r="D63" s="1"/>
      <c r="E63" s="1"/>
      <c r="F63" s="1"/>
      <c r="G63" s="1"/>
      <c r="H63" s="1"/>
      <c r="I63" s="1"/>
      <c r="J63" s="57">
        <v>72</v>
      </c>
      <c r="K63" s="1" t="s">
        <v>581</v>
      </c>
    </row>
    <row r="64">
      <c r="A64" s="1"/>
      <c r="B64" s="1" t="s">
        <v>582</v>
      </c>
      <c r="C64" s="1"/>
      <c r="D64" s="1"/>
      <c r="E64" s="1"/>
      <c r="F64" s="1"/>
      <c r="G64" s="1"/>
      <c r="H64" s="1"/>
      <c r="I64" s="1"/>
      <c r="J64" s="57">
        <v>72</v>
      </c>
      <c r="K64" s="1" t="s">
        <v>583</v>
      </c>
    </row>
    <row r="65">
      <c r="A65" s="1"/>
      <c r="B65" s="1" t="s">
        <v>584</v>
      </c>
      <c r="C65" s="1"/>
      <c r="D65" s="1"/>
      <c r="E65" s="1"/>
      <c r="F65" s="1"/>
      <c r="G65" s="1"/>
      <c r="H65" s="1"/>
      <c r="I65" s="1"/>
      <c r="J65" s="57">
        <v>-150</v>
      </c>
      <c r="K65" s="1" t="s">
        <v>585</v>
      </c>
    </row>
    <row r="66">
      <c r="A66" s="1"/>
      <c r="B66" s="13" t="s">
        <v>586</v>
      </c>
      <c r="C66" s="1"/>
      <c r="D66" s="1"/>
      <c r="E66" s="1"/>
      <c r="F66" s="1"/>
      <c r="G66" s="1"/>
      <c r="H66" s="1"/>
      <c r="I66" s="1"/>
      <c r="J66" s="1"/>
      <c r="K66" s="1"/>
    </row>
    <row r="67">
      <c r="A67" s="1"/>
      <c r="B67" s="1" t="s">
        <v>587</v>
      </c>
      <c r="C67" s="1"/>
      <c r="D67" s="1"/>
      <c r="E67" s="1"/>
      <c r="F67" s="1"/>
      <c r="G67" s="1"/>
      <c r="H67" s="1"/>
      <c r="I67" s="1"/>
      <c r="J67" s="57">
        <v>228</v>
      </c>
      <c r="K67" s="1"/>
    </row>
    <row r="68">
      <c r="A68" s="1"/>
      <c r="B68" s="1" t="s">
        <v>588</v>
      </c>
      <c r="C68" s="1"/>
      <c r="D68" s="1"/>
      <c r="E68" s="1"/>
      <c r="F68" s="1"/>
      <c r="G68" s="1"/>
      <c r="H68" s="1"/>
      <c r="I68" s="1"/>
      <c r="J68" s="57">
        <v>760</v>
      </c>
      <c r="K68" s="1" t="s">
        <v>589</v>
      </c>
    </row>
    <row r="69">
      <c r="A69" s="1"/>
      <c r="B69" s="1" t="s">
        <v>590</v>
      </c>
      <c r="C69" s="1"/>
      <c r="D69" s="1"/>
      <c r="E69" s="1"/>
      <c r="F69" s="1"/>
      <c r="G69" s="1"/>
      <c r="H69" s="1"/>
      <c r="I69" s="1"/>
      <c r="J69" s="57">
        <v>71</v>
      </c>
      <c r="K69" s="1" t="s">
        <v>591</v>
      </c>
    </row>
    <row r="70">
      <c r="A70" s="1"/>
      <c r="B70" s="1" t="s">
        <v>592</v>
      </c>
      <c r="C70" s="1"/>
      <c r="D70" s="1"/>
      <c r="E70" s="1"/>
      <c r="F70" s="1"/>
      <c r="G70" s="1"/>
      <c r="H70" s="1"/>
      <c r="I70" s="1"/>
      <c r="J70" s="57">
        <v>45</v>
      </c>
      <c r="K70" s="1" t="s">
        <v>593</v>
      </c>
    </row>
    <row r="71">
      <c r="A71" s="1"/>
      <c r="B71" s="33" t="s">
        <v>594</v>
      </c>
      <c r="C71" s="15"/>
      <c r="D71" s="15"/>
      <c r="E71" s="15"/>
      <c r="F71" s="15"/>
      <c r="G71" s="15"/>
      <c r="H71" s="15"/>
      <c r="I71" s="15"/>
      <c r="J71" s="53">
        <f>J67+J68-J69-J70</f>
        <v>872</v>
      </c>
      <c r="K71" s="1"/>
    </row>
    <row r="72">
      <c r="A72" s="1"/>
      <c r="B72" s="1" t="s">
        <v>595</v>
      </c>
      <c r="C72" s="1"/>
      <c r="D72" s="1"/>
      <c r="E72" s="1"/>
      <c r="F72" s="1"/>
      <c r="G72" s="1"/>
      <c r="H72" s="1"/>
      <c r="I72" s="1"/>
      <c r="J72" s="57">
        <v>1075</v>
      </c>
      <c r="K72" s="1" t="s">
        <v>596</v>
      </c>
    </row>
    <row r="73">
      <c r="A73" s="1"/>
      <c r="B73" s="1" t="s">
        <v>597</v>
      </c>
      <c r="C73" s="1"/>
      <c r="D73" s="1"/>
      <c r="E73" s="1"/>
      <c r="F73" s="1"/>
      <c r="G73" s="1"/>
      <c r="H73" s="1"/>
      <c r="I73" s="1"/>
      <c r="J73" s="57">
        <v>50</v>
      </c>
      <c r="K73" s="1"/>
    </row>
    <row r="74">
      <c r="A74" s="1"/>
      <c r="B74" s="1" t="s">
        <v>598</v>
      </c>
      <c r="C74" s="1"/>
      <c r="D74" s="1"/>
      <c r="E74" s="1"/>
      <c r="F74" s="1"/>
      <c r="G74" s="1"/>
      <c r="H74" s="1"/>
      <c r="I74" s="1"/>
      <c r="J74" s="8">
        <f>J72-J73</f>
        <v>1025</v>
      </c>
      <c r="K74" s="1"/>
    </row>
    <row r="75">
      <c r="A75" s="1"/>
      <c r="B75" s="33" t="s">
        <v>599</v>
      </c>
      <c r="C75" s="15"/>
      <c r="D75" s="15"/>
      <c r="E75" s="15"/>
      <c r="F75" s="15"/>
      <c r="G75" s="15"/>
      <c r="H75" s="15"/>
      <c r="I75" s="15"/>
      <c r="J75" s="53">
        <f>J72-J71</f>
        <v>203</v>
      </c>
      <c r="K75" s="1" t="s">
        <v>600</v>
      </c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1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601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61</v>
      </c>
      <c r="C5" s="16" t="s">
        <v>62</v>
      </c>
      <c r="D5" s="16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6" t="s">
        <v>68</v>
      </c>
      <c r="J5" s="43" t="s">
        <v>69</v>
      </c>
      <c r="K5" s="9" t="s">
        <v>4</v>
      </c>
    </row>
    <row r="6">
      <c r="A6" s="1"/>
      <c r="B6" s="6" t="s">
        <v>70</v>
      </c>
      <c r="C6" s="14">
        <v>45745</v>
      </c>
      <c r="D6" s="14">
        <v>45836</v>
      </c>
      <c r="E6" s="14">
        <v>45927</v>
      </c>
      <c r="F6" s="14">
        <v>46022</v>
      </c>
      <c r="G6" s="14">
        <v>46022</v>
      </c>
      <c r="H6" s="14">
        <v>46109</v>
      </c>
      <c r="I6" s="14">
        <v>46200</v>
      </c>
      <c r="J6" s="45">
        <v>46291</v>
      </c>
      <c r="K6" s="6" t="s">
        <v>71</v>
      </c>
    </row>
    <row r="7">
      <c r="A7" s="1"/>
      <c r="B7" s="28" t="s">
        <v>72</v>
      </c>
      <c r="C7" s="22">
        <v>88</v>
      </c>
      <c r="D7" s="11">
        <f>D6-C6</f>
        <v>91</v>
      </c>
      <c r="E7" s="11">
        <f>E6-D6</f>
        <v>91</v>
      </c>
      <c r="F7" s="11">
        <f>F6-E6</f>
        <v>95</v>
      </c>
      <c r="G7" s="22">
        <v>365</v>
      </c>
      <c r="H7" s="11">
        <f>H6-F6</f>
        <v>87</v>
      </c>
      <c r="I7" s="11">
        <f>I6-H6</f>
        <v>91</v>
      </c>
      <c r="J7" s="36">
        <f>J6-I6</f>
        <v>91</v>
      </c>
      <c r="K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602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81" t="s">
        <v>603</v>
      </c>
      <c r="C10" s="1"/>
      <c r="D10" s="1"/>
      <c r="E10" s="1"/>
      <c r="F10" s="1"/>
      <c r="G10" s="1"/>
      <c r="H10" s="1"/>
      <c r="I10" s="1"/>
      <c r="J10" s="68"/>
      <c r="K10" s="1"/>
    </row>
    <row r="11">
      <c r="A11" s="1"/>
      <c r="B11" s="1" t="s">
        <v>604</v>
      </c>
      <c r="C11" s="3">
        <f>C78</f>
        <v>1511</v>
      </c>
      <c r="D11" s="3">
        <f>D78-C78</f>
        <v>1619</v>
      </c>
      <c r="E11" s="3">
        <f>E78-D78</f>
        <v>1621</v>
      </c>
      <c r="F11" s="3">
        <f>F78-E78</f>
        <v>1970</v>
      </c>
      <c r="G11" s="3">
        <f>SUM(C11:F11)</f>
        <v>6721</v>
      </c>
      <c r="H11" s="3">
        <f>H78</f>
        <v>1656</v>
      </c>
      <c r="I11" s="3">
        <f>I78-H78</f>
        <v>1741</v>
      </c>
      <c r="J11" s="50">
        <f>'Income Statement'!J65</f>
        <v>2038.575046032557</v>
      </c>
      <c r="K11" s="1" t="s">
        <v>605</v>
      </c>
    </row>
    <row r="12">
      <c r="A12" s="1"/>
      <c r="B12" s="1" t="s">
        <v>606</v>
      </c>
      <c r="C12" s="3">
        <f>C79</f>
        <v>706</v>
      </c>
      <c r="D12" s="3">
        <f>D79-C79</f>
        <v>685</v>
      </c>
      <c r="E12" s="3">
        <f>E79-D79</f>
        <v>662</v>
      </c>
      <c r="F12" s="3">
        <f>F79-E79</f>
        <v>727</v>
      </c>
      <c r="G12" s="3">
        <f>SUM(C12:F12)</f>
        <v>2780</v>
      </c>
      <c r="H12" s="3">
        <f>H79</f>
        <v>736</v>
      </c>
      <c r="I12" s="3">
        <f>I79-H79</f>
        <v>816</v>
      </c>
      <c r="J12" s="50">
        <f>J70+'Income Statement'!J26</f>
        <v>815</v>
      </c>
      <c r="K12" s="1"/>
    </row>
    <row r="13">
      <c r="A13" s="1"/>
      <c r="B13" s="1" t="s">
        <v>607</v>
      </c>
      <c r="C13" s="3">
        <f>C80</f>
        <v>-279</v>
      </c>
      <c r="D13" s="3">
        <f>D80-C80</f>
        <v>-322</v>
      </c>
      <c r="E13" s="3">
        <f>E80-D80</f>
        <v>-127</v>
      </c>
      <c r="F13" s="3">
        <f>F80-E80</f>
        <v>89</v>
      </c>
      <c r="G13" s="3">
        <f>SUM(C13:F13)</f>
        <v>-639</v>
      </c>
      <c r="H13" s="3">
        <f>H80</f>
        <v>-258</v>
      </c>
      <c r="I13" s="3">
        <f>I80-H80</f>
        <v>-208</v>
      </c>
      <c r="J13" s="8">
        <f>J71</f>
        <v>-200</v>
      </c>
      <c r="K13" s="1" t="s">
        <v>608</v>
      </c>
    </row>
    <row r="14">
      <c r="A14" s="1"/>
      <c r="B14" s="1" t="s">
        <v>609</v>
      </c>
      <c r="C14" s="3">
        <f>C81</f>
        <v>210</v>
      </c>
      <c r="D14" s="3">
        <f>D81-C81</f>
        <v>144</v>
      </c>
      <c r="E14" s="3">
        <f>E81-D81</f>
        <v>186</v>
      </c>
      <c r="F14" s="3">
        <f>F81-E81</f>
        <v>225</v>
      </c>
      <c r="G14" s="3">
        <f>SUM(C14:F14)</f>
        <v>765</v>
      </c>
      <c r="H14" s="3">
        <f>H81</f>
        <v>171</v>
      </c>
      <c r="I14" s="3">
        <f>I81-H81</f>
        <v>199</v>
      </c>
      <c r="J14" s="8">
        <f>J72</f>
        <v>180</v>
      </c>
      <c r="K14" s="1" t="s">
        <v>610</v>
      </c>
    </row>
    <row r="15">
      <c r="A15" s="1"/>
      <c r="B15" s="1" t="s">
        <v>611</v>
      </c>
      <c r="C15" s="3">
        <f>C82</f>
        <v>0</v>
      </c>
      <c r="D15" s="3">
        <f>D82-C82</f>
        <v>0</v>
      </c>
      <c r="E15" s="3">
        <f>E82-D82</f>
        <v>0</v>
      </c>
      <c r="F15" s="3">
        <f>F82-E82</f>
        <v>0</v>
      </c>
      <c r="G15" s="3">
        <f>SUM(C15:F15)</f>
        <v>0</v>
      </c>
      <c r="H15" s="3">
        <f>H82</f>
        <v>0</v>
      </c>
      <c r="I15" s="3">
        <f>I82-H82</f>
        <v>0</v>
      </c>
      <c r="J15" s="50">
        <f>'Income Statement'!J36</f>
        <v>-203</v>
      </c>
      <c r="K15" s="1" t="s">
        <v>612</v>
      </c>
    </row>
    <row r="16">
      <c r="A16" s="1"/>
      <c r="B16" s="1" t="s">
        <v>613</v>
      </c>
      <c r="C16" s="3">
        <f>C83</f>
        <v>-1425</v>
      </c>
      <c r="D16" s="3">
        <f>D83-C83</f>
        <v>-726</v>
      </c>
      <c r="E16" s="3">
        <f>E83-D83</f>
        <v>-104</v>
      </c>
      <c r="F16" s="3">
        <f>F83-E83</f>
        <v>447</v>
      </c>
      <c r="G16" s="3">
        <f>SUM(C16:F16)</f>
        <v>-1808</v>
      </c>
      <c r="H16" s="3">
        <f>H83</f>
        <v>-1112</v>
      </c>
      <c r="I16" s="3">
        <f>I83-H83</f>
        <v>-425</v>
      </c>
      <c r="J16" s="50">
        <f>-('Balance Sheet'!J12-'Balance Sheet'!I12)-('Balance Sheet'!J13-'Balance Sheet'!I13)+'Balance Sheet'!J65</f>
        <v>-14.103050908342084</v>
      </c>
      <c r="K16" s="1" t="s">
        <v>614</v>
      </c>
    </row>
    <row r="17">
      <c r="A17" s="1"/>
      <c r="B17" s="33" t="s">
        <v>615</v>
      </c>
      <c r="C17" s="55">
        <f>C11+C12+C13+C14+C15+C16</f>
        <v>723</v>
      </c>
      <c r="D17" s="55">
        <f>D11+D12+D13+D14+D15+D16</f>
        <v>1400</v>
      </c>
      <c r="E17" s="55">
        <f>E11+E12+E13+E14+E15+E16</f>
        <v>2238</v>
      </c>
      <c r="F17" s="55">
        <f>F11+F12+F13+F14+F15+F16</f>
        <v>3458</v>
      </c>
      <c r="G17" s="55">
        <f>G11+G12+G13+G14+G15+G16</f>
        <v>7819</v>
      </c>
      <c r="H17" s="55">
        <f>H11+H12+H13+H14+H15+H16</f>
        <v>1193</v>
      </c>
      <c r="I17" s="55">
        <f>I11+I12+I13+I14+I15+I16</f>
        <v>2123</v>
      </c>
      <c r="J17" s="53">
        <f>J11+J12+J13+J14+J15+J16</f>
        <v>2616.471995124215</v>
      </c>
      <c r="K17" s="1" t="s">
        <v>616</v>
      </c>
    </row>
    <row r="18">
      <c r="A18" s="1"/>
      <c r="B18" s="81" t="s">
        <v>617</v>
      </c>
      <c r="C18" s="1"/>
      <c r="D18" s="1"/>
      <c r="E18" s="1"/>
      <c r="F18" s="1"/>
      <c r="G18" s="1"/>
      <c r="H18" s="1"/>
      <c r="I18" s="1"/>
      <c r="J18" s="68"/>
      <c r="K18" s="1"/>
    </row>
    <row r="19">
      <c r="A19" s="1"/>
      <c r="B19" s="1" t="s">
        <v>618</v>
      </c>
      <c r="C19" s="3">
        <f>C86</f>
        <v>-362</v>
      </c>
      <c r="D19" s="3">
        <f>D86-C86</f>
        <v>-294</v>
      </c>
      <c r="E19" s="3">
        <f>E86-D86</f>
        <v>-404</v>
      </c>
      <c r="F19" s="3">
        <f>F86-E86</f>
        <v>-465</v>
      </c>
      <c r="G19" s="3">
        <f>SUM(C19:F19)</f>
        <v>-1525</v>
      </c>
      <c r="H19" s="3">
        <f>H86</f>
        <v>-376</v>
      </c>
      <c r="I19" s="3">
        <f>I86-H86</f>
        <v>-450</v>
      </c>
      <c r="J19" s="8">
        <f>J73</f>
        <v>-550</v>
      </c>
      <c r="K19" s="1" t="s">
        <v>619</v>
      </c>
    </row>
    <row r="20">
      <c r="A20" s="1"/>
      <c r="B20" s="1" t="s">
        <v>620</v>
      </c>
      <c r="C20" s="3">
        <f>C87</f>
        <v>12</v>
      </c>
      <c r="D20" s="3">
        <f>D87-C87</f>
        <v>1</v>
      </c>
      <c r="E20" s="3">
        <f>E87-D87</f>
        <v>4</v>
      </c>
      <c r="F20" s="3">
        <f>F87-E87</f>
        <v>27</v>
      </c>
      <c r="G20" s="3">
        <f>SUM(C20:F20)</f>
        <v>44</v>
      </c>
      <c r="H20" s="3">
        <f>H87</f>
        <v>9</v>
      </c>
      <c r="I20" s="3">
        <f>I87-H87</f>
        <v>4</v>
      </c>
      <c r="J20" s="57">
        <v>0</v>
      </c>
      <c r="K20" s="1" t="s">
        <v>621</v>
      </c>
    </row>
    <row r="21">
      <c r="A21" s="1"/>
      <c r="B21" s="1" t="s">
        <v>622</v>
      </c>
      <c r="C21" s="3">
        <f>C88</f>
        <v>87</v>
      </c>
      <c r="D21" s="3">
        <f>D88-C88</f>
        <v>47</v>
      </c>
      <c r="E21" s="3">
        <f>E88-D88</f>
        <v>84</v>
      </c>
      <c r="F21" s="3">
        <f>F88-E88</f>
        <v>50</v>
      </c>
      <c r="G21" s="3">
        <f>SUM(C21:F21)</f>
        <v>268</v>
      </c>
      <c r="H21" s="3">
        <f>H88</f>
        <v>96</v>
      </c>
      <c r="I21" s="3">
        <f>I88-H88</f>
        <v>91</v>
      </c>
      <c r="J21" s="57">
        <v>0</v>
      </c>
      <c r="K21" s="1" t="s">
        <v>623</v>
      </c>
    </row>
    <row r="22">
      <c r="A22" s="1"/>
      <c r="B22" s="1" t="s">
        <v>624</v>
      </c>
      <c r="C22" s="3">
        <f>C89</f>
        <v>0</v>
      </c>
      <c r="D22" s="3">
        <f>D89-C89</f>
        <v>0</v>
      </c>
      <c r="E22" s="3">
        <f>E89-D89</f>
        <v>-4037</v>
      </c>
      <c r="F22" s="3">
        <f>F89-E89</f>
        <v>0</v>
      </c>
      <c r="G22" s="3">
        <f>SUM(C22:F22)</f>
        <v>-4037</v>
      </c>
      <c r="H22" s="3">
        <f>H89</f>
        <v>-8872</v>
      </c>
      <c r="I22" s="3">
        <f>I89-H89</f>
        <v>0</v>
      </c>
      <c r="J22" s="57">
        <v>0</v>
      </c>
      <c r="K22" s="1" t="s">
        <v>625</v>
      </c>
    </row>
    <row r="23">
      <c r="A23" s="1"/>
      <c r="B23" s="1" t="s">
        <v>626</v>
      </c>
      <c r="C23" s="3">
        <f>C90</f>
        <v>0</v>
      </c>
      <c r="D23" s="3">
        <f>D90-C90</f>
        <v>0</v>
      </c>
      <c r="E23" s="3">
        <f>E90-D90</f>
        <v>0</v>
      </c>
      <c r="F23" s="3">
        <f>F90-E90</f>
        <v>0</v>
      </c>
      <c r="G23" s="3">
        <f>SUM(C23:F23)</f>
        <v>0</v>
      </c>
      <c r="H23" s="3">
        <f>H90</f>
        <v>0</v>
      </c>
      <c r="I23" s="3">
        <f>I90-H90</f>
        <v>0</v>
      </c>
      <c r="J23" s="50">
        <f>'Balance Sheet'!J74</f>
        <v>1025</v>
      </c>
      <c r="K23" s="1" t="s">
        <v>627</v>
      </c>
    </row>
    <row r="24">
      <c r="A24" s="1"/>
      <c r="B24" s="1" t="s">
        <v>628</v>
      </c>
      <c r="C24" s="3">
        <f>C91</f>
        <v>-264</v>
      </c>
      <c r="D24" s="3">
        <f>D91-C91</f>
        <v>-47</v>
      </c>
      <c r="E24" s="3">
        <f>E91-D91</f>
        <v>-40</v>
      </c>
      <c r="F24" s="3">
        <f>F91-E91</f>
        <v>-32</v>
      </c>
      <c r="G24" s="3">
        <f>SUM(C24:F24)</f>
        <v>-383</v>
      </c>
      <c r="H24" s="3">
        <f>H91</f>
        <v>-14</v>
      </c>
      <c r="I24" s="3">
        <f>I91-H91</f>
        <v>-21</v>
      </c>
      <c r="J24" s="57">
        <v>0</v>
      </c>
      <c r="K24" s="1" t="s">
        <v>629</v>
      </c>
    </row>
    <row r="25">
      <c r="A25" s="1"/>
      <c r="B25" s="1" t="s">
        <v>630</v>
      </c>
      <c r="C25" s="3">
        <f>C92</f>
        <v>2</v>
      </c>
      <c r="D25" s="3">
        <f>D92-C92</f>
        <v>4</v>
      </c>
      <c r="E25" s="3">
        <f>E92-D92</f>
        <v>248</v>
      </c>
      <c r="F25" s="3">
        <f>F92-E92</f>
        <v>1311</v>
      </c>
      <c r="G25" s="3">
        <f>SUM(C25:F25)</f>
        <v>1565</v>
      </c>
      <c r="H25" s="3">
        <f>H92</f>
        <v>250</v>
      </c>
      <c r="I25" s="3">
        <f>I92-H92</f>
        <v>3</v>
      </c>
      <c r="J25" s="57">
        <v>0</v>
      </c>
      <c r="K25" s="1" t="s">
        <v>631</v>
      </c>
    </row>
    <row r="26">
      <c r="A26" s="1"/>
      <c r="B26" s="1" t="s">
        <v>632</v>
      </c>
      <c r="C26" s="3">
        <f>C93</f>
        <v>0</v>
      </c>
      <c r="D26" s="3">
        <f>D93-C93</f>
        <v>0</v>
      </c>
      <c r="E26" s="3">
        <f>E93-D93</f>
        <v>0</v>
      </c>
      <c r="F26" s="3">
        <f>F93-E93</f>
        <v>0</v>
      </c>
      <c r="G26" s="3">
        <f>SUM(C26:F26)</f>
        <v>0</v>
      </c>
      <c r="H26" s="3">
        <f>H93</f>
        <v>0</v>
      </c>
      <c r="I26" s="3">
        <f>I93-H93</f>
        <v>481</v>
      </c>
      <c r="J26" s="57">
        <v>0</v>
      </c>
      <c r="K26" s="1" t="s">
        <v>633</v>
      </c>
    </row>
    <row r="27">
      <c r="A27" s="1"/>
      <c r="B27" s="1" t="s">
        <v>634</v>
      </c>
      <c r="C27" s="3">
        <f>C94</f>
        <v>-1</v>
      </c>
      <c r="D27" s="3">
        <f>D94-C94</f>
        <v>1</v>
      </c>
      <c r="E27" s="3">
        <f>E94-D94</f>
        <v>20</v>
      </c>
      <c r="F27" s="3">
        <f>F94-E94</f>
        <v>1</v>
      </c>
      <c r="G27" s="3">
        <f>SUM(C27:F27)</f>
        <v>21</v>
      </c>
      <c r="H27" s="3">
        <f>H94</f>
        <v>-55</v>
      </c>
      <c r="I27" s="3">
        <f>I94-H94</f>
        <v>56</v>
      </c>
      <c r="J27" s="57">
        <v>0</v>
      </c>
      <c r="K27" s="1" t="s">
        <v>635</v>
      </c>
    </row>
    <row r="28">
      <c r="A28" s="1"/>
      <c r="B28" s="33" t="s">
        <v>636</v>
      </c>
      <c r="C28" s="55">
        <f>C19+C20+C21+C22+C23+C24+C25+C26+C27</f>
        <v>-526</v>
      </c>
      <c r="D28" s="55">
        <f>D19+D20+D21+D22+D23+D24+D25+D26+D27</f>
        <v>-288</v>
      </c>
      <c r="E28" s="55">
        <f>E19+E20+E21+E22+E23+E24+E25+E26+E27</f>
        <v>-4125</v>
      </c>
      <c r="F28" s="55">
        <f>F19+F20+F21+F22+F23+F24+F25+F26+F27</f>
        <v>892</v>
      </c>
      <c r="G28" s="55">
        <f>G19+G20+G21+G22+G23+G24+G25+G26+G27</f>
        <v>-4047</v>
      </c>
      <c r="H28" s="55">
        <f>H19+H20+H21+H22+H23+H24+H25+H26+H27</f>
        <v>-8962</v>
      </c>
      <c r="I28" s="55">
        <f>I19+I20+I21+I22+I23+I24+I25+I26+I27</f>
        <v>164</v>
      </c>
      <c r="J28" s="53">
        <f>J19+J20+J21+J22+J23+J24+J25+J26+J27</f>
        <v>475</v>
      </c>
      <c r="K28" s="1" t="s">
        <v>637</v>
      </c>
    </row>
    <row r="29">
      <c r="A29" s="1"/>
      <c r="B29" s="81" t="s">
        <v>638</v>
      </c>
      <c r="C29" s="1"/>
      <c r="D29" s="1"/>
      <c r="E29" s="1"/>
      <c r="F29" s="1"/>
      <c r="G29" s="1"/>
      <c r="H29" s="1"/>
      <c r="I29" s="1"/>
      <c r="J29" s="68"/>
      <c r="K29" s="1"/>
    </row>
    <row r="30">
      <c r="A30" s="1"/>
      <c r="B30" s="1" t="s">
        <v>639</v>
      </c>
      <c r="C30" s="3">
        <f>C97</f>
        <v>2840</v>
      </c>
      <c r="D30" s="3">
        <f>D97-C97</f>
        <v>0</v>
      </c>
      <c r="E30" s="3">
        <f>E97-D97</f>
        <v>0</v>
      </c>
      <c r="F30" s="3">
        <f>F97-E97</f>
        <v>4919</v>
      </c>
      <c r="G30" s="3">
        <f>SUM(C30:F30)</f>
        <v>7759</v>
      </c>
      <c r="H30" s="3">
        <f>H97</f>
        <v>5238</v>
      </c>
      <c r="I30" s="3">
        <f>I97-H97</f>
        <v>0</v>
      </c>
      <c r="J30" s="57">
        <v>0</v>
      </c>
      <c r="K30" s="1" t="s">
        <v>640</v>
      </c>
    </row>
    <row r="31">
      <c r="A31" s="1"/>
      <c r="B31" s="1" t="s">
        <v>641</v>
      </c>
      <c r="C31" s="3">
        <f>C98</f>
        <v>-838</v>
      </c>
      <c r="D31" s="3">
        <f>D98-C98</f>
        <v>-787</v>
      </c>
      <c r="E31" s="3">
        <f>E98-D98</f>
        <v>0</v>
      </c>
      <c r="F31" s="3">
        <f>F98-E98</f>
        <v>-787</v>
      </c>
      <c r="G31" s="3">
        <f>SUM(C31:F31)</f>
        <v>-2412</v>
      </c>
      <c r="H31" s="3">
        <f>H98</f>
        <v>-1412</v>
      </c>
      <c r="I31" s="3">
        <f>I98-H98</f>
        <v>0</v>
      </c>
      <c r="J31" s="57">
        <v>0</v>
      </c>
      <c r="K31" s="1" t="s">
        <v>642</v>
      </c>
    </row>
    <row r="32">
      <c r="A32" s="1"/>
      <c r="B32" s="1" t="s">
        <v>643</v>
      </c>
      <c r="C32" s="3">
        <f>C99</f>
        <v>0</v>
      </c>
      <c r="D32" s="3">
        <f>D99-C99</f>
        <v>0</v>
      </c>
      <c r="E32" s="3">
        <f>E99-D99</f>
        <v>1095</v>
      </c>
      <c r="F32" s="3">
        <f>F99-E99</f>
        <v>0</v>
      </c>
      <c r="G32" s="3">
        <f>SUM(C32:F32)</f>
        <v>1095</v>
      </c>
      <c r="H32" s="3">
        <f>H99</f>
        <v>389</v>
      </c>
      <c r="I32" s="3">
        <f>I99-H99</f>
        <v>0</v>
      </c>
      <c r="J32" s="57">
        <v>0</v>
      </c>
      <c r="K32" s="1" t="s">
        <v>644</v>
      </c>
    </row>
    <row r="33">
      <c r="A33" s="1"/>
      <c r="B33" s="1" t="s">
        <v>645</v>
      </c>
      <c r="C33" s="3">
        <f>C100</f>
        <v>0</v>
      </c>
      <c r="D33" s="3">
        <f>D100-C100</f>
        <v>0</v>
      </c>
      <c r="E33" s="3">
        <f>E100-D100</f>
        <v>-597</v>
      </c>
      <c r="F33" s="3">
        <f>F100-E100</f>
        <v>-498</v>
      </c>
      <c r="G33" s="3">
        <f>SUM(C33:F33)</f>
        <v>-1095</v>
      </c>
      <c r="H33" s="3">
        <f>H100</f>
        <v>0</v>
      </c>
      <c r="I33" s="3">
        <f>I100-H100</f>
        <v>-389</v>
      </c>
      <c r="J33" s="57">
        <v>0</v>
      </c>
      <c r="K33" s="1" t="s">
        <v>629</v>
      </c>
    </row>
    <row r="34">
      <c r="A34" s="1"/>
      <c r="B34" s="1" t="s">
        <v>646</v>
      </c>
      <c r="C34" s="3">
        <f>C101</f>
        <v>-2000</v>
      </c>
      <c r="D34" s="3">
        <f>D101-C101</f>
        <v>0</v>
      </c>
      <c r="E34" s="3">
        <f>E101-D101</f>
        <v>-963</v>
      </c>
      <c r="F34" s="3">
        <f>F101-E101</f>
        <v>-37</v>
      </c>
      <c r="G34" s="3">
        <f>SUM(C34:F34)</f>
        <v>-3000</v>
      </c>
      <c r="H34" s="3">
        <f>H101</f>
        <v>-3000</v>
      </c>
      <c r="I34" s="3">
        <f>I101-H101</f>
        <v>-1000</v>
      </c>
      <c r="J34" s="50">
        <f>-'Share Count'!J36</f>
        <v>0</v>
      </c>
      <c r="K34" s="1" t="s">
        <v>647</v>
      </c>
    </row>
    <row r="35">
      <c r="A35" s="1"/>
      <c r="B35" s="1" t="s">
        <v>648</v>
      </c>
      <c r="C35" s="3">
        <f>C102</f>
        <v>-149</v>
      </c>
      <c r="D35" s="3">
        <f>D102-C102</f>
        <v>-162</v>
      </c>
      <c r="E35" s="3">
        <f>E102-D102</f>
        <v>-163</v>
      </c>
      <c r="F35" s="3">
        <f>F102-E102</f>
        <v>-162</v>
      </c>
      <c r="G35" s="3">
        <f>SUM(C35:F35)</f>
        <v>-636</v>
      </c>
      <c r="H35" s="3">
        <f>H102</f>
        <v>-162</v>
      </c>
      <c r="I35" s="3">
        <f>I102-H102</f>
        <v>-175</v>
      </c>
      <c r="J35" s="50">
        <f>-'Share Count'!J37*'Share Count'!J10</f>
        <v>-173.87522441999997</v>
      </c>
      <c r="K35" s="1"/>
    </row>
    <row r="36">
      <c r="A36" s="1"/>
      <c r="B36" s="1" t="s">
        <v>649</v>
      </c>
      <c r="C36" s="3">
        <f>C103</f>
        <v>45</v>
      </c>
      <c r="D36" s="3">
        <f>D103-C103</f>
        <v>-42</v>
      </c>
      <c r="E36" s="3">
        <f>E103-D103</f>
        <v>-4</v>
      </c>
      <c r="F36" s="3">
        <f>F103-E103</f>
        <v>91</v>
      </c>
      <c r="G36" s="3">
        <f>SUM(C36:F36)</f>
        <v>90</v>
      </c>
      <c r="H36" s="3">
        <f>H103</f>
        <v>39</v>
      </c>
      <c r="I36" s="3">
        <f>I103-H103</f>
        <v>-6</v>
      </c>
      <c r="J36" s="57">
        <v>0</v>
      </c>
      <c r="K36" s="1" t="s">
        <v>650</v>
      </c>
    </row>
    <row r="37">
      <c r="A37" s="1"/>
      <c r="B37" s="33" t="s">
        <v>651</v>
      </c>
      <c r="C37" s="55">
        <f>C30+C31+C32+C33+C34+C35+C36</f>
        <v>-102</v>
      </c>
      <c r="D37" s="55">
        <f>D30+D31+D32+D33+D34+D35+D36</f>
        <v>-991</v>
      </c>
      <c r="E37" s="55">
        <f>E30+E31+E32+E33+E34+E35+E36</f>
        <v>-632</v>
      </c>
      <c r="F37" s="55">
        <f>F30+F31+F32+F33+F34+F35+F36</f>
        <v>3526</v>
      </c>
      <c r="G37" s="55">
        <f>G30+G31+G32+G33+G34+G35+G36</f>
        <v>1801</v>
      </c>
      <c r="H37" s="55">
        <f>H30+H31+H32+H33+H34+H35+H36</f>
        <v>1092</v>
      </c>
      <c r="I37" s="55">
        <f>I30+I31+I32+I33+I34+I35+I36</f>
        <v>-1570</v>
      </c>
      <c r="J37" s="53">
        <f>J30+J31+J32+J33+J34+J35+J36</f>
        <v>-173.87522441999997</v>
      </c>
      <c r="K37" s="1" t="s">
        <v>652</v>
      </c>
    </row>
    <row r="38">
      <c r="A38" s="1"/>
      <c r="B38" s="1" t="s">
        <v>653</v>
      </c>
      <c r="C38" s="3">
        <f>C105</f>
        <v>37</v>
      </c>
      <c r="D38" s="3">
        <f>D105-C105</f>
        <v>311</v>
      </c>
      <c r="E38" s="3">
        <f>E105-D105</f>
        <v>-75</v>
      </c>
      <c r="F38" s="3">
        <f>F105-E105</f>
        <v>-6</v>
      </c>
      <c r="G38" s="3">
        <f>SUM(C38:F38)</f>
        <v>267</v>
      </c>
      <c r="H38" s="3">
        <f>H105</f>
        <v>78</v>
      </c>
      <c r="I38" s="3">
        <f>I105-H105</f>
        <v>98</v>
      </c>
      <c r="J38" s="57">
        <v>0</v>
      </c>
      <c r="K38" s="1" t="s">
        <v>654</v>
      </c>
    </row>
    <row r="39">
      <c r="A39" s="1"/>
      <c r="B39" s="33" t="s">
        <v>655</v>
      </c>
      <c r="C39" s="55">
        <f>C17+C28+C37+C38</f>
        <v>132</v>
      </c>
      <c r="D39" s="55">
        <f>D17+D28+D37+D38</f>
        <v>432</v>
      </c>
      <c r="E39" s="55">
        <f>E17+E28+E37+E38</f>
        <v>-2594</v>
      </c>
      <c r="F39" s="55">
        <f>F17+F28+F37+F38</f>
        <v>7870</v>
      </c>
      <c r="G39" s="55">
        <f>G17+G28+G37+G38</f>
        <v>5840</v>
      </c>
      <c r="H39" s="55">
        <f>H17+H28+H37+H38</f>
        <v>-6599</v>
      </c>
      <c r="I39" s="55">
        <f>I17+I28+I37+I38</f>
        <v>815</v>
      </c>
      <c r="J39" s="53">
        <f>J17+J28+J37+J38</f>
        <v>2917.596770704215</v>
      </c>
      <c r="K39" s="1" t="s">
        <v>656</v>
      </c>
    </row>
    <row r="40">
      <c r="A40" s="1"/>
      <c r="B40" s="1" t="s">
        <v>657</v>
      </c>
      <c r="C40" s="3">
        <f>C107</f>
        <v>4040</v>
      </c>
      <c r="D40" s="3">
        <f>C41</f>
        <v>4172</v>
      </c>
      <c r="E40" s="3">
        <f>D41</f>
        <v>4604</v>
      </c>
      <c r="F40" s="3">
        <f>E41</f>
        <v>2010</v>
      </c>
      <c r="G40" s="3">
        <f>C40</f>
        <v>4040</v>
      </c>
      <c r="H40" s="3">
        <f>F41</f>
        <v>9880</v>
      </c>
      <c r="I40" s="3">
        <f>H41</f>
        <v>3281</v>
      </c>
      <c r="J40" s="50">
        <f>'Balance Sheet'!I10+'Balance Sheet'!I52</f>
        <v>4097</v>
      </c>
      <c r="K40" s="1" t="s">
        <v>658</v>
      </c>
    </row>
    <row r="41">
      <c r="A41" s="1"/>
      <c r="B41" s="33" t="s">
        <v>659</v>
      </c>
      <c r="C41" s="55">
        <f>C40+C39</f>
        <v>4172</v>
      </c>
      <c r="D41" s="55">
        <f>D40+D39</f>
        <v>4604</v>
      </c>
      <c r="E41" s="55">
        <f>E40+E39</f>
        <v>2010</v>
      </c>
      <c r="F41" s="55">
        <f>F40+F39</f>
        <v>9880</v>
      </c>
      <c r="G41" s="55">
        <f>G40+G39</f>
        <v>9880</v>
      </c>
      <c r="H41" s="55">
        <f>H40+H39</f>
        <v>3281</v>
      </c>
      <c r="I41" s="55">
        <f>I40+I39</f>
        <v>4096</v>
      </c>
      <c r="J41" s="53">
        <f>J40+J39</f>
        <v>7014.596770704215</v>
      </c>
      <c r="K41" s="1" t="s">
        <v>660</v>
      </c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>
      <c r="A43" s="1"/>
      <c r="B43" s="33" t="s">
        <v>661</v>
      </c>
      <c r="C43" s="55">
        <f>C17+C19+C20</f>
        <v>373</v>
      </c>
      <c r="D43" s="55">
        <f>D17+D19+D20</f>
        <v>1107</v>
      </c>
      <c r="E43" s="55">
        <f>E17+E19+E20</f>
        <v>1838</v>
      </c>
      <c r="F43" s="55">
        <f>F17+F19+F20</f>
        <v>3020</v>
      </c>
      <c r="G43" s="55">
        <f>G17+G19+G20</f>
        <v>6338</v>
      </c>
      <c r="H43" s="55">
        <f>H17+H19+H20</f>
        <v>826</v>
      </c>
      <c r="I43" s="55">
        <f>I17+I19+I20</f>
        <v>1677</v>
      </c>
      <c r="J43" s="53">
        <f>J17+J19+J20</f>
        <v>2066.471995124215</v>
      </c>
      <c r="K43" s="1" t="s">
        <v>662</v>
      </c>
    </row>
    <row r="44">
      <c r="A44" s="1"/>
      <c r="B44" s="26" t="s">
        <v>85</v>
      </c>
      <c r="C44" s="58" t="s">
        <v>34</v>
      </c>
      <c r="D44" s="21">
        <f>D43-C43</f>
        <v>734</v>
      </c>
      <c r="E44" s="21">
        <f>E43-D43</f>
        <v>731</v>
      </c>
      <c r="F44" s="21">
        <f>F43-E43</f>
        <v>1182</v>
      </c>
      <c r="G44" s="1"/>
      <c r="H44" s="21">
        <f>H43-F43</f>
        <v>-2194</v>
      </c>
      <c r="I44" s="21">
        <f>I43-H43</f>
        <v>851</v>
      </c>
      <c r="J44" s="60">
        <f>J43-I43</f>
        <v>389.471995124215</v>
      </c>
      <c r="K44" s="1"/>
    </row>
    <row r="45">
      <c r="A45" s="1"/>
      <c r="B45" s="26" t="s">
        <v>75</v>
      </c>
      <c r="C45" s="109" t="s">
        <v>34</v>
      </c>
      <c r="D45" s="109" t="s">
        <v>34</v>
      </c>
      <c r="E45" s="109" t="s">
        <v>34</v>
      </c>
      <c r="F45" s="109" t="s">
        <v>34</v>
      </c>
      <c r="G45" s="109" t="s">
        <v>34</v>
      </c>
      <c r="H45" s="103">
        <f>H43/C43-1</f>
        <v>1.2144772117962468</v>
      </c>
      <c r="I45" s="103">
        <f>I43/D43-1</f>
        <v>0.5149051490514904</v>
      </c>
      <c r="J45" s="108">
        <f>J43/E43-1</f>
        <v>0.12430467634614528</v>
      </c>
      <c r="K45" s="1"/>
    </row>
    <row r="46">
      <c r="A46" s="1"/>
      <c r="B46" s="26" t="s">
        <v>663</v>
      </c>
      <c r="C46" s="106">
        <f>C43/'Income Statement'!C10</f>
        <v>0.035989965264376686</v>
      </c>
      <c r="D46" s="106">
        <f>D43/'Income Statement'!D10</f>
        <v>0.10198065407646247</v>
      </c>
      <c r="E46" s="106">
        <f>E43/'Income Statement'!E10</f>
        <v>0.16525804711382844</v>
      </c>
      <c r="F46" s="106">
        <f>F43/'Income Statement'!F10</f>
        <v>0.2472370036839951</v>
      </c>
      <c r="G46" s="106">
        <f>G43/'Income Statement'!G10</f>
        <v>0.14224795762635783</v>
      </c>
      <c r="H46" s="106">
        <f>H43/'Income Statement'!H10</f>
        <v>0.07505679236710586</v>
      </c>
      <c r="I46" s="106">
        <f>I43/'Income Statement'!I10</f>
        <v>0.13981990995497748</v>
      </c>
      <c r="J46" s="113">
        <f>J43/'Income Statement'!J10</f>
        <v>0.17269735274049283</v>
      </c>
      <c r="K46" s="1"/>
    </row>
    <row r="47">
      <c r="A47" s="1"/>
      <c r="B47" s="26" t="s">
        <v>214</v>
      </c>
      <c r="C47" s="65" t="s">
        <v>34</v>
      </c>
      <c r="D47" s="65" t="s">
        <v>34</v>
      </c>
      <c r="E47" s="65" t="s">
        <v>34</v>
      </c>
      <c r="F47" s="65" t="s">
        <v>34</v>
      </c>
      <c r="G47" s="65" t="s">
        <v>34</v>
      </c>
      <c r="H47" s="70">
        <f>(H46-C46)*10000</f>
        <v>390.6682710272917</v>
      </c>
      <c r="I47" s="70">
        <f>(I46-D46)*10000</f>
        <v>378.39255878515013</v>
      </c>
      <c r="J47" s="69">
        <f>(J46-E46)*10000</f>
        <v>74.39305626664394</v>
      </c>
      <c r="K47" s="1"/>
    </row>
    <row r="48">
      <c r="A48" s="1"/>
      <c r="B48" s="26" t="s">
        <v>215</v>
      </c>
      <c r="C48" s="65" t="s">
        <v>34</v>
      </c>
      <c r="D48" s="70">
        <f>(D46-C46)*10000</f>
        <v>659.9068881208578</v>
      </c>
      <c r="E48" s="70">
        <f>(E46-D46)*10000</f>
        <v>632.7739303736597</v>
      </c>
      <c r="F48" s="70">
        <f>(F46-E46)*10000</f>
        <v>819.7895657016666</v>
      </c>
      <c r="G48" s="1"/>
      <c r="H48" s="70">
        <f>(H46-F46)*10000</f>
        <v>-1721.8021131688924</v>
      </c>
      <c r="I48" s="70">
        <f>(I46-H46)*10000</f>
        <v>647.6311758787162</v>
      </c>
      <c r="J48" s="69">
        <f>(J46-I46)*10000</f>
        <v>328.77442785515353</v>
      </c>
      <c r="K48" s="1"/>
    </row>
    <row r="49">
      <c r="A49" s="1"/>
      <c r="B49" s="26" t="s">
        <v>664</v>
      </c>
      <c r="C49" s="106">
        <f>-C19/'Income Statement'!C10</f>
        <v>0.034928598996526436</v>
      </c>
      <c r="D49" s="106">
        <f>-D19/'Income Statement'!D10</f>
        <v>0.027084292952556425</v>
      </c>
      <c r="E49" s="106">
        <f>-E19/'Income Statement'!E10</f>
        <v>0.03632440208595576</v>
      </c>
      <c r="F49" s="106">
        <f>-F19/'Income Statement'!F10</f>
        <v>0.03806794924273434</v>
      </c>
      <c r="G49" s="106">
        <f>-G19/'Income Statement'!G10</f>
        <v>0.03422659125594757</v>
      </c>
      <c r="H49" s="106">
        <f>-H19/'Income Statement'!H10</f>
        <v>0.03416628805088596</v>
      </c>
      <c r="I49" s="106">
        <f>-I19/'Income Statement'!I10</f>
        <v>0.03751875937968985</v>
      </c>
      <c r="J49" s="113">
        <f>-J19/'Income Statement'!J10</f>
        <v>0.04596410898932198</v>
      </c>
      <c r="K49" s="1"/>
    </row>
    <row r="50">
      <c r="A50" s="1"/>
      <c r="B50" s="26" t="s">
        <v>214</v>
      </c>
      <c r="C50" s="65" t="s">
        <v>34</v>
      </c>
      <c r="D50" s="65" t="s">
        <v>34</v>
      </c>
      <c r="E50" s="65" t="s">
        <v>34</v>
      </c>
      <c r="F50" s="65" t="s">
        <v>34</v>
      </c>
      <c r="G50" s="65" t="s">
        <v>34</v>
      </c>
      <c r="H50" s="70">
        <f>(H49-C49)*10000</f>
        <v>-7.623109456404778</v>
      </c>
      <c r="I50" s="70">
        <f>(I49-D49)*10000</f>
        <v>104.34466427133422</v>
      </c>
      <c r="J50" s="69">
        <f>(J49-E49)*10000</f>
        <v>96.3970690336622</v>
      </c>
      <c r="K50" s="1"/>
    </row>
    <row r="51">
      <c r="A51" s="1"/>
      <c r="B51" s="26" t="s">
        <v>215</v>
      </c>
      <c r="C51" s="65" t="s">
        <v>34</v>
      </c>
      <c r="D51" s="70">
        <f>(D49-C49)*10000</f>
        <v>-78.4430604397001</v>
      </c>
      <c r="E51" s="70">
        <f>(E49-D49)*10000</f>
        <v>92.40109133399336</v>
      </c>
      <c r="F51" s="70">
        <f>(F49-E49)*10000</f>
        <v>17.43547156778581</v>
      </c>
      <c r="G51" s="1"/>
      <c r="H51" s="70">
        <f>(H49-F49)*10000</f>
        <v>-39.016611918483854</v>
      </c>
      <c r="I51" s="70">
        <f>(I49-H49)*10000</f>
        <v>33.524713288038896</v>
      </c>
      <c r="J51" s="69">
        <f>(J49-I49)*10000</f>
        <v>84.45349609632135</v>
      </c>
      <c r="K51" s="1"/>
    </row>
    <row r="52">
      <c r="A52" s="1"/>
      <c r="B52" s="26" t="s">
        <v>665</v>
      </c>
      <c r="C52" s="1"/>
      <c r="D52" s="1"/>
      <c r="E52" s="1"/>
      <c r="F52" s="1"/>
      <c r="G52" s="1"/>
      <c r="H52" s="1"/>
      <c r="I52" s="1"/>
      <c r="J52" s="68"/>
      <c r="K52" s="1" t="s">
        <v>666</v>
      </c>
    </row>
    <row r="53">
      <c r="A53" s="1"/>
      <c r="B53" s="26" t="s">
        <v>85</v>
      </c>
      <c r="C53" s="58" t="s">
        <v>34</v>
      </c>
      <c r="D53" s="21">
        <f>D17-C17</f>
        <v>677</v>
      </c>
      <c r="E53" s="21">
        <f>E17-D17</f>
        <v>838</v>
      </c>
      <c r="F53" s="21">
        <f>F17-E17</f>
        <v>1220</v>
      </c>
      <c r="G53" s="1"/>
      <c r="H53" s="21">
        <f>H17-F17</f>
        <v>-2265</v>
      </c>
      <c r="I53" s="21">
        <f>I17-H17</f>
        <v>930</v>
      </c>
      <c r="J53" s="60">
        <f>J17-I17</f>
        <v>493.471995124215</v>
      </c>
      <c r="K53" s="1"/>
    </row>
    <row r="54">
      <c r="A54" s="1"/>
      <c r="B54" s="26" t="s">
        <v>75</v>
      </c>
      <c r="C54" s="109" t="s">
        <v>34</v>
      </c>
      <c r="D54" s="109" t="s">
        <v>34</v>
      </c>
      <c r="E54" s="109" t="s">
        <v>34</v>
      </c>
      <c r="F54" s="109" t="s">
        <v>34</v>
      </c>
      <c r="G54" s="109" t="s">
        <v>34</v>
      </c>
      <c r="H54" s="103">
        <f>H17/C17-1</f>
        <v>0.6500691562932226</v>
      </c>
      <c r="I54" s="103">
        <f>I17/D17-1</f>
        <v>0.5164285714285715</v>
      </c>
      <c r="J54" s="108">
        <f>J17/E17-1</f>
        <v>0.16911170470250902</v>
      </c>
      <c r="K54" s="1"/>
    </row>
    <row r="55">
      <c r="A55" s="1"/>
      <c r="B55" s="26" t="s">
        <v>667</v>
      </c>
      <c r="C55" s="1"/>
      <c r="D55" s="1"/>
      <c r="E55" s="1"/>
      <c r="F55" s="1"/>
      <c r="G55" s="1"/>
      <c r="H55" s="1"/>
      <c r="I55" s="1"/>
      <c r="J55" s="68"/>
      <c r="K55" s="1" t="s">
        <v>668</v>
      </c>
    </row>
    <row r="56">
      <c r="A56" s="1"/>
      <c r="B56" s="26" t="s">
        <v>85</v>
      </c>
      <c r="C56" s="58" t="s">
        <v>34</v>
      </c>
      <c r="D56" s="21">
        <f>D19-C19</f>
        <v>68</v>
      </c>
      <c r="E56" s="21">
        <f>E19-D19</f>
        <v>-110</v>
      </c>
      <c r="F56" s="21">
        <f>F19-E19</f>
        <v>-61</v>
      </c>
      <c r="G56" s="1"/>
      <c r="H56" s="21">
        <f>H19-F19</f>
        <v>89</v>
      </c>
      <c r="I56" s="21">
        <f>I19-H19</f>
        <v>-74</v>
      </c>
      <c r="J56" s="60">
        <f>J19-I19</f>
        <v>-100</v>
      </c>
      <c r="K56" s="1"/>
    </row>
    <row r="57">
      <c r="A57" s="1"/>
      <c r="B57" s="26" t="s">
        <v>75</v>
      </c>
      <c r="C57" s="109" t="s">
        <v>34</v>
      </c>
      <c r="D57" s="109" t="s">
        <v>34</v>
      </c>
      <c r="E57" s="109" t="s">
        <v>34</v>
      </c>
      <c r="F57" s="109" t="s">
        <v>34</v>
      </c>
      <c r="G57" s="109" t="s">
        <v>34</v>
      </c>
      <c r="H57" s="103">
        <f>H19/C19-1</f>
        <v>0.03867403314917128</v>
      </c>
      <c r="I57" s="103">
        <f>I19/D19-1</f>
        <v>0.5306122448979591</v>
      </c>
      <c r="J57" s="108">
        <f>J19/E19-1</f>
        <v>0.3613861386138615</v>
      </c>
      <c r="K57" s="1"/>
    </row>
    <row r="58">
      <c r="A58" s="1"/>
      <c r="B58" s="26" t="s">
        <v>669</v>
      </c>
      <c r="C58" s="1"/>
      <c r="D58" s="1"/>
      <c r="E58" s="1"/>
      <c r="F58" s="1"/>
      <c r="G58" s="1"/>
      <c r="H58" s="1"/>
      <c r="I58" s="1"/>
      <c r="J58" s="68"/>
      <c r="K58" s="1" t="s">
        <v>670</v>
      </c>
    </row>
    <row r="59">
      <c r="A59" s="1"/>
      <c r="B59" s="26" t="s">
        <v>85</v>
      </c>
      <c r="C59" s="58" t="s">
        <v>34</v>
      </c>
      <c r="D59" s="21">
        <f>D12-C12</f>
        <v>-21</v>
      </c>
      <c r="E59" s="21">
        <f>E12-D12</f>
        <v>-23</v>
      </c>
      <c r="F59" s="21">
        <f>F12-E12</f>
        <v>65</v>
      </c>
      <c r="G59" s="1"/>
      <c r="H59" s="21">
        <f>H12-F12</f>
        <v>9</v>
      </c>
      <c r="I59" s="21">
        <f>I12-H12</f>
        <v>80</v>
      </c>
      <c r="J59" s="60">
        <f>J12-I12</f>
        <v>-1</v>
      </c>
      <c r="K59" s="1"/>
    </row>
    <row r="60">
      <c r="A60" s="1"/>
      <c r="B60" s="26" t="s">
        <v>75</v>
      </c>
      <c r="C60" s="109" t="s">
        <v>34</v>
      </c>
      <c r="D60" s="109" t="s">
        <v>34</v>
      </c>
      <c r="E60" s="109" t="s">
        <v>34</v>
      </c>
      <c r="F60" s="109" t="s">
        <v>34</v>
      </c>
      <c r="G60" s="109" t="s">
        <v>34</v>
      </c>
      <c r="H60" s="103">
        <f>H12/C12-1</f>
        <v>0.04249291784702547</v>
      </c>
      <c r="I60" s="103">
        <f>I12/D12-1</f>
        <v>0.19124087591240868</v>
      </c>
      <c r="J60" s="108">
        <f>J12/E12-1</f>
        <v>0.2311178247734138</v>
      </c>
      <c r="K60" s="1"/>
    </row>
    <row r="61">
      <c r="A61" s="1"/>
      <c r="B61" s="26" t="s">
        <v>671</v>
      </c>
      <c r="C61" s="1"/>
      <c r="D61" s="1"/>
      <c r="E61" s="1"/>
      <c r="F61" s="1"/>
      <c r="G61" s="1"/>
      <c r="H61" s="1"/>
      <c r="I61" s="1"/>
      <c r="J61" s="68"/>
      <c r="K61" s="1" t="s">
        <v>672</v>
      </c>
    </row>
    <row r="62">
      <c r="A62" s="1"/>
      <c r="B62" s="26" t="s">
        <v>85</v>
      </c>
      <c r="C62" s="58" t="s">
        <v>34</v>
      </c>
      <c r="D62" s="21">
        <f>D11-C11</f>
        <v>108</v>
      </c>
      <c r="E62" s="21">
        <f>E11-D11</f>
        <v>2</v>
      </c>
      <c r="F62" s="21">
        <f>F11-E11</f>
        <v>349</v>
      </c>
      <c r="G62" s="1"/>
      <c r="H62" s="21">
        <f>H11-F11</f>
        <v>-314</v>
      </c>
      <c r="I62" s="21">
        <f>I11-H11</f>
        <v>85</v>
      </c>
      <c r="J62" s="60">
        <f>J11-I11</f>
        <v>297.5750460325571</v>
      </c>
      <c r="K62" s="1"/>
    </row>
    <row r="63">
      <c r="A63" s="1"/>
      <c r="B63" s="26" t="s">
        <v>75</v>
      </c>
      <c r="C63" s="109" t="s">
        <v>34</v>
      </c>
      <c r="D63" s="109" t="s">
        <v>34</v>
      </c>
      <c r="E63" s="109" t="s">
        <v>34</v>
      </c>
      <c r="F63" s="109" t="s">
        <v>34</v>
      </c>
      <c r="G63" s="109" t="s">
        <v>34</v>
      </c>
      <c r="H63" s="103">
        <f>H11/C11-1</f>
        <v>0.09596293845135673</v>
      </c>
      <c r="I63" s="103">
        <f>I11/D11-1</f>
        <v>0.07535515750463251</v>
      </c>
      <c r="J63" s="108">
        <f>J11/E11-1</f>
        <v>0.2576033596746188</v>
      </c>
      <c r="K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>
      <c r="A65" s="1"/>
      <c r="B65" s="26" t="s">
        <v>673</v>
      </c>
      <c r="C65" s="66">
        <f>C41-('Balance Sheet'!C10+'Balance Sheet'!C52)</f>
        <v>0</v>
      </c>
      <c r="D65" s="66">
        <f>D41-('Balance Sheet'!D10+'Balance Sheet'!D52)</f>
        <v>1</v>
      </c>
      <c r="E65" s="66">
        <f>E41-('Balance Sheet'!E10+'Balance Sheet'!E52)</f>
        <v>-1</v>
      </c>
      <c r="F65" s="66">
        <f>F41-('Balance Sheet'!F10+'Balance Sheet'!F52)</f>
        <v>1</v>
      </c>
      <c r="G65" s="66">
        <f>G41-('Balance Sheet'!G10+'Balance Sheet'!G52)</f>
        <v>1</v>
      </c>
      <c r="H65" s="66">
        <f>H41-('Balance Sheet'!H10+'Balance Sheet'!H52)</f>
        <v>1</v>
      </c>
      <c r="I65" s="66">
        <f>I41-('Balance Sheet'!I10+'Balance Sheet'!I52)</f>
        <v>-1</v>
      </c>
      <c r="J65" s="78">
        <f>J41-('Balance Sheet'!J10+'Balance Sheet'!J52)</f>
        <v>0</v>
      </c>
      <c r="K65" s="1" t="s">
        <v>674</v>
      </c>
    </row>
    <row r="66">
      <c r="A66" s="1"/>
      <c r="B66" s="1" t="s">
        <v>675</v>
      </c>
      <c r="C66" s="40" t="b">
        <f>ABS(C65)&lt;=3</f>
        <v>1</v>
      </c>
      <c r="D66" s="40" t="b">
        <f>ABS(D65)&lt;=3</f>
        <v>1</v>
      </c>
      <c r="E66" s="40" t="b">
        <f>ABS(E65)&lt;=3</f>
        <v>1</v>
      </c>
      <c r="F66" s="40" t="b">
        <f>ABS(F65)&lt;=3</f>
        <v>1</v>
      </c>
      <c r="G66" s="40" t="b">
        <f>ABS(G65)&lt;=3</f>
        <v>1</v>
      </c>
      <c r="H66" s="40" t="b">
        <f>ABS(H65)&lt;=3</f>
        <v>1</v>
      </c>
      <c r="I66" s="40" t="b">
        <f>ABS(I65)&lt;=3</f>
        <v>1</v>
      </c>
      <c r="J66" s="76" t="b">
        <f>ABS(J65)&lt;=3</f>
        <v>1</v>
      </c>
      <c r="K66" s="1" t="s">
        <v>676</v>
      </c>
    </row>
    <row r="67">
      <c r="A67" s="1"/>
      <c r="B67" s="1" t="s">
        <v>677</v>
      </c>
      <c r="C67" s="52" t="b">
        <f>ABS(C11-'Income Statement'!C65)&lt;=2</f>
        <v>1</v>
      </c>
      <c r="D67" s="52" t="b">
        <f>ABS(D11-'Income Statement'!D65)&lt;=2</f>
        <v>1</v>
      </c>
      <c r="E67" s="52" t="b">
        <f>ABS(E11-'Income Statement'!E65)&lt;=2</f>
        <v>1</v>
      </c>
      <c r="F67" s="52" t="b">
        <f>ABS(F11-'Income Statement'!F65)&lt;=2</f>
        <v>1</v>
      </c>
      <c r="G67" s="52" t="b">
        <f>ABS(G11-'Income Statement'!G65)&lt;=2</f>
        <v>1</v>
      </c>
      <c r="H67" s="52" t="b">
        <f>ABS(H11-'Income Statement'!H65)&lt;=2</f>
        <v>1</v>
      </c>
      <c r="I67" s="52" t="b">
        <f>ABS(I11-'Income Statement'!I65)&lt;=2</f>
        <v>1</v>
      </c>
      <c r="J67" s="85" t="b">
        <f>ABS(J11-'Income Statement'!J65)&lt;=2</f>
        <v>1</v>
      </c>
      <c r="K67" s="1" t="s">
        <v>678</v>
      </c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>
      <c r="A69" s="1"/>
      <c r="B69" s="13" t="s">
        <v>679</v>
      </c>
      <c r="C69" s="1"/>
      <c r="D69" s="1"/>
      <c r="E69" s="1"/>
      <c r="F69" s="1"/>
      <c r="G69" s="1"/>
      <c r="H69" s="1"/>
      <c r="I69" s="1"/>
      <c r="J69" s="1"/>
      <c r="K69" s="1"/>
    </row>
    <row r="70">
      <c r="A70" s="1"/>
      <c r="B70" s="1" t="s">
        <v>680</v>
      </c>
      <c r="C70" s="1"/>
      <c r="D70" s="1"/>
      <c r="E70" s="1"/>
      <c r="F70" s="1"/>
      <c r="G70" s="1"/>
      <c r="H70" s="1"/>
      <c r="I70" s="1"/>
      <c r="J70" s="57">
        <v>335</v>
      </c>
      <c r="K70" s="1" t="s">
        <v>681</v>
      </c>
    </row>
    <row r="71">
      <c r="A71" s="1"/>
      <c r="B71" s="1" t="s">
        <v>682</v>
      </c>
      <c r="C71" s="1"/>
      <c r="D71" s="1"/>
      <c r="E71" s="1"/>
      <c r="F71" s="1"/>
      <c r="G71" s="1"/>
      <c r="H71" s="1"/>
      <c r="I71" s="1"/>
      <c r="J71" s="57">
        <v>-200</v>
      </c>
      <c r="K71" s="1" t="s">
        <v>683</v>
      </c>
    </row>
    <row r="72">
      <c r="A72" s="1"/>
      <c r="B72" s="1" t="s">
        <v>684</v>
      </c>
      <c r="C72" s="1"/>
      <c r="D72" s="1"/>
      <c r="E72" s="1"/>
      <c r="F72" s="1"/>
      <c r="G72" s="1"/>
      <c r="H72" s="1"/>
      <c r="I72" s="1"/>
      <c r="J72" s="57">
        <v>180</v>
      </c>
      <c r="K72" s="1" t="s">
        <v>685</v>
      </c>
    </row>
    <row r="73">
      <c r="A73" s="1"/>
      <c r="B73" s="1" t="s">
        <v>686</v>
      </c>
      <c r="C73" s="1"/>
      <c r="D73" s="1"/>
      <c r="E73" s="1"/>
      <c r="F73" s="1"/>
      <c r="G73" s="1"/>
      <c r="H73" s="1"/>
      <c r="I73" s="1"/>
      <c r="J73" s="57">
        <v>-550</v>
      </c>
      <c r="K73" s="1" t="s">
        <v>687</v>
      </c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>
      <c r="A76" s="1"/>
      <c r="B76" s="13" t="s">
        <v>688</v>
      </c>
      <c r="C76" s="1"/>
      <c r="D76" s="1"/>
      <c r="E76" s="1"/>
      <c r="F76" s="1"/>
      <c r="G76" s="1"/>
      <c r="H76" s="1"/>
      <c r="I76" s="1"/>
      <c r="J76" s="1"/>
      <c r="K76" s="1"/>
    </row>
    <row r="77">
      <c r="A77" s="1"/>
      <c r="B77" s="26" t="s">
        <v>603</v>
      </c>
      <c r="C77" s="1"/>
      <c r="D77" s="1"/>
      <c r="E77" s="1"/>
      <c r="F77" s="1"/>
      <c r="G77" s="1"/>
      <c r="H77" s="1"/>
      <c r="I77" s="1"/>
      <c r="J77" s="68"/>
      <c r="K77" s="1"/>
    </row>
    <row r="78">
      <c r="A78" s="1"/>
      <c r="B78" s="1" t="s">
        <v>604</v>
      </c>
      <c r="C78" s="23">
        <v>1511</v>
      </c>
      <c r="D78" s="23">
        <v>3130</v>
      </c>
      <c r="E78" s="23">
        <v>4751</v>
      </c>
      <c r="F78" s="23">
        <v>6721</v>
      </c>
      <c r="G78" s="3">
        <f>F78</f>
        <v>6721</v>
      </c>
      <c r="H78" s="23">
        <v>1656</v>
      </c>
      <c r="I78" s="23">
        <v>3397</v>
      </c>
      <c r="J78" s="54"/>
      <c r="K78" s="1" t="s">
        <v>689</v>
      </c>
    </row>
    <row r="79">
      <c r="A79" s="1"/>
      <c r="B79" s="1" t="s">
        <v>690</v>
      </c>
      <c r="C79" s="23">
        <v>706</v>
      </c>
      <c r="D79" s="23">
        <v>1391</v>
      </c>
      <c r="E79" s="23">
        <v>2053</v>
      </c>
      <c r="F79" s="23">
        <v>2780</v>
      </c>
      <c r="G79" s="3">
        <f>F79</f>
        <v>2780</v>
      </c>
      <c r="H79" s="23">
        <v>736</v>
      </c>
      <c r="I79" s="23">
        <v>1552</v>
      </c>
      <c r="J79" s="54"/>
      <c r="K79" s="1" t="s">
        <v>691</v>
      </c>
    </row>
    <row r="80">
      <c r="A80" s="1"/>
      <c r="B80" s="1" t="s">
        <v>607</v>
      </c>
      <c r="C80" s="23">
        <v>-279</v>
      </c>
      <c r="D80" s="23">
        <v>-601</v>
      </c>
      <c r="E80" s="23">
        <v>-728</v>
      </c>
      <c r="F80" s="23">
        <v>-639</v>
      </c>
      <c r="G80" s="3">
        <f>F80</f>
        <v>-639</v>
      </c>
      <c r="H80" s="23">
        <v>-258</v>
      </c>
      <c r="I80" s="23">
        <v>-466</v>
      </c>
      <c r="J80" s="54"/>
      <c r="K80" s="1" t="s">
        <v>692</v>
      </c>
    </row>
    <row r="81">
      <c r="A81" s="1"/>
      <c r="B81" s="1" t="s">
        <v>609</v>
      </c>
      <c r="C81" s="23">
        <v>210</v>
      </c>
      <c r="D81" s="23">
        <v>354</v>
      </c>
      <c r="E81" s="23">
        <v>540</v>
      </c>
      <c r="F81" s="23">
        <v>765</v>
      </c>
      <c r="G81" s="3">
        <f>F81</f>
        <v>765</v>
      </c>
      <c r="H81" s="23">
        <v>171</v>
      </c>
      <c r="I81" s="23">
        <v>370</v>
      </c>
      <c r="J81" s="54"/>
      <c r="K81" s="1" t="s">
        <v>693</v>
      </c>
    </row>
    <row r="82">
      <c r="A82" s="1"/>
      <c r="B82" s="1" t="s">
        <v>611</v>
      </c>
      <c r="C82" s="23">
        <v>0</v>
      </c>
      <c r="D82" s="23">
        <v>0</v>
      </c>
      <c r="E82" s="23">
        <v>0</v>
      </c>
      <c r="F82" s="23">
        <v>0</v>
      </c>
      <c r="G82" s="3">
        <f>F82</f>
        <v>0</v>
      </c>
      <c r="H82" s="23">
        <v>0</v>
      </c>
      <c r="I82" s="23">
        <v>0</v>
      </c>
      <c r="J82" s="54"/>
      <c r="K82" s="1" t="s">
        <v>694</v>
      </c>
    </row>
    <row r="83">
      <c r="A83" s="1"/>
      <c r="B83" s="1" t="s">
        <v>613</v>
      </c>
      <c r="C83" s="23">
        <v>-1425</v>
      </c>
      <c r="D83" s="23">
        <v>-2151</v>
      </c>
      <c r="E83" s="23">
        <v>-2255</v>
      </c>
      <c r="F83" s="23">
        <v>-1808</v>
      </c>
      <c r="G83" s="3">
        <f>F83</f>
        <v>-1808</v>
      </c>
      <c r="H83" s="23">
        <v>-1112</v>
      </c>
      <c r="I83" s="23">
        <v>-1537</v>
      </c>
      <c r="J83" s="54"/>
      <c r="K83" s="1" t="s">
        <v>695</v>
      </c>
    </row>
    <row r="84">
      <c r="A84" s="1"/>
      <c r="B84" s="33" t="s">
        <v>615</v>
      </c>
      <c r="C84" s="55">
        <f>C78+C79+C80+C81+C82+C83</f>
        <v>723</v>
      </c>
      <c r="D84" s="55">
        <f>D78+D79+D80+D81+D82+D83</f>
        <v>2123</v>
      </c>
      <c r="E84" s="55">
        <f>E78+E79+E80+E81+E82+E83</f>
        <v>4361</v>
      </c>
      <c r="F84" s="55">
        <f>F78+F79+F80+F81+F82+F83</f>
        <v>7819</v>
      </c>
      <c r="G84" s="55">
        <f>G78+G79+G80+G81+G82+G83</f>
        <v>7819</v>
      </c>
      <c r="H84" s="55">
        <f>H78+H79+H80+H81+H82+H83</f>
        <v>1193</v>
      </c>
      <c r="I84" s="55">
        <f>I78+I79+I80+I81+I82+I83</f>
        <v>3316</v>
      </c>
      <c r="J84" s="82"/>
      <c r="K84" s="1" t="s">
        <v>696</v>
      </c>
    </row>
    <row r="85">
      <c r="A85" s="1"/>
      <c r="B85" s="26" t="s">
        <v>617</v>
      </c>
      <c r="C85" s="1"/>
      <c r="D85" s="1"/>
      <c r="E85" s="1"/>
      <c r="F85" s="1"/>
      <c r="G85" s="1"/>
      <c r="H85" s="1"/>
      <c r="I85" s="1"/>
      <c r="J85" s="68"/>
      <c r="K85" s="1"/>
    </row>
    <row r="86">
      <c r="A86" s="1"/>
      <c r="B86" s="1" t="s">
        <v>618</v>
      </c>
      <c r="C86" s="23">
        <v>-362</v>
      </c>
      <c r="D86" s="23">
        <v>-656</v>
      </c>
      <c r="E86" s="23">
        <v>-1060</v>
      </c>
      <c r="F86" s="23">
        <v>-1525</v>
      </c>
      <c r="G86" s="3">
        <f>F86</f>
        <v>-1525</v>
      </c>
      <c r="H86" s="23">
        <v>-376</v>
      </c>
      <c r="I86" s="23">
        <v>-826</v>
      </c>
      <c r="J86" s="54"/>
      <c r="K86" s="1" t="s">
        <v>697</v>
      </c>
    </row>
    <row r="87">
      <c r="A87" s="1"/>
      <c r="B87" s="1" t="s">
        <v>620</v>
      </c>
      <c r="C87" s="23">
        <v>12</v>
      </c>
      <c r="D87" s="23">
        <v>13</v>
      </c>
      <c r="E87" s="23">
        <v>17</v>
      </c>
      <c r="F87" s="23">
        <v>44</v>
      </c>
      <c r="G87" s="3">
        <f>F87</f>
        <v>44</v>
      </c>
      <c r="H87" s="23">
        <v>9</v>
      </c>
      <c r="I87" s="23">
        <v>13</v>
      </c>
      <c r="J87" s="54"/>
      <c r="K87" s="1" t="s">
        <v>698</v>
      </c>
    </row>
    <row r="88">
      <c r="A88" s="1"/>
      <c r="B88" s="1" t="s">
        <v>622</v>
      </c>
      <c r="C88" s="23">
        <v>87</v>
      </c>
      <c r="D88" s="23">
        <v>134</v>
      </c>
      <c r="E88" s="23">
        <v>218</v>
      </c>
      <c r="F88" s="23">
        <v>268</v>
      </c>
      <c r="G88" s="3">
        <f>F88</f>
        <v>268</v>
      </c>
      <c r="H88" s="23">
        <v>96</v>
      </c>
      <c r="I88" s="23">
        <v>187</v>
      </c>
      <c r="J88" s="54"/>
      <c r="K88" s="1" t="s">
        <v>699</v>
      </c>
    </row>
    <row r="89">
      <c r="A89" s="1"/>
      <c r="B89" s="1" t="s">
        <v>624</v>
      </c>
      <c r="C89" s="23">
        <v>0</v>
      </c>
      <c r="D89" s="23">
        <v>0</v>
      </c>
      <c r="E89" s="23">
        <v>-4037</v>
      </c>
      <c r="F89" s="23">
        <v>-4037</v>
      </c>
      <c r="G89" s="3">
        <f>F89</f>
        <v>-4037</v>
      </c>
      <c r="H89" s="23">
        <v>-8872</v>
      </c>
      <c r="I89" s="23">
        <v>-8872</v>
      </c>
      <c r="J89" s="54"/>
      <c r="K89" s="1" t="s">
        <v>700</v>
      </c>
    </row>
    <row r="90">
      <c r="A90" s="1"/>
      <c r="B90" s="1" t="s">
        <v>626</v>
      </c>
      <c r="C90" s="23">
        <v>0</v>
      </c>
      <c r="D90" s="23">
        <v>0</v>
      </c>
      <c r="E90" s="23">
        <v>0</v>
      </c>
      <c r="F90" s="23">
        <v>0</v>
      </c>
      <c r="G90" s="3">
        <f>F90</f>
        <v>0</v>
      </c>
      <c r="H90" s="23">
        <v>0</v>
      </c>
      <c r="I90" s="23">
        <v>0</v>
      </c>
      <c r="J90" s="54"/>
      <c r="K90" s="1" t="s">
        <v>701</v>
      </c>
    </row>
    <row r="91">
      <c r="A91" s="1"/>
      <c r="B91" s="1" t="s">
        <v>702</v>
      </c>
      <c r="C91" s="23">
        <v>-264</v>
      </c>
      <c r="D91" s="23">
        <v>-311</v>
      </c>
      <c r="E91" s="23">
        <v>-351</v>
      </c>
      <c r="F91" s="23">
        <v>-383</v>
      </c>
      <c r="G91" s="3">
        <f>F91</f>
        <v>-383</v>
      </c>
      <c r="H91" s="23">
        <v>-14</v>
      </c>
      <c r="I91" s="23">
        <v>-35</v>
      </c>
      <c r="J91" s="54"/>
      <c r="K91" s="1"/>
    </row>
    <row r="92">
      <c r="A92" s="1"/>
      <c r="B92" s="1" t="s">
        <v>630</v>
      </c>
      <c r="C92" s="23">
        <v>2</v>
      </c>
      <c r="D92" s="23">
        <v>6</v>
      </c>
      <c r="E92" s="23">
        <v>254</v>
      </c>
      <c r="F92" s="23">
        <v>1565</v>
      </c>
      <c r="G92" s="3">
        <f>F92</f>
        <v>1565</v>
      </c>
      <c r="H92" s="23">
        <v>250</v>
      </c>
      <c r="I92" s="23">
        <v>253</v>
      </c>
      <c r="J92" s="54"/>
      <c r="K92" s="1" t="s">
        <v>703</v>
      </c>
    </row>
    <row r="93">
      <c r="A93" s="1"/>
      <c r="B93" s="1" t="s">
        <v>632</v>
      </c>
      <c r="C93" s="23">
        <v>0</v>
      </c>
      <c r="D93" s="23">
        <v>0</v>
      </c>
      <c r="E93" s="23">
        <v>0</v>
      </c>
      <c r="F93" s="23">
        <v>0</v>
      </c>
      <c r="G93" s="3">
        <f>F93</f>
        <v>0</v>
      </c>
      <c r="H93" s="23">
        <v>0</v>
      </c>
      <c r="I93" s="23">
        <v>481</v>
      </c>
      <c r="J93" s="54"/>
      <c r="K93" s="1" t="s">
        <v>704</v>
      </c>
    </row>
    <row r="94">
      <c r="A94" s="1"/>
      <c r="B94" s="1" t="s">
        <v>634</v>
      </c>
      <c r="C94" s="23">
        <v>-1</v>
      </c>
      <c r="D94" s="23">
        <v>0</v>
      </c>
      <c r="E94" s="23">
        <v>20</v>
      </c>
      <c r="F94" s="23">
        <v>21</v>
      </c>
      <c r="G94" s="3">
        <f>F94</f>
        <v>21</v>
      </c>
      <c r="H94" s="23">
        <v>-55</v>
      </c>
      <c r="I94" s="23">
        <v>1</v>
      </c>
      <c r="J94" s="54"/>
      <c r="K94" s="1" t="s">
        <v>705</v>
      </c>
    </row>
    <row r="95">
      <c r="A95" s="1"/>
      <c r="B95" s="33" t="s">
        <v>636</v>
      </c>
      <c r="C95" s="55">
        <f>C86+C87+C88+C89+C90+C91+C92+C93+C94</f>
        <v>-526</v>
      </c>
      <c r="D95" s="55">
        <f>D86+D87+D88+D89+D90+D91+D92+D93+D94</f>
        <v>-814</v>
      </c>
      <c r="E95" s="55">
        <f>E86+E87+E88+E89+E90+E91+E92+E93+E94</f>
        <v>-4939</v>
      </c>
      <c r="F95" s="55">
        <f>F86+F87+F88+F89+F90+F91+F92+F93+F94</f>
        <v>-4047</v>
      </c>
      <c r="G95" s="55">
        <f>G86+G87+G88+G89+G90+G91+G92+G93+G94</f>
        <v>-4047</v>
      </c>
      <c r="H95" s="55">
        <f>H86+H87+H88+H89+H90+H91+H92+H93+H94</f>
        <v>-8962</v>
      </c>
      <c r="I95" s="55">
        <f>I86+I87+I88+I89+I90+I91+I92+I93+I94</f>
        <v>-8798</v>
      </c>
      <c r="J95" s="82"/>
      <c r="K95" s="1" t="s">
        <v>706</v>
      </c>
    </row>
    <row r="96">
      <c r="A96" s="1"/>
      <c r="B96" s="26" t="s">
        <v>638</v>
      </c>
      <c r="C96" s="1"/>
      <c r="D96" s="1"/>
      <c r="E96" s="1"/>
      <c r="F96" s="1"/>
      <c r="G96" s="1"/>
      <c r="H96" s="1"/>
      <c r="I96" s="1"/>
      <c r="J96" s="68"/>
      <c r="K96" s="1"/>
    </row>
    <row r="97">
      <c r="A97" s="1"/>
      <c r="B97" s="1" t="s">
        <v>639</v>
      </c>
      <c r="C97" s="23">
        <v>2840</v>
      </c>
      <c r="D97" s="23">
        <v>2840</v>
      </c>
      <c r="E97" s="23">
        <v>2840</v>
      </c>
      <c r="F97" s="23">
        <v>7759</v>
      </c>
      <c r="G97" s="3">
        <f>F97</f>
        <v>7759</v>
      </c>
      <c r="H97" s="23">
        <v>5238</v>
      </c>
      <c r="I97" s="23">
        <v>5238</v>
      </c>
      <c r="J97" s="54"/>
      <c r="K97" s="1" t="s">
        <v>707</v>
      </c>
    </row>
    <row r="98">
      <c r="A98" s="1"/>
      <c r="B98" s="1" t="s">
        <v>708</v>
      </c>
      <c r="C98" s="23">
        <v>-838</v>
      </c>
      <c r="D98" s="23">
        <v>-1625</v>
      </c>
      <c r="E98" s="23">
        <v>-1625</v>
      </c>
      <c r="F98" s="23">
        <v>-2412</v>
      </c>
      <c r="G98" s="3">
        <f>F98</f>
        <v>-2412</v>
      </c>
      <c r="H98" s="23">
        <v>-1412</v>
      </c>
      <c r="I98" s="23">
        <v>-1412</v>
      </c>
      <c r="J98" s="54"/>
      <c r="K98" s="1"/>
    </row>
    <row r="99">
      <c r="A99" s="1"/>
      <c r="B99" s="1" t="s">
        <v>643</v>
      </c>
      <c r="C99" s="23">
        <v>0</v>
      </c>
      <c r="D99" s="23">
        <v>0</v>
      </c>
      <c r="E99" s="23">
        <v>1095</v>
      </c>
      <c r="F99" s="23">
        <v>1095</v>
      </c>
      <c r="G99" s="3">
        <f>F99</f>
        <v>1095</v>
      </c>
      <c r="H99" s="23">
        <v>389</v>
      </c>
      <c r="I99" s="23">
        <v>389</v>
      </c>
      <c r="J99" s="54"/>
      <c r="K99" s="1" t="s">
        <v>709</v>
      </c>
    </row>
    <row r="100">
      <c r="A100" s="1"/>
      <c r="B100" s="1" t="s">
        <v>710</v>
      </c>
      <c r="C100" s="23">
        <v>0</v>
      </c>
      <c r="D100" s="23">
        <v>0</v>
      </c>
      <c r="E100" s="23">
        <v>-597</v>
      </c>
      <c r="F100" s="23">
        <v>-1095</v>
      </c>
      <c r="G100" s="3">
        <f>F100</f>
        <v>-1095</v>
      </c>
      <c r="H100" s="23">
        <v>0</v>
      </c>
      <c r="I100" s="23">
        <v>-389</v>
      </c>
      <c r="J100" s="54"/>
      <c r="K100" s="1" t="s">
        <v>711</v>
      </c>
    </row>
    <row r="101">
      <c r="A101" s="1"/>
      <c r="B101" s="1" t="s">
        <v>646</v>
      </c>
      <c r="C101" s="23">
        <v>-2000</v>
      </c>
      <c r="D101" s="23">
        <v>-2000</v>
      </c>
      <c r="E101" s="23">
        <v>-2963</v>
      </c>
      <c r="F101" s="23">
        <v>-3000</v>
      </c>
      <c r="G101" s="3">
        <f>F101</f>
        <v>-3000</v>
      </c>
      <c r="H101" s="23">
        <v>-3000</v>
      </c>
      <c r="I101" s="23">
        <v>-4000</v>
      </c>
      <c r="J101" s="54"/>
      <c r="K101" s="1" t="s">
        <v>712</v>
      </c>
    </row>
    <row r="102">
      <c r="A102" s="1"/>
      <c r="B102" s="1" t="s">
        <v>713</v>
      </c>
      <c r="C102" s="23">
        <v>-149</v>
      </c>
      <c r="D102" s="23">
        <v>-311</v>
      </c>
      <c r="E102" s="23">
        <v>-474</v>
      </c>
      <c r="F102" s="23">
        <v>-636</v>
      </c>
      <c r="G102" s="3">
        <f>F102</f>
        <v>-636</v>
      </c>
      <c r="H102" s="23">
        <v>-162</v>
      </c>
      <c r="I102" s="23">
        <v>-337</v>
      </c>
      <c r="J102" s="54"/>
      <c r="K102" s="1"/>
    </row>
    <row r="103">
      <c r="A103" s="1"/>
      <c r="B103" s="1" t="s">
        <v>649</v>
      </c>
      <c r="C103" s="23">
        <v>45</v>
      </c>
      <c r="D103" s="23">
        <v>3</v>
      </c>
      <c r="E103" s="23">
        <v>-1</v>
      </c>
      <c r="F103" s="23">
        <v>90</v>
      </c>
      <c r="G103" s="3">
        <f>F103</f>
        <v>90</v>
      </c>
      <c r="H103" s="23">
        <v>39</v>
      </c>
      <c r="I103" s="23">
        <v>33</v>
      </c>
      <c r="J103" s="54"/>
      <c r="K103" s="1" t="s">
        <v>714</v>
      </c>
    </row>
    <row r="104">
      <c r="A104" s="1"/>
      <c r="B104" s="33" t="s">
        <v>651</v>
      </c>
      <c r="C104" s="55">
        <f>C97+C98+C99+C100+C101+C102+C103</f>
        <v>-102</v>
      </c>
      <c r="D104" s="55">
        <f>D97+D98+D99+D100+D101+D102+D103</f>
        <v>-1093</v>
      </c>
      <c r="E104" s="55">
        <f>E97+E98+E99+E100+E101+E102+E103</f>
        <v>-1725</v>
      </c>
      <c r="F104" s="55">
        <f>F97+F98+F99+F100+F101+F102+F103</f>
        <v>1801</v>
      </c>
      <c r="G104" s="55">
        <f>G97+G98+G99+G100+G101+G102+G103</f>
        <v>1801</v>
      </c>
      <c r="H104" s="55">
        <f>H97+H98+H99+H100+H101+H102+H103</f>
        <v>1092</v>
      </c>
      <c r="I104" s="55">
        <f>I97+I98+I99+I100+I101+I102+I103</f>
        <v>-478</v>
      </c>
      <c r="J104" s="82"/>
      <c r="K104" s="1" t="s">
        <v>715</v>
      </c>
    </row>
    <row r="105">
      <c r="A105" s="1"/>
      <c r="B105" s="1" t="s">
        <v>716</v>
      </c>
      <c r="C105" s="23">
        <v>37</v>
      </c>
      <c r="D105" s="23">
        <v>348</v>
      </c>
      <c r="E105" s="23">
        <v>273</v>
      </c>
      <c r="F105" s="23">
        <v>267</v>
      </c>
      <c r="G105" s="3">
        <f>F105</f>
        <v>267</v>
      </c>
      <c r="H105" s="23">
        <v>78</v>
      </c>
      <c r="I105" s="23">
        <v>176</v>
      </c>
      <c r="J105" s="54"/>
      <c r="K105" s="1" t="s">
        <v>717</v>
      </c>
    </row>
    <row r="106">
      <c r="A106" s="1"/>
      <c r="B106" s="33" t="s">
        <v>655</v>
      </c>
      <c r="C106" s="55">
        <f>C84+C95+C104+C105</f>
        <v>132</v>
      </c>
      <c r="D106" s="55">
        <f>D84+D95+D104+D105</f>
        <v>564</v>
      </c>
      <c r="E106" s="55">
        <f>E84+E95+E104+E105</f>
        <v>-2030</v>
      </c>
      <c r="F106" s="55">
        <f>F84+F95+F104+F105</f>
        <v>5840</v>
      </c>
      <c r="G106" s="55">
        <f>G84+G95+G104+G105</f>
        <v>5840</v>
      </c>
      <c r="H106" s="55">
        <f>H84+H95+H104+H105</f>
        <v>-6599</v>
      </c>
      <c r="I106" s="55">
        <f>I84+I95+I104+I105</f>
        <v>-5784</v>
      </c>
      <c r="J106" s="82"/>
      <c r="K106" s="1" t="s">
        <v>718</v>
      </c>
    </row>
    <row r="107">
      <c r="A107" s="1"/>
      <c r="B107" s="1" t="s">
        <v>719</v>
      </c>
      <c r="C107" s="23">
        <v>4040</v>
      </c>
      <c r="D107" s="23">
        <v>4040</v>
      </c>
      <c r="E107" s="23">
        <v>4040</v>
      </c>
      <c r="F107" s="23">
        <v>4040</v>
      </c>
      <c r="G107" s="3">
        <f>F107</f>
        <v>4040</v>
      </c>
      <c r="H107" s="23">
        <v>9879</v>
      </c>
      <c r="I107" s="23">
        <v>9879</v>
      </c>
      <c r="J107" s="54"/>
      <c r="K107" s="1" t="s">
        <v>720</v>
      </c>
    </row>
    <row r="108">
      <c r="A108" s="1"/>
      <c r="B108" s="33" t="s">
        <v>659</v>
      </c>
      <c r="C108" s="55">
        <f>C107+C106</f>
        <v>4172</v>
      </c>
      <c r="D108" s="55">
        <f>D107+D106</f>
        <v>4604</v>
      </c>
      <c r="E108" s="55">
        <f>E107+E106</f>
        <v>2010</v>
      </c>
      <c r="F108" s="55">
        <f>F107+F106</f>
        <v>9880</v>
      </c>
      <c r="G108" s="55">
        <f>G107+G106</f>
        <v>9880</v>
      </c>
      <c r="H108" s="55">
        <f>H107+H106</f>
        <v>3280</v>
      </c>
      <c r="I108" s="55">
        <f>I107+I106</f>
        <v>4095</v>
      </c>
      <c r="J108" s="82"/>
      <c r="K108" s="1" t="s">
        <v>721</v>
      </c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5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722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61</v>
      </c>
      <c r="C5" s="16" t="s">
        <v>62</v>
      </c>
      <c r="D5" s="16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6" t="s">
        <v>68</v>
      </c>
      <c r="J5" s="43" t="s">
        <v>69</v>
      </c>
      <c r="K5" s="9" t="s">
        <v>4</v>
      </c>
    </row>
    <row r="6">
      <c r="A6" s="1"/>
      <c r="B6" s="6" t="s">
        <v>70</v>
      </c>
      <c r="C6" s="14">
        <v>45745</v>
      </c>
      <c r="D6" s="14">
        <v>45836</v>
      </c>
      <c r="E6" s="14">
        <v>45927</v>
      </c>
      <c r="F6" s="14">
        <v>46022</v>
      </c>
      <c r="G6" s="14">
        <v>46022</v>
      </c>
      <c r="H6" s="14">
        <v>46109</v>
      </c>
      <c r="I6" s="14">
        <v>46200</v>
      </c>
      <c r="J6" s="45">
        <v>46291</v>
      </c>
      <c r="K6" s="6" t="s">
        <v>71</v>
      </c>
    </row>
    <row r="7">
      <c r="A7" s="1"/>
      <c r="B7" s="28" t="s">
        <v>72</v>
      </c>
      <c r="C7" s="22">
        <v>88</v>
      </c>
      <c r="D7" s="11">
        <f>D6-C6</f>
        <v>91</v>
      </c>
      <c r="E7" s="11">
        <f>E6-D6</f>
        <v>91</v>
      </c>
      <c r="F7" s="11">
        <f>F6-E6</f>
        <v>95</v>
      </c>
      <c r="G7" s="22">
        <v>365</v>
      </c>
      <c r="H7" s="11">
        <f>H6-F6</f>
        <v>87</v>
      </c>
      <c r="I7" s="11">
        <f>I6-H6</f>
        <v>91</v>
      </c>
      <c r="J7" s="36">
        <f>J6-I6</f>
        <v>91</v>
      </c>
      <c r="K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723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 t="s">
        <v>724</v>
      </c>
      <c r="C10" s="23">
        <v>5513</v>
      </c>
      <c r="D10" s="23">
        <v>5722</v>
      </c>
      <c r="E10" s="23">
        <v>5689</v>
      </c>
      <c r="F10" s="3">
        <f>G10-C10-D10-E10</f>
        <v>6109</v>
      </c>
      <c r="G10" s="23">
        <v>23033</v>
      </c>
      <c r="H10" s="23">
        <v>5705</v>
      </c>
      <c r="I10" s="23">
        <v>6149</v>
      </c>
      <c r="J10" s="8">
        <f>J14*(1+J15)</f>
        <v>6144.120000000001</v>
      </c>
      <c r="K10" s="1" t="s">
        <v>143</v>
      </c>
    </row>
    <row r="11">
      <c r="A11" s="1"/>
      <c r="B11" s="26" t="s">
        <v>75</v>
      </c>
      <c r="C11" s="103">
        <f>C10/C14-1</f>
        <v>-0.0010871534698314589</v>
      </c>
      <c r="D11" s="103">
        <f>D10/D14-1</f>
        <v>0.03490685476578048</v>
      </c>
      <c r="E11" s="103">
        <f>E10/E14-1</f>
        <v>0.017528170273654053</v>
      </c>
      <c r="F11" s="103">
        <f>F10/F14-1</f>
        <v>0.0416027280477409</v>
      </c>
      <c r="G11" s="103">
        <f>G10/G14-1</f>
        <v>0.023506932100959776</v>
      </c>
      <c r="H11" s="103">
        <f>H10/H14-1</f>
        <v>0.034826773081806595</v>
      </c>
      <c r="I11" s="103">
        <f>I10/I14-1</f>
        <v>0.07462425725270894</v>
      </c>
      <c r="J11" s="108">
        <f>J10/J14-1</f>
        <v>0.08000000000000007</v>
      </c>
      <c r="K11" s="1"/>
    </row>
    <row r="12">
      <c r="A12" s="1"/>
      <c r="B12" s="26" t="s">
        <v>85</v>
      </c>
      <c r="C12" s="21">
        <f>C10-F14</f>
        <v>-352</v>
      </c>
      <c r="D12" s="21">
        <f>D10-C10</f>
        <v>209</v>
      </c>
      <c r="E12" s="21">
        <f>E10-D10</f>
        <v>-33</v>
      </c>
      <c r="F12" s="21">
        <f>F10-E10</f>
        <v>420</v>
      </c>
      <c r="G12" s="1"/>
      <c r="H12" s="21">
        <f>H10-F10</f>
        <v>-404</v>
      </c>
      <c r="I12" s="21">
        <f>I10-H10</f>
        <v>444</v>
      </c>
      <c r="J12" s="60">
        <f>J10-I10</f>
        <v>-4.8799999999992</v>
      </c>
      <c r="K12" s="1"/>
    </row>
    <row r="13">
      <c r="A13" s="1"/>
      <c r="B13" s="26" t="s">
        <v>77</v>
      </c>
      <c r="C13" s="106">
        <f>C10/'Revenue summary'!C48</f>
        <v>0.5319374758780394</v>
      </c>
      <c r="D13" s="106">
        <f>D10/'Revenue summary'!D48</f>
        <v>0.5271303546752648</v>
      </c>
      <c r="E13" s="106">
        <f>E10/'Revenue summary'!E48</f>
        <v>0.5115087214529761</v>
      </c>
      <c r="F13" s="106">
        <f>F10/'Revenue summary'!F48</f>
        <v>0.5001227998362668</v>
      </c>
      <c r="G13" s="106">
        <f>G10/'Revenue summary'!G48</f>
        <v>0.5169449681299937</v>
      </c>
      <c r="H13" s="106">
        <f>H10/'Revenue summary'!H48</f>
        <v>0.518400726942299</v>
      </c>
      <c r="I13" s="106">
        <f>I10/'Revenue summary'!I48</f>
        <v>0.5126730031682508</v>
      </c>
      <c r="J13" s="113">
        <f>J10/'Revenue summary'!J48</f>
        <v>0.5134709114972237</v>
      </c>
      <c r="K13" s="1"/>
    </row>
    <row r="14">
      <c r="A14" s="1"/>
      <c r="B14" s="1" t="s">
        <v>144</v>
      </c>
      <c r="C14" s="23">
        <v>5519</v>
      </c>
      <c r="D14" s="23">
        <v>5529</v>
      </c>
      <c r="E14" s="23">
        <v>5591</v>
      </c>
      <c r="F14" s="3">
        <f>G14-C14-D14-E14</f>
        <v>5865</v>
      </c>
      <c r="G14" s="23">
        <v>22504</v>
      </c>
      <c r="H14" s="3">
        <f>C10</f>
        <v>5513</v>
      </c>
      <c r="I14" s="3">
        <f>D10</f>
        <v>5722</v>
      </c>
      <c r="J14" s="8">
        <f>E10</f>
        <v>5689</v>
      </c>
      <c r="K14" s="1" t="s">
        <v>145</v>
      </c>
    </row>
    <row r="15">
      <c r="A15" s="1"/>
      <c r="B15" s="26" t="s">
        <v>725</v>
      </c>
      <c r="C15" s="1"/>
      <c r="D15" s="1"/>
      <c r="E15" s="1"/>
      <c r="F15" s="1"/>
      <c r="G15" s="1"/>
      <c r="H15" s="1"/>
      <c r="I15" s="1"/>
      <c r="J15" s="112">
        <v>0.08</v>
      </c>
      <c r="K15" s="1" t="s">
        <v>726</v>
      </c>
    </row>
    <row r="16">
      <c r="A16" s="1"/>
      <c r="B16" s="26" t="s">
        <v>146</v>
      </c>
      <c r="C16" s="109" t="s">
        <v>89</v>
      </c>
      <c r="D16" s="109" t="s">
        <v>89</v>
      </c>
      <c r="E16" s="109" t="s">
        <v>89</v>
      </c>
      <c r="F16" s="109" t="s">
        <v>89</v>
      </c>
      <c r="G16" s="109" t="s">
        <v>89</v>
      </c>
      <c r="H16" s="109" t="s">
        <v>89</v>
      </c>
      <c r="I16" s="109" t="s">
        <v>89</v>
      </c>
      <c r="J16" s="112" t="s">
        <v>89</v>
      </c>
      <c r="K16" s="1" t="s">
        <v>727</v>
      </c>
    </row>
    <row r="17">
      <c r="A17" s="1"/>
      <c r="B17" s="26" t="s">
        <v>148</v>
      </c>
      <c r="C17" s="109" t="s">
        <v>89</v>
      </c>
      <c r="D17" s="109" t="s">
        <v>89</v>
      </c>
      <c r="E17" s="109" t="s">
        <v>89</v>
      </c>
      <c r="F17" s="109" t="s">
        <v>89</v>
      </c>
      <c r="G17" s="109" t="s">
        <v>89</v>
      </c>
      <c r="H17" s="109" t="s">
        <v>89</v>
      </c>
      <c r="I17" s="109" t="s">
        <v>89</v>
      </c>
      <c r="J17" s="112" t="s">
        <v>89</v>
      </c>
      <c r="K17" s="1" t="s">
        <v>728</v>
      </c>
    </row>
    <row r="18">
      <c r="A18" s="1"/>
      <c r="B18" s="26" t="s">
        <v>95</v>
      </c>
      <c r="C18" s="109" t="s">
        <v>89</v>
      </c>
      <c r="D18" s="109" t="s">
        <v>89</v>
      </c>
      <c r="E18" s="109" t="s">
        <v>89</v>
      </c>
      <c r="F18" s="109" t="s">
        <v>89</v>
      </c>
      <c r="G18" s="109" t="s">
        <v>89</v>
      </c>
      <c r="H18" s="109" t="s">
        <v>89</v>
      </c>
      <c r="I18" s="109" t="s">
        <v>89</v>
      </c>
      <c r="J18" s="112" t="s">
        <v>89</v>
      </c>
      <c r="K18" s="1" t="s">
        <v>729</v>
      </c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>
      <c r="A20" s="1"/>
      <c r="B20" s="1" t="s">
        <v>730</v>
      </c>
      <c r="C20" s="23">
        <v>2624</v>
      </c>
      <c r="D20" s="23">
        <v>2830</v>
      </c>
      <c r="E20" s="23">
        <v>3005</v>
      </c>
      <c r="F20" s="3">
        <f>G20-C20-D20-E20</f>
        <v>3367</v>
      </c>
      <c r="G20" s="23">
        <v>11826</v>
      </c>
      <c r="H20" s="23">
        <v>2957</v>
      </c>
      <c r="I20" s="23">
        <v>3311</v>
      </c>
      <c r="J20" s="8">
        <f>J24*(1+J25)</f>
        <v>3245.4</v>
      </c>
      <c r="K20" s="1" t="s">
        <v>143</v>
      </c>
    </row>
    <row r="21">
      <c r="A21" s="1"/>
      <c r="B21" s="26" t="s">
        <v>75</v>
      </c>
      <c r="C21" s="103">
        <f>C20/C24-1</f>
        <v>0.0019091256204657459</v>
      </c>
      <c r="D21" s="103">
        <f>D20/D24-1</f>
        <v>0.06271122793841521</v>
      </c>
      <c r="E21" s="103">
        <f>E20/E24-1</f>
        <v>0.11876396128071476</v>
      </c>
      <c r="F21" s="103">
        <f>F20/F24-1</f>
        <v>0.16545517480096916</v>
      </c>
      <c r="G21" s="103">
        <f>G20/G24-1</f>
        <v>0.08925117435755725</v>
      </c>
      <c r="H21" s="103">
        <f>H20/H24-1</f>
        <v>0.1269054878048781</v>
      </c>
      <c r="I21" s="103">
        <f>I20/I24-1</f>
        <v>0.16996466431095403</v>
      </c>
      <c r="J21" s="108">
        <f>J20/J24-1</f>
        <v>0.08000000000000007</v>
      </c>
      <c r="K21" s="1"/>
    </row>
    <row r="22">
      <c r="A22" s="1"/>
      <c r="B22" s="26" t="s">
        <v>85</v>
      </c>
      <c r="C22" s="21">
        <f>C20-F24</f>
        <v>-265</v>
      </c>
      <c r="D22" s="21">
        <f>D20-C20</f>
        <v>206</v>
      </c>
      <c r="E22" s="21">
        <f>E20-D20</f>
        <v>175</v>
      </c>
      <c r="F22" s="21">
        <f>F20-E20</f>
        <v>362</v>
      </c>
      <c r="G22" s="1"/>
      <c r="H22" s="21">
        <f>H20-F20</f>
        <v>-410</v>
      </c>
      <c r="I22" s="21">
        <f>I20-H20</f>
        <v>354</v>
      </c>
      <c r="J22" s="60">
        <f>J20-I20</f>
        <v>-65.59999999999991</v>
      </c>
      <c r="K22" s="1"/>
    </row>
    <row r="23">
      <c r="A23" s="1"/>
      <c r="B23" s="26" t="s">
        <v>77</v>
      </c>
      <c r="C23" s="106">
        <f>C20/'Revenue summary'!C48</f>
        <v>0.25318409880355075</v>
      </c>
      <c r="D23" s="106">
        <f>D20/'Revenue summary'!D48</f>
        <v>0.26070935052970984</v>
      </c>
      <c r="E23" s="106">
        <f>E20/'Revenue summary'!E48</f>
        <v>0.27018521848588384</v>
      </c>
      <c r="F23" s="106">
        <f>F20/'Revenue summary'!F48</f>
        <v>0.27564469914040113</v>
      </c>
      <c r="G23" s="106">
        <f>G20/'Revenue summary'!G48</f>
        <v>0.26541879881497443</v>
      </c>
      <c r="H23" s="106">
        <f>H20/'Revenue summary'!H48</f>
        <v>0.26869604725124946</v>
      </c>
      <c r="I23" s="106">
        <f>I20/'Revenue summary'!I48</f>
        <v>0.2760546940136735</v>
      </c>
      <c r="J23" s="113">
        <f>J20/'Revenue summary'!J48</f>
        <v>0.271221671479901</v>
      </c>
      <c r="K23" s="1"/>
    </row>
    <row r="24">
      <c r="A24" s="1"/>
      <c r="B24" s="1" t="s">
        <v>144</v>
      </c>
      <c r="C24" s="23">
        <v>2619</v>
      </c>
      <c r="D24" s="23">
        <v>2663</v>
      </c>
      <c r="E24" s="23">
        <v>2686</v>
      </c>
      <c r="F24" s="3">
        <f>G24-C24-D24-E24</f>
        <v>2889</v>
      </c>
      <c r="G24" s="23">
        <v>10857</v>
      </c>
      <c r="H24" s="3">
        <f>C20</f>
        <v>2624</v>
      </c>
      <c r="I24" s="3">
        <f>D20</f>
        <v>2830</v>
      </c>
      <c r="J24" s="8">
        <f>E20</f>
        <v>3005</v>
      </c>
      <c r="K24" s="1" t="s">
        <v>145</v>
      </c>
    </row>
    <row r="25">
      <c r="A25" s="1"/>
      <c r="B25" s="26" t="s">
        <v>725</v>
      </c>
      <c r="C25" s="1"/>
      <c r="D25" s="1"/>
      <c r="E25" s="1"/>
      <c r="F25" s="1"/>
      <c r="G25" s="1"/>
      <c r="H25" s="1"/>
      <c r="I25" s="1"/>
      <c r="J25" s="112">
        <v>0.08</v>
      </c>
      <c r="K25" s="1" t="s">
        <v>731</v>
      </c>
    </row>
    <row r="26">
      <c r="A26" s="1"/>
      <c r="B26" s="26" t="s">
        <v>146</v>
      </c>
      <c r="C26" s="109" t="s">
        <v>89</v>
      </c>
      <c r="D26" s="109" t="s">
        <v>89</v>
      </c>
      <c r="E26" s="109" t="s">
        <v>89</v>
      </c>
      <c r="F26" s="109" t="s">
        <v>89</v>
      </c>
      <c r="G26" s="109" t="s">
        <v>89</v>
      </c>
      <c r="H26" s="109" t="s">
        <v>89</v>
      </c>
      <c r="I26" s="109" t="s">
        <v>89</v>
      </c>
      <c r="J26" s="112" t="s">
        <v>89</v>
      </c>
      <c r="K26" s="1" t="s">
        <v>732</v>
      </c>
    </row>
    <row r="27">
      <c r="A27" s="1"/>
      <c r="B27" s="26" t="s">
        <v>148</v>
      </c>
      <c r="C27" s="109" t="s">
        <v>89</v>
      </c>
      <c r="D27" s="109" t="s">
        <v>89</v>
      </c>
      <c r="E27" s="109" t="s">
        <v>89</v>
      </c>
      <c r="F27" s="109" t="s">
        <v>89</v>
      </c>
      <c r="G27" s="109" t="s">
        <v>89</v>
      </c>
      <c r="H27" s="109" t="s">
        <v>89</v>
      </c>
      <c r="I27" s="109" t="s">
        <v>89</v>
      </c>
      <c r="J27" s="112" t="s">
        <v>89</v>
      </c>
      <c r="K27" s="1" t="s">
        <v>728</v>
      </c>
    </row>
    <row r="28">
      <c r="A28" s="1"/>
      <c r="B28" s="26" t="s">
        <v>95</v>
      </c>
      <c r="C28" s="109" t="s">
        <v>89</v>
      </c>
      <c r="D28" s="109" t="s">
        <v>89</v>
      </c>
      <c r="E28" s="109" t="s">
        <v>89</v>
      </c>
      <c r="F28" s="109" t="s">
        <v>89</v>
      </c>
      <c r="G28" s="109" t="s">
        <v>89</v>
      </c>
      <c r="H28" s="109" t="s">
        <v>89</v>
      </c>
      <c r="I28" s="109" t="s">
        <v>89</v>
      </c>
      <c r="J28" s="112" t="s">
        <v>89</v>
      </c>
      <c r="K28" s="1" t="s">
        <v>729</v>
      </c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>
      <c r="A30" s="1"/>
      <c r="B30" s="1" t="s">
        <v>733</v>
      </c>
      <c r="C30" s="23">
        <v>1891</v>
      </c>
      <c r="D30" s="23">
        <v>1920</v>
      </c>
      <c r="E30" s="23">
        <v>2013</v>
      </c>
      <c r="F30" s="3">
        <f>G30-C30-D30-E30</f>
        <v>2277</v>
      </c>
      <c r="G30" s="23">
        <v>8101</v>
      </c>
      <c r="H30" s="23">
        <v>1970</v>
      </c>
      <c r="I30" s="23">
        <v>2104</v>
      </c>
      <c r="J30" s="8">
        <f>J34*(1+J35)</f>
        <v>2133.78</v>
      </c>
      <c r="K30" s="1" t="s">
        <v>143</v>
      </c>
    </row>
    <row r="31">
      <c r="A31" s="1"/>
      <c r="B31" s="26" t="s">
        <v>75</v>
      </c>
      <c r="C31" s="103">
        <f>C30/C34-1</f>
        <v>0.016120365394948877</v>
      </c>
      <c r="D31" s="103">
        <f>D30/D34-1</f>
        <v>-0.025875190258751957</v>
      </c>
      <c r="E31" s="103">
        <f>E30/E34-1</f>
        <v>0.046801872074883066</v>
      </c>
      <c r="F31" s="103">
        <f>F30/F34-1</f>
        <v>0.0345297592003635</v>
      </c>
      <c r="G31" s="103">
        <f>G30/G34-1</f>
        <v>0.018225238813474043</v>
      </c>
      <c r="H31" s="103">
        <f>H30/H34-1</f>
        <v>0.04177683765203599</v>
      </c>
      <c r="I31" s="103">
        <f>I30/I34-1</f>
        <v>0.09583333333333344</v>
      </c>
      <c r="J31" s="108">
        <f>J30/J34-1</f>
        <v>0.06000000000000005</v>
      </c>
      <c r="K31" s="1"/>
    </row>
    <row r="32">
      <c r="A32" s="1"/>
      <c r="B32" s="26" t="s">
        <v>85</v>
      </c>
      <c r="C32" s="21">
        <f>C30-F34</f>
        <v>-310</v>
      </c>
      <c r="D32" s="21">
        <f>D30-C30</f>
        <v>29</v>
      </c>
      <c r="E32" s="21">
        <f>E30-D30</f>
        <v>93</v>
      </c>
      <c r="F32" s="21">
        <f>F30-E30</f>
        <v>264</v>
      </c>
      <c r="G32" s="1"/>
      <c r="H32" s="21">
        <f>H30-F30</f>
        <v>-307</v>
      </c>
      <c r="I32" s="21">
        <f>I30-H30</f>
        <v>134</v>
      </c>
      <c r="J32" s="60">
        <f>J30-I30</f>
        <v>29.7800000000002</v>
      </c>
      <c r="K32" s="1"/>
    </row>
    <row r="33">
      <c r="A33" s="1"/>
      <c r="B33" s="26" t="s">
        <v>77</v>
      </c>
      <c r="C33" s="106">
        <f>C30/'Revenue summary'!C48</f>
        <v>0.1824585102277113</v>
      </c>
      <c r="D33" s="106">
        <f>D30/'Revenue summary'!D48</f>
        <v>0.1768770152003685</v>
      </c>
      <c r="E33" s="106">
        <f>E30/'Revenue summary'!E48</f>
        <v>0.1809926272253192</v>
      </c>
      <c r="F33" s="106">
        <f>F30/'Revenue summary'!F48</f>
        <v>0.1864101514531314</v>
      </c>
      <c r="G33" s="106">
        <f>G30/'Revenue summary'!G48</f>
        <v>0.18181614148487296</v>
      </c>
      <c r="H33" s="106">
        <f>H30/'Revenue summary'!H48</f>
        <v>0.17900954111767378</v>
      </c>
      <c r="I33" s="106">
        <f>I30/'Revenue summary'!I48</f>
        <v>0.17542104385526097</v>
      </c>
      <c r="J33" s="113">
        <f>J30/'Revenue summary'!J48</f>
        <v>0.17832235723497358</v>
      </c>
      <c r="K33" s="1"/>
    </row>
    <row r="34">
      <c r="A34" s="1"/>
      <c r="B34" s="1" t="s">
        <v>144</v>
      </c>
      <c r="C34" s="23">
        <v>1861</v>
      </c>
      <c r="D34" s="23">
        <v>1971</v>
      </c>
      <c r="E34" s="23">
        <v>1923</v>
      </c>
      <c r="F34" s="3">
        <f>G34-C34-D34-E34</f>
        <v>2201</v>
      </c>
      <c r="G34" s="23">
        <v>7956</v>
      </c>
      <c r="H34" s="3">
        <f>C30</f>
        <v>1891</v>
      </c>
      <c r="I34" s="3">
        <f>D30</f>
        <v>1920</v>
      </c>
      <c r="J34" s="8">
        <f>E30</f>
        <v>2013</v>
      </c>
      <c r="K34" s="1" t="s">
        <v>145</v>
      </c>
    </row>
    <row r="35">
      <c r="A35" s="1"/>
      <c r="B35" s="26" t="s">
        <v>725</v>
      </c>
      <c r="C35" s="1"/>
      <c r="D35" s="1"/>
      <c r="E35" s="1"/>
      <c r="F35" s="1"/>
      <c r="G35" s="1"/>
      <c r="H35" s="1"/>
      <c r="I35" s="1"/>
      <c r="J35" s="112">
        <v>0.06</v>
      </c>
      <c r="K35" s="1" t="s">
        <v>734</v>
      </c>
    </row>
    <row r="36">
      <c r="A36" s="1"/>
      <c r="B36" s="26" t="s">
        <v>146</v>
      </c>
      <c r="C36" s="109" t="s">
        <v>89</v>
      </c>
      <c r="D36" s="109" t="s">
        <v>89</v>
      </c>
      <c r="E36" s="109" t="s">
        <v>89</v>
      </c>
      <c r="F36" s="109" t="s">
        <v>89</v>
      </c>
      <c r="G36" s="109" t="s">
        <v>89</v>
      </c>
      <c r="H36" s="109" t="s">
        <v>89</v>
      </c>
      <c r="I36" s="109" t="s">
        <v>89</v>
      </c>
      <c r="J36" s="112" t="s">
        <v>89</v>
      </c>
      <c r="K36" s="1" t="s">
        <v>735</v>
      </c>
    </row>
    <row r="37">
      <c r="A37" s="1"/>
      <c r="B37" s="26" t="s">
        <v>148</v>
      </c>
      <c r="C37" s="109" t="s">
        <v>89</v>
      </c>
      <c r="D37" s="109" t="s">
        <v>89</v>
      </c>
      <c r="E37" s="109" t="s">
        <v>89</v>
      </c>
      <c r="F37" s="109" t="s">
        <v>89</v>
      </c>
      <c r="G37" s="109" t="s">
        <v>89</v>
      </c>
      <c r="H37" s="109" t="s">
        <v>89</v>
      </c>
      <c r="I37" s="109" t="s">
        <v>89</v>
      </c>
      <c r="J37" s="112" t="s">
        <v>89</v>
      </c>
      <c r="K37" s="1" t="s">
        <v>728</v>
      </c>
    </row>
    <row r="38">
      <c r="A38" s="1"/>
      <c r="B38" s="26" t="s">
        <v>95</v>
      </c>
      <c r="C38" s="109" t="s">
        <v>89</v>
      </c>
      <c r="D38" s="109" t="s">
        <v>89</v>
      </c>
      <c r="E38" s="109" t="s">
        <v>89</v>
      </c>
      <c r="F38" s="109" t="s">
        <v>89</v>
      </c>
      <c r="G38" s="109" t="s">
        <v>89</v>
      </c>
      <c r="H38" s="109" t="s">
        <v>89</v>
      </c>
      <c r="I38" s="109" t="s">
        <v>89</v>
      </c>
      <c r="J38" s="112" t="s">
        <v>89</v>
      </c>
      <c r="K38" s="1" t="s">
        <v>729</v>
      </c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>
      <c r="A40" s="1"/>
      <c r="B40" s="1" t="s">
        <v>736</v>
      </c>
      <c r="C40" s="23">
        <v>337</v>
      </c>
      <c r="D40" s="23">
        <v>383</v>
      </c>
      <c r="E40" s="23">
        <v>415</v>
      </c>
      <c r="F40" s="3">
        <f>G40-C40-D40-E40</f>
        <v>462</v>
      </c>
      <c r="G40" s="23">
        <v>1597</v>
      </c>
      <c r="H40" s="23">
        <v>372</v>
      </c>
      <c r="I40" s="23">
        <v>430</v>
      </c>
      <c r="J40" s="50">
        <f>'Revenue summary'!J48-J10-J20-J30</f>
        <v>442.55797252746925</v>
      </c>
      <c r="K40" s="1" t="s">
        <v>143</v>
      </c>
    </row>
    <row r="41">
      <c r="A41" s="1"/>
      <c r="B41" s="26" t="s">
        <v>75</v>
      </c>
      <c r="C41" s="103">
        <f>C40/C44-1</f>
        <v>-0.026011560693641633</v>
      </c>
      <c r="D41" s="103">
        <f>D40/D44-1</f>
        <v>0.01055408970976246</v>
      </c>
      <c r="E41" s="103">
        <f>E40/E44-1</f>
        <v>0.04534005037783384</v>
      </c>
      <c r="F41" s="103">
        <f>F40/F44-1</f>
        <v>0.05239179954441919</v>
      </c>
      <c r="G41" s="103">
        <f>G40/G44-1</f>
        <v>0.023062139654068003</v>
      </c>
      <c r="H41" s="103">
        <f>H40/H44-1</f>
        <v>0.10385756676557856</v>
      </c>
      <c r="I41" s="103">
        <f>I40/I44-1</f>
        <v>0.12271540469973896</v>
      </c>
      <c r="J41" s="108">
        <f>J40/J44-1</f>
        <v>0.06640475307823923</v>
      </c>
      <c r="K41" s="1"/>
    </row>
    <row r="42">
      <c r="A42" s="1"/>
      <c r="B42" s="26" t="s">
        <v>85</v>
      </c>
      <c r="C42" s="21">
        <f>C40-F44</f>
        <v>-102</v>
      </c>
      <c r="D42" s="21">
        <f>D40-C40</f>
        <v>46</v>
      </c>
      <c r="E42" s="21">
        <f>E40-D40</f>
        <v>32</v>
      </c>
      <c r="F42" s="21">
        <f>F40-E40</f>
        <v>47</v>
      </c>
      <c r="G42" s="1"/>
      <c r="H42" s="21">
        <f>H40-F40</f>
        <v>-90</v>
      </c>
      <c r="I42" s="21">
        <f>I40-H40</f>
        <v>58</v>
      </c>
      <c r="J42" s="60">
        <f>J40-I40</f>
        <v>12.557972527469246</v>
      </c>
      <c r="K42" s="1"/>
    </row>
    <row r="43">
      <c r="A43" s="1"/>
      <c r="B43" s="26" t="s">
        <v>77</v>
      </c>
      <c r="C43" s="106">
        <f>C40/'Revenue summary'!C48</f>
        <v>0.032516402933230416</v>
      </c>
      <c r="D43" s="106">
        <f>D40/'Revenue summary'!D48</f>
        <v>0.03528327959465684</v>
      </c>
      <c r="E43" s="106">
        <f>E40/'Revenue summary'!E48</f>
        <v>0.03731343283582089</v>
      </c>
      <c r="F43" s="106">
        <f>F40/'Revenue summary'!F48</f>
        <v>0.03782234957020057</v>
      </c>
      <c r="G43" s="106">
        <f>G40/'Revenue summary'!G48</f>
        <v>0.03584253523655624</v>
      </c>
      <c r="H43" s="106">
        <f>H40/'Revenue summary'!H48</f>
        <v>0.03380281690140845</v>
      </c>
      <c r="I43" s="106">
        <f>I40/'Revenue summary'!I48</f>
        <v>0.03585125896281474</v>
      </c>
      <c r="J43" s="113">
        <f>J40/'Revenue summary'!J48</f>
        <v>0.036985059787901745</v>
      </c>
      <c r="K43" s="1"/>
    </row>
    <row r="44">
      <c r="A44" s="1"/>
      <c r="B44" s="1" t="s">
        <v>144</v>
      </c>
      <c r="C44" s="23">
        <v>346</v>
      </c>
      <c r="D44" s="23">
        <v>379</v>
      </c>
      <c r="E44" s="23">
        <v>397</v>
      </c>
      <c r="F44" s="3">
        <f>G44-C44-D44-E44</f>
        <v>439</v>
      </c>
      <c r="G44" s="23">
        <v>1561</v>
      </c>
      <c r="H44" s="3">
        <f>C40</f>
        <v>337</v>
      </c>
      <c r="I44" s="3">
        <f>D40</f>
        <v>383</v>
      </c>
      <c r="J44" s="8">
        <f>E40</f>
        <v>415</v>
      </c>
      <c r="K44" s="1" t="s">
        <v>145</v>
      </c>
    </row>
    <row r="45">
      <c r="A45" s="1"/>
      <c r="B45" s="26" t="s">
        <v>737</v>
      </c>
      <c r="C45" s="1"/>
      <c r="D45" s="1"/>
      <c r="E45" s="1"/>
      <c r="F45" s="1"/>
      <c r="G45" s="1"/>
      <c r="H45" s="1"/>
      <c r="I45" s="1"/>
      <c r="J45" s="108">
        <f>J40/J44-1</f>
        <v>0.06640475307823923</v>
      </c>
      <c r="K45" s="1" t="s">
        <v>738</v>
      </c>
    </row>
    <row r="46">
      <c r="A46" s="1"/>
      <c r="B46" s="26" t="s">
        <v>146</v>
      </c>
      <c r="C46" s="109" t="s">
        <v>89</v>
      </c>
      <c r="D46" s="109" t="s">
        <v>89</v>
      </c>
      <c r="E46" s="109" t="s">
        <v>89</v>
      </c>
      <c r="F46" s="109" t="s">
        <v>89</v>
      </c>
      <c r="G46" s="109" t="s">
        <v>89</v>
      </c>
      <c r="H46" s="109" t="s">
        <v>89</v>
      </c>
      <c r="I46" s="109" t="s">
        <v>89</v>
      </c>
      <c r="J46" s="112" t="s">
        <v>89</v>
      </c>
      <c r="K46" s="1" t="s">
        <v>739</v>
      </c>
    </row>
    <row r="47">
      <c r="A47" s="1"/>
      <c r="B47" s="26" t="s">
        <v>148</v>
      </c>
      <c r="C47" s="109" t="s">
        <v>89</v>
      </c>
      <c r="D47" s="109" t="s">
        <v>89</v>
      </c>
      <c r="E47" s="109" t="s">
        <v>89</v>
      </c>
      <c r="F47" s="109" t="s">
        <v>89</v>
      </c>
      <c r="G47" s="109" t="s">
        <v>89</v>
      </c>
      <c r="H47" s="109" t="s">
        <v>89</v>
      </c>
      <c r="I47" s="109" t="s">
        <v>89</v>
      </c>
      <c r="J47" s="112" t="s">
        <v>89</v>
      </c>
      <c r="K47" s="1" t="s">
        <v>728</v>
      </c>
    </row>
    <row r="48">
      <c r="A48" s="1"/>
      <c r="B48" s="26" t="s">
        <v>95</v>
      </c>
      <c r="C48" s="109" t="s">
        <v>89</v>
      </c>
      <c r="D48" s="109" t="s">
        <v>89</v>
      </c>
      <c r="E48" s="109" t="s">
        <v>89</v>
      </c>
      <c r="F48" s="109" t="s">
        <v>89</v>
      </c>
      <c r="G48" s="109" t="s">
        <v>89</v>
      </c>
      <c r="H48" s="109" t="s">
        <v>89</v>
      </c>
      <c r="I48" s="109" t="s">
        <v>89</v>
      </c>
      <c r="J48" s="112" t="s">
        <v>89</v>
      </c>
      <c r="K48" s="1" t="s">
        <v>729</v>
      </c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>
      <c r="A50" s="1"/>
      <c r="B50" s="33" t="s">
        <v>740</v>
      </c>
      <c r="C50" s="55">
        <f>C10+C20+C30+C40</f>
        <v>10365</v>
      </c>
      <c r="D50" s="55">
        <f>D10+D20+D30+D40</f>
        <v>10855</v>
      </c>
      <c r="E50" s="55">
        <f>E10+E20+E30+E40</f>
        <v>11122</v>
      </c>
      <c r="F50" s="55">
        <f>F10+F20+F30+F40</f>
        <v>12215</v>
      </c>
      <c r="G50" s="55">
        <f>G10+G20+G30+G40</f>
        <v>44557</v>
      </c>
      <c r="H50" s="55">
        <f>H10+H20+H30+H40</f>
        <v>11004</v>
      </c>
      <c r="I50" s="55">
        <f>I10+I20+I30+I40</f>
        <v>11994</v>
      </c>
      <c r="J50" s="53">
        <f>J10+J20+J30+J40</f>
        <v>11965.85797252747</v>
      </c>
      <c r="K50" s="1"/>
    </row>
    <row r="51">
      <c r="A51" s="1"/>
      <c r="B51" s="1" t="s">
        <v>741</v>
      </c>
      <c r="C51" s="18">
        <f>'Revenue summary'!C48</f>
        <v>10364</v>
      </c>
      <c r="D51" s="18">
        <f>'Revenue summary'!D48</f>
        <v>10855</v>
      </c>
      <c r="E51" s="18">
        <f>'Revenue summary'!E48</f>
        <v>11122</v>
      </c>
      <c r="F51" s="18">
        <f>'Revenue summary'!F48</f>
        <v>12215</v>
      </c>
      <c r="G51" s="18">
        <f>'Revenue summary'!G48</f>
        <v>44556</v>
      </c>
      <c r="H51" s="18">
        <f>'Revenue summary'!H48</f>
        <v>11005</v>
      </c>
      <c r="I51" s="18">
        <f>'Revenue summary'!I48</f>
        <v>11994</v>
      </c>
      <c r="J51" s="50">
        <f>'Revenue summary'!J48</f>
        <v>11965.85797252747</v>
      </c>
      <c r="K51" s="1"/>
    </row>
    <row r="52">
      <c r="A52" s="1"/>
      <c r="B52" s="26" t="s">
        <v>742</v>
      </c>
      <c r="C52" s="21">
        <f>C50-C51</f>
        <v>1</v>
      </c>
      <c r="D52" s="21">
        <f>D50-D51</f>
        <v>0</v>
      </c>
      <c r="E52" s="21">
        <f>E50-E51</f>
        <v>0</v>
      </c>
      <c r="F52" s="21">
        <f>F50-F51</f>
        <v>0</v>
      </c>
      <c r="G52" s="21">
        <f>G50-G51</f>
        <v>1</v>
      </c>
      <c r="H52" s="21">
        <f>H50-H51</f>
        <v>-1</v>
      </c>
      <c r="I52" s="21">
        <f>I50-I51</f>
        <v>0</v>
      </c>
      <c r="J52" s="60">
        <f>J50-J51</f>
        <v>0</v>
      </c>
      <c r="K52" s="1"/>
    </row>
    <row r="53">
      <c r="A53" s="1"/>
      <c r="B53" s="1" t="s">
        <v>743</v>
      </c>
      <c r="C53" s="40" t="b">
        <f>ABS(C52)&lt;=2</f>
        <v>1</v>
      </c>
      <c r="D53" s="40" t="b">
        <f>ABS(D52)&lt;=2</f>
        <v>1</v>
      </c>
      <c r="E53" s="40" t="b">
        <f>ABS(E52)&lt;=2</f>
        <v>1</v>
      </c>
      <c r="F53" s="40" t="b">
        <f>ABS(F52)&lt;=2</f>
        <v>1</v>
      </c>
      <c r="G53" s="40" t="b">
        <f>ABS(G52)&lt;=2</f>
        <v>1</v>
      </c>
      <c r="H53" s="40" t="b">
        <f>ABS(H52)&lt;=2</f>
        <v>1</v>
      </c>
      <c r="I53" s="40" t="b">
        <f>ABS(I52)&lt;=2</f>
        <v>1</v>
      </c>
      <c r="J53" s="76" t="b">
        <f>ABS(J52)&lt;=2</f>
        <v>1</v>
      </c>
      <c r="K53" s="1" t="s">
        <v>744</v>
      </c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4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745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61</v>
      </c>
      <c r="C5" s="16" t="s">
        <v>62</v>
      </c>
      <c r="D5" s="16" t="s">
        <v>63</v>
      </c>
      <c r="E5" s="16" t="s">
        <v>64</v>
      </c>
      <c r="F5" s="16" t="s">
        <v>65</v>
      </c>
      <c r="G5" s="16" t="s">
        <v>66</v>
      </c>
      <c r="H5" s="16" t="s">
        <v>67</v>
      </c>
      <c r="I5" s="16" t="s">
        <v>68</v>
      </c>
      <c r="J5" s="43" t="s">
        <v>69</v>
      </c>
      <c r="K5" s="9" t="s">
        <v>4</v>
      </c>
    </row>
    <row r="6">
      <c r="A6" s="1"/>
      <c r="B6" s="6" t="s">
        <v>70</v>
      </c>
      <c r="C6" s="14">
        <v>45745</v>
      </c>
      <c r="D6" s="14">
        <v>45836</v>
      </c>
      <c r="E6" s="14">
        <v>45927</v>
      </c>
      <c r="F6" s="14">
        <v>46022</v>
      </c>
      <c r="G6" s="14">
        <v>46022</v>
      </c>
      <c r="H6" s="14">
        <v>46109</v>
      </c>
      <c r="I6" s="14">
        <v>46200</v>
      </c>
      <c r="J6" s="45">
        <v>46291</v>
      </c>
      <c r="K6" s="6" t="s">
        <v>71</v>
      </c>
    </row>
    <row r="7">
      <c r="A7" s="1"/>
      <c r="B7" s="28" t="s">
        <v>72</v>
      </c>
      <c r="C7" s="22">
        <v>88</v>
      </c>
      <c r="D7" s="11">
        <f>D6-C6</f>
        <v>91</v>
      </c>
      <c r="E7" s="11">
        <f>E6-D6</f>
        <v>91</v>
      </c>
      <c r="F7" s="11">
        <f>F6-E6</f>
        <v>95</v>
      </c>
      <c r="G7" s="22">
        <v>365</v>
      </c>
      <c r="H7" s="11">
        <f>H6-F6</f>
        <v>87</v>
      </c>
      <c r="I7" s="11">
        <f>I6-H6</f>
        <v>91</v>
      </c>
      <c r="J7" s="36">
        <f>J6-I6</f>
        <v>91</v>
      </c>
      <c r="K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746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 t="s">
        <v>747</v>
      </c>
      <c r="C10" s="23">
        <v>378</v>
      </c>
      <c r="D10" s="23">
        <v>378</v>
      </c>
      <c r="E10" s="23">
        <v>378</v>
      </c>
      <c r="F10" s="23">
        <v>376</v>
      </c>
      <c r="G10" s="23">
        <v>377</v>
      </c>
      <c r="H10" s="23">
        <v>372</v>
      </c>
      <c r="I10" s="23">
        <v>371</v>
      </c>
      <c r="J10" s="8">
        <f>(J29+J32)/2</f>
        <v>369.94728599999996</v>
      </c>
      <c r="K10" s="1" t="s">
        <v>748</v>
      </c>
    </row>
    <row r="11">
      <c r="A11" s="1"/>
      <c r="B11" s="62" t="s">
        <v>749</v>
      </c>
      <c r="C11" s="12">
        <v>379</v>
      </c>
      <c r="D11" s="12">
        <v>378</v>
      </c>
      <c r="E11" s="12">
        <v>378</v>
      </c>
      <c r="F11" s="12">
        <v>377</v>
      </c>
      <c r="G11" s="12">
        <v>378</v>
      </c>
      <c r="H11" s="12">
        <v>373</v>
      </c>
      <c r="I11" s="12">
        <v>371</v>
      </c>
      <c r="J11" s="53">
        <f>J10+J34</f>
        <v>370.547286</v>
      </c>
      <c r="K11" s="2" t="s">
        <v>750</v>
      </c>
    </row>
    <row r="12">
      <c r="A12" s="1"/>
      <c r="B12" s="26" t="s">
        <v>751</v>
      </c>
      <c r="C12" s="1"/>
      <c r="D12" s="21">
        <f>D10-C10</f>
        <v>0</v>
      </c>
      <c r="E12" s="21">
        <f>E10-D10</f>
        <v>0</v>
      </c>
      <c r="F12" s="21">
        <f>F10-E10</f>
        <v>-2</v>
      </c>
      <c r="G12" s="1"/>
      <c r="H12" s="21">
        <f>H10-F10</f>
        <v>-4</v>
      </c>
      <c r="I12" s="21">
        <f>I10-H10</f>
        <v>-1</v>
      </c>
      <c r="J12" s="60">
        <f>J10-I10</f>
        <v>-1.0527140000000372</v>
      </c>
      <c r="K12" s="1"/>
    </row>
    <row r="13">
      <c r="A13" s="1"/>
      <c r="B13" s="1" t="s">
        <v>752</v>
      </c>
      <c r="C13" s="3">
        <f>C11-C10</f>
        <v>1</v>
      </c>
      <c r="D13" s="3">
        <f>D11-D10</f>
        <v>0</v>
      </c>
      <c r="E13" s="3">
        <f>E11-E10</f>
        <v>0</v>
      </c>
      <c r="F13" s="3">
        <f>F11-F10</f>
        <v>1</v>
      </c>
      <c r="G13" s="3">
        <f>G11-G10</f>
        <v>1</v>
      </c>
      <c r="H13" s="3">
        <f>H11-H10</f>
        <v>1</v>
      </c>
      <c r="I13" s="3">
        <f>I11-I10</f>
        <v>0</v>
      </c>
      <c r="J13" s="8">
        <f>J11-J10</f>
        <v>0.6000000000000227</v>
      </c>
      <c r="K13" s="1" t="s">
        <v>753</v>
      </c>
    </row>
    <row r="14">
      <c r="A14" s="1"/>
      <c r="B14" s="26" t="s">
        <v>754</v>
      </c>
      <c r="C14" s="1"/>
      <c r="D14" s="1"/>
      <c r="E14" s="1"/>
      <c r="F14" s="1"/>
      <c r="G14" s="1"/>
      <c r="H14" s="103">
        <f>H11/C11-1</f>
        <v>-0.0158311345646438</v>
      </c>
      <c r="I14" s="103">
        <f>I11/D11-1</f>
        <v>-0.01851851851851849</v>
      </c>
      <c r="J14" s="108">
        <f>J11/E11-1</f>
        <v>-0.019716174603174652</v>
      </c>
      <c r="K14" s="1"/>
    </row>
    <row r="15">
      <c r="A15" s="1"/>
      <c r="B15" s="26" t="s">
        <v>755</v>
      </c>
      <c r="C15" s="1"/>
      <c r="D15" s="21">
        <f>D11-C11</f>
        <v>-1</v>
      </c>
      <c r="E15" s="21">
        <f>E11-D11</f>
        <v>0</v>
      </c>
      <c r="F15" s="21">
        <f>F11-E11</f>
        <v>-1</v>
      </c>
      <c r="G15" s="1"/>
      <c r="H15" s="21">
        <f>H11-F11</f>
        <v>-4</v>
      </c>
      <c r="I15" s="21">
        <f>I11-H11</f>
        <v>-2</v>
      </c>
      <c r="J15" s="60">
        <f>J11-I11</f>
        <v>-0.4527140000000145</v>
      </c>
      <c r="K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>
      <c r="A17" s="1"/>
      <c r="B17" s="13" t="s">
        <v>756</v>
      </c>
      <c r="C17" s="1"/>
      <c r="D17" s="1"/>
      <c r="E17" s="1"/>
      <c r="F17" s="1"/>
      <c r="G17" s="1"/>
      <c r="H17" s="1"/>
      <c r="I17" s="1"/>
      <c r="J17" s="1"/>
      <c r="K17" s="1"/>
    </row>
    <row r="18">
      <c r="A18" s="1"/>
      <c r="B18" s="1" t="s">
        <v>757</v>
      </c>
      <c r="C18" s="23">
        <v>377.493912</v>
      </c>
      <c r="D18" s="23">
        <v>377.612121</v>
      </c>
      <c r="E18" s="23">
        <v>375.708059</v>
      </c>
      <c r="F18" s="23" t="s">
        <v>34</v>
      </c>
      <c r="G18" s="23" t="s">
        <v>34</v>
      </c>
      <c r="H18" s="23">
        <v>371.621465</v>
      </c>
      <c r="I18" s="23">
        <v>369.747286</v>
      </c>
      <c r="J18" s="8">
        <f>J32</f>
        <v>370.14728599999995</v>
      </c>
      <c r="K18" s="1" t="s">
        <v>758</v>
      </c>
    </row>
    <row r="19">
      <c r="A19" s="1"/>
      <c r="B19" s="26" t="s">
        <v>759</v>
      </c>
      <c r="C19" s="1"/>
      <c r="D19" s="21">
        <f>D18-C18</f>
        <v>0.11820899999997891</v>
      </c>
      <c r="E19" s="21">
        <f>E18-D18</f>
        <v>-1.9040620000000104</v>
      </c>
      <c r="F19" s="1"/>
      <c r="G19" s="1"/>
      <c r="H19" s="1"/>
      <c r="I19" s="21">
        <f>I18-H18</f>
        <v>-1.8741790000000265</v>
      </c>
      <c r="J19" s="60">
        <f>J18-I18</f>
        <v>0.39999999999997726</v>
      </c>
      <c r="K19" s="1" t="s">
        <v>760</v>
      </c>
    </row>
    <row r="20">
      <c r="A20" s="1"/>
      <c r="B20" s="1" t="s">
        <v>761</v>
      </c>
      <c r="C20" s="23">
        <v>3.639158</v>
      </c>
      <c r="D20" s="23">
        <v>0</v>
      </c>
      <c r="E20" s="23">
        <v>2.116219</v>
      </c>
      <c r="F20" s="23" t="s">
        <v>34</v>
      </c>
      <c r="G20" s="23" t="s">
        <v>34</v>
      </c>
      <c r="H20" s="23">
        <v>4.869851</v>
      </c>
      <c r="I20" s="23">
        <v>2.071838</v>
      </c>
      <c r="J20" s="8">
        <f>J31</f>
        <v>0</v>
      </c>
      <c r="K20" s="1" t="s">
        <v>762</v>
      </c>
    </row>
    <row r="21">
      <c r="A21" s="1"/>
      <c r="B21" s="1" t="s">
        <v>763</v>
      </c>
      <c r="C21" s="27">
        <v>549.58</v>
      </c>
      <c r="D21" s="27" t="s">
        <v>34</v>
      </c>
      <c r="E21" s="27">
        <v>472.54</v>
      </c>
      <c r="F21" s="27" t="s">
        <v>34</v>
      </c>
      <c r="G21" s="27" t="s">
        <v>34</v>
      </c>
      <c r="H21" s="27">
        <v>616.04</v>
      </c>
      <c r="I21" s="27">
        <v>482.66</v>
      </c>
      <c r="J21" s="51" t="s">
        <v>34</v>
      </c>
      <c r="K21" s="1"/>
    </row>
    <row r="22">
      <c r="A22" s="1"/>
      <c r="B22" s="1" t="s">
        <v>764</v>
      </c>
      <c r="C22" s="3">
        <f>C20*C21</f>
        <v>2000.0084536400002</v>
      </c>
      <c r="D22" s="1"/>
      <c r="E22" s="3">
        <f>E20*E21</f>
        <v>999.99812626</v>
      </c>
      <c r="F22" s="1"/>
      <c r="G22" s="1"/>
      <c r="H22" s="3">
        <f>H20*H21</f>
        <v>3000.0230100399995</v>
      </c>
      <c r="I22" s="3">
        <f>I20*I21</f>
        <v>999.9933290800001</v>
      </c>
      <c r="J22" s="54"/>
      <c r="K22" s="1" t="s">
        <v>765</v>
      </c>
    </row>
    <row r="23">
      <c r="A23" s="1"/>
      <c r="B23" s="1" t="s">
        <v>766</v>
      </c>
      <c r="C23" s="18">
        <f>-'Cash Flow Statement'!C34</f>
        <v>2000</v>
      </c>
      <c r="D23" s="18">
        <f>-'Cash Flow Statement'!D34</f>
        <v>0</v>
      </c>
      <c r="E23" s="18">
        <f>-'Cash Flow Statement'!E34</f>
        <v>963</v>
      </c>
      <c r="F23" s="18">
        <f>-'Cash Flow Statement'!F34</f>
        <v>37</v>
      </c>
      <c r="G23" s="18">
        <f>-'Cash Flow Statement'!G34</f>
        <v>3000</v>
      </c>
      <c r="H23" s="18">
        <f>-'Cash Flow Statement'!H34</f>
        <v>3000</v>
      </c>
      <c r="I23" s="18">
        <f>-'Cash Flow Statement'!I34</f>
        <v>1000</v>
      </c>
      <c r="J23" s="50">
        <f>-'Cash Flow Statement'!J34</f>
        <v>0</v>
      </c>
      <c r="K23" s="1" t="s">
        <v>767</v>
      </c>
    </row>
    <row r="24">
      <c r="A24" s="1"/>
      <c r="B24" s="1" t="s">
        <v>768</v>
      </c>
      <c r="C24" s="1"/>
      <c r="D24" s="3">
        <f>D18-C18+D20</f>
        <v>0.11820899999997891</v>
      </c>
      <c r="E24" s="3">
        <f>E18-D18+E20</f>
        <v>0.21215699999998971</v>
      </c>
      <c r="F24" s="1"/>
      <c r="G24" s="1"/>
      <c r="H24" s="1"/>
      <c r="I24" s="3">
        <f>I18-H18+I20</f>
        <v>0.1976589999999736</v>
      </c>
      <c r="J24" s="8">
        <f>J30</f>
        <v>0.4</v>
      </c>
      <c r="K24" s="1" t="s">
        <v>769</v>
      </c>
    </row>
    <row r="25">
      <c r="A25" s="1"/>
      <c r="B25" s="1" t="s">
        <v>770</v>
      </c>
      <c r="C25" s="18">
        <f>-'Cash Flow Statement'!C35</f>
        <v>149</v>
      </c>
      <c r="D25" s="18">
        <f>-'Cash Flow Statement'!D35</f>
        <v>162</v>
      </c>
      <c r="E25" s="18">
        <f>-'Cash Flow Statement'!E35</f>
        <v>163</v>
      </c>
      <c r="F25" s="18">
        <f>-'Cash Flow Statement'!F35</f>
        <v>162</v>
      </c>
      <c r="G25" s="18">
        <f>-'Cash Flow Statement'!G35</f>
        <v>636</v>
      </c>
      <c r="H25" s="18">
        <f>-'Cash Flow Statement'!H35</f>
        <v>162</v>
      </c>
      <c r="I25" s="18">
        <f>-'Cash Flow Statement'!I35</f>
        <v>175</v>
      </c>
      <c r="J25" s="50">
        <f>-'Cash Flow Statement'!J35</f>
        <v>173.87522441999997</v>
      </c>
      <c r="K25" s="1"/>
    </row>
    <row r="26">
      <c r="A26" s="1"/>
      <c r="B26" s="1" t="s">
        <v>771</v>
      </c>
      <c r="C26" s="17">
        <f>C25/C10</f>
        <v>0.3941798941798942</v>
      </c>
      <c r="D26" s="17">
        <f>D25/D10</f>
        <v>0.42857142857142855</v>
      </c>
      <c r="E26" s="17">
        <f>E25/E10</f>
        <v>0.4312169312169312</v>
      </c>
      <c r="F26" s="17">
        <f>F25/F10</f>
        <v>0.4308510638297872</v>
      </c>
      <c r="G26" s="17">
        <f>G25/G10</f>
        <v>1.687002652519894</v>
      </c>
      <c r="H26" s="17">
        <f>H25/H10</f>
        <v>0.43548387096774194</v>
      </c>
      <c r="I26" s="17">
        <f>I25/I10</f>
        <v>0.4716981132075472</v>
      </c>
      <c r="J26" s="56">
        <f>J25/J10</f>
        <v>0.47</v>
      </c>
      <c r="K26" s="1" t="s">
        <v>772</v>
      </c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>
      <c r="A28" s="1"/>
      <c r="B28" s="13" t="s">
        <v>773</v>
      </c>
      <c r="C28" s="1"/>
      <c r="D28" s="1"/>
      <c r="E28" s="1"/>
      <c r="F28" s="1"/>
      <c r="G28" s="1"/>
      <c r="H28" s="1"/>
      <c r="I28" s="1"/>
      <c r="J28" s="1"/>
      <c r="K28" s="1"/>
    </row>
    <row r="29">
      <c r="A29" s="1"/>
      <c r="B29" s="1" t="s">
        <v>774</v>
      </c>
      <c r="C29" s="1"/>
      <c r="D29" s="1"/>
      <c r="E29" s="1"/>
      <c r="F29" s="1"/>
      <c r="G29" s="1"/>
      <c r="H29" s="1"/>
      <c r="I29" s="1"/>
      <c r="J29" s="8">
        <f>I18</f>
        <v>369.747286</v>
      </c>
      <c r="K29" s="1" t="s">
        <v>775</v>
      </c>
    </row>
    <row r="30">
      <c r="A30" s="1"/>
      <c r="B30" s="1" t="s">
        <v>776</v>
      </c>
      <c r="C30" s="1"/>
      <c r="D30" s="1"/>
      <c r="E30" s="1"/>
      <c r="F30" s="1"/>
      <c r="G30" s="1"/>
      <c r="H30" s="1"/>
      <c r="I30" s="1"/>
      <c r="J30" s="57">
        <v>0.4</v>
      </c>
      <c r="K30" s="1" t="s">
        <v>777</v>
      </c>
    </row>
    <row r="31">
      <c r="A31" s="1"/>
      <c r="B31" s="1" t="s">
        <v>778</v>
      </c>
      <c r="C31" s="1"/>
      <c r="D31" s="1"/>
      <c r="E31" s="1"/>
      <c r="F31" s="1"/>
      <c r="G31" s="1"/>
      <c r="H31" s="1"/>
      <c r="I31" s="1"/>
      <c r="J31" s="57">
        <v>0</v>
      </c>
      <c r="K31" s="1" t="s">
        <v>779</v>
      </c>
    </row>
    <row r="32">
      <c r="A32" s="1"/>
      <c r="B32" s="1" t="s">
        <v>780</v>
      </c>
      <c r="C32" s="15"/>
      <c r="D32" s="15"/>
      <c r="E32" s="15"/>
      <c r="F32" s="15"/>
      <c r="G32" s="15"/>
      <c r="H32" s="15"/>
      <c r="I32" s="15"/>
      <c r="J32" s="20">
        <f>J29+J30-J31</f>
        <v>370.14728599999995</v>
      </c>
      <c r="K32" s="1"/>
    </row>
    <row r="33">
      <c r="A33" s="1"/>
      <c r="B33" s="1" t="s">
        <v>781</v>
      </c>
      <c r="C33" s="1"/>
      <c r="D33" s="1"/>
      <c r="E33" s="1"/>
      <c r="F33" s="1"/>
      <c r="G33" s="1"/>
      <c r="H33" s="1"/>
      <c r="I33" s="1"/>
      <c r="J33" s="8">
        <f>(J29+J32)/2</f>
        <v>369.94728599999996</v>
      </c>
      <c r="K33" s="1" t="s">
        <v>782</v>
      </c>
    </row>
    <row r="34">
      <c r="A34" s="1"/>
      <c r="B34" s="1" t="s">
        <v>783</v>
      </c>
      <c r="C34" s="1"/>
      <c r="D34" s="1"/>
      <c r="E34" s="1"/>
      <c r="F34" s="1"/>
      <c r="G34" s="1"/>
      <c r="H34" s="1"/>
      <c r="I34" s="1"/>
      <c r="J34" s="57">
        <v>0.6</v>
      </c>
      <c r="K34" s="1" t="s">
        <v>784</v>
      </c>
    </row>
    <row r="35">
      <c r="A35" s="1"/>
      <c r="B35" s="33" t="s">
        <v>785</v>
      </c>
      <c r="C35" s="15"/>
      <c r="D35" s="15"/>
      <c r="E35" s="15"/>
      <c r="F35" s="15"/>
      <c r="G35" s="15"/>
      <c r="H35" s="15"/>
      <c r="I35" s="15"/>
      <c r="J35" s="53">
        <f>J11</f>
        <v>370.547286</v>
      </c>
      <c r="K35" s="1" t="s">
        <v>786</v>
      </c>
    </row>
    <row r="36">
      <c r="A36" s="1"/>
      <c r="B36" s="1" t="s">
        <v>787</v>
      </c>
      <c r="C36" s="1"/>
      <c r="D36" s="1"/>
      <c r="E36" s="1"/>
      <c r="F36" s="1"/>
      <c r="G36" s="1"/>
      <c r="H36" s="1"/>
      <c r="I36" s="1"/>
      <c r="J36" s="57">
        <v>0</v>
      </c>
      <c r="K36" s="1" t="s">
        <v>788</v>
      </c>
    </row>
    <row r="37">
      <c r="A37" s="1"/>
      <c r="B37" s="1" t="s">
        <v>789</v>
      </c>
      <c r="C37" s="1"/>
      <c r="D37" s="1"/>
      <c r="E37" s="1"/>
      <c r="F37" s="1"/>
      <c r="G37" s="1"/>
      <c r="H37" s="1"/>
      <c r="I37" s="1"/>
      <c r="J37" s="64">
        <v>0.47</v>
      </c>
      <c r="K37" s="1" t="s">
        <v>790</v>
      </c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>
      <c r="A39" s="1"/>
      <c r="B39" s="13" t="s">
        <v>791</v>
      </c>
      <c r="C39" s="1"/>
      <c r="D39" s="1"/>
      <c r="E39" s="1"/>
      <c r="F39" s="1"/>
      <c r="G39" s="1"/>
      <c r="H39" s="1"/>
      <c r="I39" s="1"/>
      <c r="J39" s="1"/>
      <c r="K39" s="1"/>
    </row>
    <row r="40">
      <c r="A40" s="1"/>
      <c r="B40" s="1" t="s">
        <v>792</v>
      </c>
      <c r="C40" s="1"/>
      <c r="D40" s="1"/>
      <c r="E40" s="1"/>
      <c r="F40" s="1"/>
      <c r="G40" s="1"/>
      <c r="H40" s="1"/>
      <c r="I40" s="1"/>
      <c r="J40" s="61">
        <f>Inputs!C96</f>
        <v>690</v>
      </c>
      <c r="K40" s="1" t="s">
        <v>793</v>
      </c>
    </row>
    <row r="41">
      <c r="A41" s="1"/>
      <c r="B41" s="1" t="s">
        <v>794</v>
      </c>
      <c r="C41" s="1"/>
      <c r="D41" s="1"/>
      <c r="E41" s="1"/>
      <c r="F41" s="1"/>
      <c r="G41" s="1"/>
      <c r="H41" s="1"/>
      <c r="I41" s="1"/>
      <c r="J41" s="8">
        <f>I18*J40/1000</f>
        <v>255.12562733999997</v>
      </c>
      <c r="K41" s="1" t="s">
        <v>795</v>
      </c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4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796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3</v>
      </c>
      <c r="C5" s="104"/>
      <c r="D5" s="104"/>
      <c r="E5" s="104"/>
      <c r="F5" s="104"/>
      <c r="G5" s="104"/>
      <c r="H5" s="104"/>
      <c r="I5" s="104"/>
      <c r="J5" s="104"/>
      <c r="K5" s="9" t="s">
        <v>4</v>
      </c>
    </row>
    <row r="6">
      <c r="A6" s="1"/>
      <c r="B6" s="105"/>
      <c r="C6" s="105"/>
      <c r="D6" s="105"/>
      <c r="E6" s="105"/>
      <c r="F6" s="105"/>
      <c r="G6" s="105"/>
      <c r="H6" s="105"/>
      <c r="I6" s="105"/>
      <c r="J6" s="105"/>
      <c r="K6" s="105"/>
    </row>
    <row r="7">
      <c r="A7" s="1"/>
      <c r="B7" s="105"/>
      <c r="C7" s="105"/>
      <c r="D7" s="105"/>
      <c r="E7" s="105"/>
      <c r="F7" s="105"/>
      <c r="G7" s="105"/>
      <c r="H7" s="105"/>
      <c r="I7" s="105"/>
      <c r="J7" s="105"/>
      <c r="K7" s="107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797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24" t="s">
        <v>798</v>
      </c>
      <c r="C10" s="42" t="s">
        <v>799</v>
      </c>
      <c r="D10" s="111" t="s">
        <v>61</v>
      </c>
      <c r="E10" s="111" t="s">
        <v>25</v>
      </c>
      <c r="F10" s="42" t="s">
        <v>800</v>
      </c>
      <c r="G10" s="42" t="s">
        <v>801</v>
      </c>
      <c r="H10" s="42" t="s">
        <v>802</v>
      </c>
      <c r="I10" s="42" t="s">
        <v>803</v>
      </c>
      <c r="J10" s="42" t="s">
        <v>804</v>
      </c>
      <c r="K10" s="24" t="s">
        <v>805</v>
      </c>
    </row>
    <row r="11">
      <c r="A11" s="1"/>
      <c r="B11" s="1" t="s">
        <v>806</v>
      </c>
      <c r="C11" s="29">
        <v>45952</v>
      </c>
      <c r="D11" s="30" t="s">
        <v>807</v>
      </c>
      <c r="E11" s="30" t="s">
        <v>33</v>
      </c>
      <c r="F11" s="23">
        <v>44100</v>
      </c>
      <c r="G11" s="23">
        <v>44500</v>
      </c>
      <c r="H11" s="3">
        <f>AVERAGE(F11:G11)</f>
        <v>44300</v>
      </c>
      <c r="I11" s="18">
        <f>'Income Statement'!G10</f>
        <v>44556</v>
      </c>
      <c r="J11" s="3" t="str">
        <f>IF(AND(ISNUMBER(I11),ISNUMBER(H11)),IF(I11&gt;H11,"Beat",IF(I11&lt;H11,"Miss","In line")),"Pending")</f>
        <v>Beat</v>
      </c>
      <c r="K11" s="1" t="s">
        <v>808</v>
      </c>
    </row>
    <row r="12">
      <c r="A12" s="1"/>
      <c r="B12" s="1" t="s">
        <v>809</v>
      </c>
      <c r="C12" s="29">
        <v>45952</v>
      </c>
      <c r="D12" s="30" t="s">
        <v>807</v>
      </c>
      <c r="E12" s="30" t="s">
        <v>810</v>
      </c>
      <c r="F12" s="32">
        <v>22.6</v>
      </c>
      <c r="G12" s="32">
        <v>22.86</v>
      </c>
      <c r="H12" s="17">
        <f>AVERAGE(F12:G12)</f>
        <v>22.73</v>
      </c>
      <c r="I12" s="39">
        <f>'Income Statement'!G118</f>
        <v>22.87</v>
      </c>
      <c r="J12" s="17" t="str">
        <f>IF(AND(ISNUMBER(I12),ISNUMBER(H12)),IF(I12&gt;H12,"Beat",IF(I12&lt;H12,"Miss","In line")),"Pending")</f>
        <v>Beat</v>
      </c>
      <c r="K12" s="1" t="s">
        <v>808</v>
      </c>
    </row>
    <row r="13">
      <c r="A13" s="1"/>
      <c r="B13" s="1" t="s">
        <v>811</v>
      </c>
      <c r="C13" s="29">
        <v>45952</v>
      </c>
      <c r="D13" s="30" t="s">
        <v>812</v>
      </c>
      <c r="E13" s="30" t="s">
        <v>810</v>
      </c>
      <c r="F13" s="39">
        <f>F12-('Income Statement'!C118+'Income Statement'!D118+'Income Statement'!E118)</f>
        <v>6.300000000000001</v>
      </c>
      <c r="G13" s="39">
        <f>G12-('Income Statement'!C118+'Income Statement'!D118+'Income Statement'!E118)</f>
        <v>6.559999999999999</v>
      </c>
      <c r="H13" s="17">
        <f>AVERAGE(F13:G13)</f>
        <v>6.43</v>
      </c>
      <c r="I13" s="39">
        <f>'Income Statement'!F118</f>
        <v>6.57</v>
      </c>
      <c r="J13" s="17" t="str">
        <f>IF(AND(ISNUMBER(I13),ISNUMBER(H13)),IF(I13&gt;H13,"Beat",IF(I13&lt;H13,"Miss","In line")),"Pending")</f>
        <v>Beat</v>
      </c>
      <c r="K13" s="1" t="s">
        <v>813</v>
      </c>
    </row>
    <row r="14">
      <c r="A14" s="1"/>
      <c r="B14" s="1" t="s">
        <v>814</v>
      </c>
      <c r="C14" s="29">
        <v>46051</v>
      </c>
      <c r="D14" s="30" t="s">
        <v>815</v>
      </c>
      <c r="E14" s="30" t="s">
        <v>33</v>
      </c>
      <c r="F14" s="23">
        <v>46300</v>
      </c>
      <c r="G14" s="23">
        <v>47200</v>
      </c>
      <c r="H14" s="3">
        <f>AVERAGE(F14:G14)</f>
        <v>46750</v>
      </c>
      <c r="I14" s="25" t="s">
        <v>816</v>
      </c>
      <c r="J14" s="3" t="str">
        <f>IF(AND(ISNUMBER(I14),ISNUMBER(H14)),IF(I14&gt;H14,"Beat",IF(I14&lt;H14,"Miss","In line")),"Pending")</f>
        <v>Pending</v>
      </c>
      <c r="K14" s="1" t="s">
        <v>817</v>
      </c>
    </row>
    <row r="15">
      <c r="A15" s="1"/>
      <c r="B15" s="1" t="s">
        <v>818</v>
      </c>
      <c r="C15" s="29">
        <v>46051</v>
      </c>
      <c r="D15" s="30" t="s">
        <v>815</v>
      </c>
      <c r="E15" s="30" t="s">
        <v>810</v>
      </c>
      <c r="F15" s="32">
        <v>24.22</v>
      </c>
      <c r="G15" s="32">
        <v>24.8</v>
      </c>
      <c r="H15" s="17">
        <f>AVERAGE(F15:G15)</f>
        <v>24.509999999999998</v>
      </c>
      <c r="I15" s="25" t="s">
        <v>816</v>
      </c>
      <c r="J15" s="17" t="str">
        <f>IF(AND(ISNUMBER(I15),ISNUMBER(H15)),IF(I15&gt;H15,"Beat",IF(I15&lt;H15,"Miss","In line")),"Pending")</f>
        <v>Pending</v>
      </c>
      <c r="K15" s="1" t="s">
        <v>817</v>
      </c>
    </row>
    <row r="16">
      <c r="A16" s="1"/>
      <c r="B16" s="26" t="s">
        <v>819</v>
      </c>
      <c r="C16" s="29">
        <v>46051</v>
      </c>
      <c r="D16" s="30" t="s">
        <v>815</v>
      </c>
      <c r="E16" s="30" t="s">
        <v>820</v>
      </c>
      <c r="F16" s="109">
        <v>0.03</v>
      </c>
      <c r="G16" s="109">
        <v>0.04</v>
      </c>
      <c r="H16" s="103">
        <f>AVERAGE(F16:G16)</f>
        <v>0.035</v>
      </c>
      <c r="I16" s="25" t="s">
        <v>816</v>
      </c>
      <c r="J16" s="110" t="str">
        <f>IF(AND(ISNUMBER(I16),ISNUMBER(H16)),IF(I16&gt;H16,"Beat",IF(I16&lt;H16,"Miss","In line")),"Pending")</f>
        <v>Pending</v>
      </c>
      <c r="K16" s="1" t="s">
        <v>821</v>
      </c>
    </row>
    <row r="17">
      <c r="A17" s="1"/>
      <c r="B17" s="1" t="s">
        <v>822</v>
      </c>
      <c r="C17" s="1"/>
      <c r="D17" s="1"/>
      <c r="E17" s="1"/>
      <c r="F17" s="32">
        <v>0.14</v>
      </c>
      <c r="G17" s="1"/>
      <c r="H17" s="1"/>
      <c r="I17" s="1"/>
      <c r="J17" s="1"/>
      <c r="K17" s="1" t="s">
        <v>823</v>
      </c>
    </row>
    <row r="18">
      <c r="A18" s="1"/>
      <c r="B18" s="1" t="s">
        <v>824</v>
      </c>
      <c r="C18" s="29">
        <v>46051</v>
      </c>
      <c r="D18" s="30" t="s">
        <v>825</v>
      </c>
      <c r="E18" s="30" t="s">
        <v>810</v>
      </c>
      <c r="F18" s="1"/>
      <c r="G18" s="1"/>
      <c r="H18" s="17">
        <f>I18-F17</f>
        <v>5.300000000000001</v>
      </c>
      <c r="I18" s="39">
        <f>'Income Statement'!H118</f>
        <v>5.44</v>
      </c>
      <c r="J18" s="17" t="str">
        <f>IF(AND(ISNUMBER(I18),ISNUMBER(H18)),IF(I18&gt;H18,"Beat",IF(I18&lt;H18,"Miss","In line")),"Pending")</f>
        <v>Beat</v>
      </c>
      <c r="K18" s="1" t="s">
        <v>826</v>
      </c>
    </row>
    <row r="19">
      <c r="A19" s="1"/>
      <c r="B19" s="1" t="s">
        <v>827</v>
      </c>
      <c r="C19" s="29">
        <v>46135</v>
      </c>
      <c r="D19" s="30" t="s">
        <v>815</v>
      </c>
      <c r="E19" s="30" t="s">
        <v>33</v>
      </c>
      <c r="F19" s="23">
        <v>47300</v>
      </c>
      <c r="G19" s="23">
        <v>48100</v>
      </c>
      <c r="H19" s="3">
        <f>AVERAGE(F19:G19)</f>
        <v>47700</v>
      </c>
      <c r="I19" s="25" t="s">
        <v>816</v>
      </c>
      <c r="J19" s="3" t="str">
        <f>IF(AND(ISNUMBER(I19),ISNUMBER(H19)),IF(I19&gt;H19,"Beat",IF(I19&lt;H19,"Miss","In line")),"Pending")</f>
        <v>Pending</v>
      </c>
      <c r="K19" s="1" t="s">
        <v>828</v>
      </c>
    </row>
    <row r="20">
      <c r="A20" s="1"/>
      <c r="B20" s="1" t="s">
        <v>829</v>
      </c>
      <c r="C20" s="29">
        <v>46135</v>
      </c>
      <c r="D20" s="30" t="s">
        <v>815</v>
      </c>
      <c r="E20" s="30" t="s">
        <v>810</v>
      </c>
      <c r="F20" s="32">
        <v>24.64</v>
      </c>
      <c r="G20" s="32">
        <v>25.12</v>
      </c>
      <c r="H20" s="17">
        <f>AVERAGE(F20:G20)</f>
        <v>24.880000000000003</v>
      </c>
      <c r="I20" s="25" t="s">
        <v>816</v>
      </c>
      <c r="J20" s="17" t="str">
        <f>IF(AND(ISNUMBER(I20),ISNUMBER(H20)),IF(I20&gt;H20,"Beat",IF(I20&lt;H20,"Miss","In line")),"Pending")</f>
        <v>Pending</v>
      </c>
      <c r="K20" s="1" t="s">
        <v>828</v>
      </c>
    </row>
    <row r="21">
      <c r="A21" s="1"/>
      <c r="B21" s="1" t="s">
        <v>830</v>
      </c>
      <c r="C21" s="1"/>
      <c r="D21" s="1"/>
      <c r="E21" s="1"/>
      <c r="F21" s="32">
        <v>0.25</v>
      </c>
      <c r="G21" s="32">
        <v>0.3</v>
      </c>
      <c r="H21" s="1"/>
      <c r="I21" s="1"/>
      <c r="J21" s="1"/>
      <c r="K21" s="1" t="s">
        <v>831</v>
      </c>
    </row>
    <row r="22">
      <c r="A22" s="1"/>
      <c r="B22" s="1" t="s">
        <v>832</v>
      </c>
      <c r="C22" s="29">
        <v>46135</v>
      </c>
      <c r="D22" s="30" t="s">
        <v>833</v>
      </c>
      <c r="E22" s="30" t="s">
        <v>810</v>
      </c>
      <c r="F22" s="39">
        <f>'Income Statement'!H118+F21</f>
        <v>5.69</v>
      </c>
      <c r="G22" s="39">
        <f>'Income Statement'!H118+G21</f>
        <v>5.74</v>
      </c>
      <c r="H22" s="17">
        <f>AVERAGE(F22:G22)</f>
        <v>5.715</v>
      </c>
      <c r="I22" s="39">
        <f>'Income Statement'!I118</f>
        <v>6.03</v>
      </c>
      <c r="J22" s="17" t="str">
        <f>IF(AND(ISNUMBER(I22),ISNUMBER(H22)),IF(I22&gt;H22,"Beat",IF(I22&lt;H22,"Miss","In line")),"Pending")</f>
        <v>Beat</v>
      </c>
      <c r="K22" s="1" t="s">
        <v>834</v>
      </c>
    </row>
    <row r="23">
      <c r="A23" s="1"/>
      <c r="B23" s="26" t="s">
        <v>835</v>
      </c>
      <c r="C23" s="29">
        <v>46135</v>
      </c>
      <c r="D23" s="30" t="s">
        <v>833</v>
      </c>
      <c r="E23" s="30" t="s">
        <v>820</v>
      </c>
      <c r="F23" s="109">
        <v>0.03</v>
      </c>
      <c r="G23" s="109">
        <v>0.03</v>
      </c>
      <c r="H23" s="103">
        <f>AVERAGE(F23:G23)</f>
        <v>0.03</v>
      </c>
      <c r="I23" s="106">
        <f>'Revenue summary'!I62</f>
        <v>0.05</v>
      </c>
      <c r="J23" s="110" t="str">
        <f>IF(AND(ISNUMBER(I23),ISNUMBER(H23)),IF(I23&gt;H23,"Beat",IF(I23&lt;H23,"Miss","In line")),"Pending")</f>
        <v>Beat</v>
      </c>
      <c r="K23" s="1" t="s">
        <v>828</v>
      </c>
    </row>
    <row r="24">
      <c r="A24" s="1"/>
      <c r="B24" s="1" t="s">
        <v>836</v>
      </c>
      <c r="C24" s="29">
        <v>46226</v>
      </c>
      <c r="D24" s="30" t="s">
        <v>815</v>
      </c>
      <c r="E24" s="30" t="s">
        <v>33</v>
      </c>
      <c r="F24" s="23">
        <v>47400</v>
      </c>
      <c r="G24" s="23">
        <v>48100</v>
      </c>
      <c r="H24" s="3">
        <f>AVERAGE(F24:G24)</f>
        <v>47750</v>
      </c>
      <c r="I24" s="25" t="s">
        <v>816</v>
      </c>
      <c r="J24" s="3" t="str">
        <f>IF(AND(ISNUMBER(I24),ISNUMBER(H24)),IF(I24&gt;H24,"Beat",IF(I24&lt;H24,"Miss","In line")),"Pending")</f>
        <v>Pending</v>
      </c>
      <c r="K24" s="1" t="s">
        <v>837</v>
      </c>
    </row>
    <row r="25">
      <c r="A25" s="1"/>
      <c r="B25" s="1" t="s">
        <v>838</v>
      </c>
      <c r="C25" s="29">
        <v>46226</v>
      </c>
      <c r="D25" s="30" t="s">
        <v>815</v>
      </c>
      <c r="E25" s="30" t="s">
        <v>810</v>
      </c>
      <c r="F25" s="32">
        <v>24.93</v>
      </c>
      <c r="G25" s="32">
        <v>25.33</v>
      </c>
      <c r="H25" s="17">
        <f>AVERAGE(F25:G25)</f>
        <v>25.13</v>
      </c>
      <c r="I25" s="25" t="s">
        <v>816</v>
      </c>
      <c r="J25" s="17" t="str">
        <f>IF(AND(ISNUMBER(I25),ISNUMBER(H25)),IF(I25&gt;H25,"Beat",IF(I25&lt;H25,"Miss","In line")),"Pending")</f>
        <v>Pending</v>
      </c>
      <c r="K25" s="1" t="s">
        <v>839</v>
      </c>
    </row>
    <row r="26">
      <c r="A26" s="1"/>
      <c r="B26" s="26" t="s">
        <v>840</v>
      </c>
      <c r="C26" s="29">
        <v>46226</v>
      </c>
      <c r="D26" s="30" t="s">
        <v>815</v>
      </c>
      <c r="E26" s="30" t="s">
        <v>820</v>
      </c>
      <c r="F26" s="109">
        <v>0.04</v>
      </c>
      <c r="G26" s="109">
        <v>0.04</v>
      </c>
      <c r="H26" s="103">
        <f>AVERAGE(F26:G26)</f>
        <v>0.04</v>
      </c>
      <c r="I26" s="25" t="s">
        <v>816</v>
      </c>
      <c r="J26" s="110" t="str">
        <f>IF(AND(ISNUMBER(I26),ISNUMBER(H26)),IF(I26&gt;H26,"Beat",IF(I26&lt;H26,"Miss","In line")),"Pending")</f>
        <v>Pending</v>
      </c>
      <c r="K26" s="1" t="s">
        <v>839</v>
      </c>
    </row>
    <row r="27">
      <c r="A27" s="1"/>
      <c r="B27" s="26" t="s">
        <v>841</v>
      </c>
      <c r="C27" s="29">
        <v>46226</v>
      </c>
      <c r="D27" s="30" t="s">
        <v>842</v>
      </c>
      <c r="E27" s="30" t="s">
        <v>820</v>
      </c>
      <c r="F27" s="109">
        <v>0.04</v>
      </c>
      <c r="G27" s="109">
        <v>0.04</v>
      </c>
      <c r="H27" s="103">
        <f>AVERAGE(F27:G27)</f>
        <v>0.04</v>
      </c>
      <c r="I27" s="25" t="s">
        <v>816</v>
      </c>
      <c r="J27" s="110" t="str">
        <f>IF(AND(ISNUMBER(I27),ISNUMBER(H27)),IF(I27&gt;H27,"Beat",IF(I27&lt;H27,"Miss","In line")),"Pending")</f>
        <v>Pending</v>
      </c>
      <c r="K27" s="1" t="s">
        <v>843</v>
      </c>
    </row>
    <row r="28">
      <c r="A28" s="1"/>
      <c r="B28" s="1" t="s">
        <v>844</v>
      </c>
      <c r="C28" s="1"/>
      <c r="D28" s="1"/>
      <c r="E28" s="1"/>
      <c r="F28" s="32">
        <v>0.35</v>
      </c>
      <c r="G28" s="32">
        <v>0.4</v>
      </c>
      <c r="H28" s="1"/>
      <c r="I28" s="1"/>
      <c r="J28" s="1"/>
      <c r="K28" s="1" t="s">
        <v>845</v>
      </c>
    </row>
    <row r="29">
      <c r="A29" s="1"/>
      <c r="B29" s="1" t="s">
        <v>846</v>
      </c>
      <c r="C29" s="29">
        <v>46226</v>
      </c>
      <c r="D29" s="30" t="s">
        <v>847</v>
      </c>
      <c r="E29" s="30" t="s">
        <v>810</v>
      </c>
      <c r="F29" s="39">
        <f>'Income Statement'!I118+F28</f>
        <v>6.38</v>
      </c>
      <c r="G29" s="39">
        <f>'Income Statement'!I118+G28</f>
        <v>6.430000000000001</v>
      </c>
      <c r="H29" s="17">
        <f>AVERAGE(F29:G29)</f>
        <v>6.405</v>
      </c>
      <c r="I29" s="25" t="s">
        <v>816</v>
      </c>
      <c r="J29" s="17" t="str">
        <f>IF(AND(ISNUMBER(I29),ISNUMBER(H29)),IF(I29&gt;H29,"Beat",IF(I29&lt;H29,"Miss","In line")),"Pending")</f>
        <v>Pending</v>
      </c>
      <c r="K29" s="1" t="s">
        <v>848</v>
      </c>
    </row>
    <row r="30">
      <c r="A30" s="1"/>
      <c r="B30" s="1" t="s">
        <v>849</v>
      </c>
      <c r="C30" s="29">
        <v>46226</v>
      </c>
      <c r="D30" s="30" t="s">
        <v>815</v>
      </c>
      <c r="E30" s="30" t="s">
        <v>850</v>
      </c>
      <c r="F30" s="23">
        <v>660</v>
      </c>
      <c r="G30" s="23">
        <v>660</v>
      </c>
      <c r="H30" s="3">
        <f>AVERAGE(F30:G30)</f>
        <v>660</v>
      </c>
      <c r="I30" s="25" t="s">
        <v>816</v>
      </c>
      <c r="J30" s="3" t="str">
        <f>IF(AND(ISNUMBER(I30),ISNUMBER(H30)),IF(I30&gt;H30,"Beat",IF(I30&lt;H30,"Miss","In line")),"Pending")</f>
        <v>Pending</v>
      </c>
      <c r="K30" s="1" t="s">
        <v>851</v>
      </c>
    </row>
    <row r="31">
      <c r="A31" s="1"/>
      <c r="B31" s="26" t="s">
        <v>852</v>
      </c>
      <c r="C31" s="29">
        <v>46226</v>
      </c>
      <c r="D31" s="30" t="s">
        <v>815</v>
      </c>
      <c r="E31" s="30" t="s">
        <v>853</v>
      </c>
      <c r="F31" s="109">
        <v>0.115</v>
      </c>
      <c r="G31" s="109">
        <v>0.115</v>
      </c>
      <c r="H31" s="103">
        <f>AVERAGE(F31:G31)</f>
        <v>0.115</v>
      </c>
      <c r="I31" s="25" t="s">
        <v>816</v>
      </c>
      <c r="J31" s="110" t="str">
        <f>IF(AND(ISNUMBER(I31),ISNUMBER(H31)),IF(I31&gt;H31,"Beat",IF(I31&lt;H31,"Miss","In line")),"Pending")</f>
        <v>Pending</v>
      </c>
      <c r="K31" s="1" t="s">
        <v>854</v>
      </c>
    </row>
    <row r="32">
      <c r="A32" s="1"/>
      <c r="B32" s="1" t="s">
        <v>855</v>
      </c>
      <c r="C32" s="29">
        <v>46226</v>
      </c>
      <c r="D32" s="30" t="s">
        <v>815</v>
      </c>
      <c r="E32" s="30" t="s">
        <v>856</v>
      </c>
      <c r="F32" s="23">
        <v>370</v>
      </c>
      <c r="G32" s="23">
        <v>373</v>
      </c>
      <c r="H32" s="3">
        <f>AVERAGE(F32:G32)</f>
        <v>371.5</v>
      </c>
      <c r="I32" s="25" t="s">
        <v>816</v>
      </c>
      <c r="J32" s="3" t="str">
        <f>IF(AND(ISNUMBER(I32),ISNUMBER(H32)),IF(I32&gt;H32,"Beat",IF(I32&lt;H32,"Miss","In line")),"Pending")</f>
        <v>Pending</v>
      </c>
      <c r="K32" s="1" t="s">
        <v>839</v>
      </c>
    </row>
    <row r="33">
      <c r="A33" s="1"/>
      <c r="B33" s="1" t="s">
        <v>857</v>
      </c>
      <c r="C33" s="29">
        <v>46226</v>
      </c>
      <c r="D33" s="30" t="s">
        <v>815</v>
      </c>
      <c r="E33" s="30" t="s">
        <v>858</v>
      </c>
      <c r="F33" s="23">
        <v>6900</v>
      </c>
      <c r="G33" s="23">
        <v>7400</v>
      </c>
      <c r="H33" s="3">
        <f>AVERAGE(F33:G33)</f>
        <v>7150</v>
      </c>
      <c r="I33" s="25" t="s">
        <v>816</v>
      </c>
      <c r="J33" s="3" t="str">
        <f>IF(AND(ISNUMBER(I33),ISNUMBER(H33)),IF(I33&gt;H33,"Beat",IF(I33&lt;H33,"Miss","In line")),"Pending")</f>
        <v>Pending</v>
      </c>
      <c r="K33" s="1" t="s">
        <v>839</v>
      </c>
    </row>
    <row r="34">
      <c r="A34" s="1"/>
      <c r="B34" s="1" t="s">
        <v>859</v>
      </c>
      <c r="C34" s="29">
        <v>46226</v>
      </c>
      <c r="D34" s="30" t="s">
        <v>815</v>
      </c>
      <c r="E34" s="30" t="s">
        <v>860</v>
      </c>
      <c r="F34" s="23">
        <v>1900</v>
      </c>
      <c r="G34" s="23">
        <v>2100</v>
      </c>
      <c r="H34" s="3">
        <f>AVERAGE(F34:G34)</f>
        <v>2000</v>
      </c>
      <c r="I34" s="25" t="s">
        <v>816</v>
      </c>
      <c r="J34" s="3" t="str">
        <f>IF(AND(ISNUMBER(I34),ISNUMBER(H34)),IF(I34&gt;H34,"Beat",IF(I34&lt;H34,"Miss","In line")),"Pending")</f>
        <v>Pending</v>
      </c>
      <c r="K34" s="1" t="s">
        <v>839</v>
      </c>
    </row>
    <row r="35">
      <c r="A35" s="1"/>
      <c r="B35" s="1" t="s">
        <v>861</v>
      </c>
      <c r="C35" s="29">
        <v>46226</v>
      </c>
      <c r="D35" s="30" t="s">
        <v>815</v>
      </c>
      <c r="E35" s="30" t="s">
        <v>862</v>
      </c>
      <c r="F35" s="23">
        <v>200</v>
      </c>
      <c r="G35" s="23">
        <v>200</v>
      </c>
      <c r="H35" s="3">
        <f>AVERAGE(F35:G35)</f>
        <v>200</v>
      </c>
      <c r="I35" s="25" t="s">
        <v>816</v>
      </c>
      <c r="J35" s="3" t="str">
        <f>IF(AND(ISNUMBER(I35),ISNUMBER(H35)),IF(I35&gt;H35,"Beat",IF(I35&lt;H35,"Miss","In line")),"Pending")</f>
        <v>Pending</v>
      </c>
      <c r="K35" s="1" t="s">
        <v>863</v>
      </c>
    </row>
    <row r="36">
      <c r="A36" s="1"/>
      <c r="B36" s="1" t="s">
        <v>864</v>
      </c>
      <c r="C36" s="29">
        <v>46226</v>
      </c>
      <c r="D36" s="30" t="s">
        <v>815</v>
      </c>
      <c r="E36" s="30" t="s">
        <v>865</v>
      </c>
      <c r="F36" s="23">
        <v>1600</v>
      </c>
      <c r="G36" s="23">
        <v>1600</v>
      </c>
      <c r="H36" s="3">
        <f>AVERAGE(F36:G36)</f>
        <v>1600</v>
      </c>
      <c r="I36" s="25" t="s">
        <v>816</v>
      </c>
      <c r="J36" s="3" t="str">
        <f>IF(AND(ISNUMBER(I36),ISNUMBER(H36)),IF(I36&gt;H36,"Beat",IF(I36&lt;H36,"Miss","In line")),"Pending")</f>
        <v>Pending</v>
      </c>
      <c r="K36" s="1" t="s">
        <v>866</v>
      </c>
    </row>
    <row r="37">
      <c r="A37" s="1"/>
      <c r="B37" s="1" t="s">
        <v>867</v>
      </c>
      <c r="C37" s="29">
        <v>46226</v>
      </c>
      <c r="D37" s="30" t="s">
        <v>815</v>
      </c>
      <c r="E37" s="30" t="s">
        <v>868</v>
      </c>
      <c r="F37" s="23">
        <v>-200</v>
      </c>
      <c r="G37" s="23">
        <v>-200</v>
      </c>
      <c r="H37" s="3">
        <f>AVERAGE(F37:G37)</f>
        <v>-200</v>
      </c>
      <c r="I37" s="25" t="s">
        <v>816</v>
      </c>
      <c r="J37" s="3" t="str">
        <f>IF(AND(ISNUMBER(I37),ISNUMBER(H37)),IF(I37&gt;H37,"Beat",IF(I37&lt;H37,"Miss","In line")),"Pending")</f>
        <v>Pending</v>
      </c>
      <c r="K37" s="1" t="s">
        <v>869</v>
      </c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>
      <c r="A39" s="1"/>
      <c r="B39" s="13" t="s">
        <v>870</v>
      </c>
      <c r="C39" s="1"/>
      <c r="D39" s="1"/>
      <c r="E39" s="1"/>
      <c r="F39" s="1"/>
      <c r="G39" s="1"/>
      <c r="H39" s="1"/>
      <c r="I39" s="1"/>
      <c r="J39" s="1"/>
      <c r="K39" s="1"/>
    </row>
    <row r="40">
      <c r="A40" s="1"/>
      <c r="B40" s="1" t="s">
        <v>871</v>
      </c>
      <c r="C40" s="1"/>
      <c r="D40" s="1"/>
      <c r="E40" s="1"/>
      <c r="F40" s="17">
        <f>I13-H13</f>
        <v>0.14000000000000057</v>
      </c>
      <c r="G40" s="17">
        <f>I18-H18</f>
        <v>0.13999999999999968</v>
      </c>
      <c r="H40" s="17">
        <f>I22-H22</f>
        <v>0.3150000000000004</v>
      </c>
      <c r="I40" s="17">
        <f>AVERAGE(F40:H40)</f>
        <v>0.19833333333333356</v>
      </c>
      <c r="J40" s="1"/>
      <c r="K40" s="1" t="s">
        <v>872</v>
      </c>
    </row>
    <row r="41">
      <c r="A41" s="1"/>
      <c r="B41" s="1" t="s">
        <v>873</v>
      </c>
      <c r="C41" s="1"/>
      <c r="D41" s="1"/>
      <c r="E41" s="1"/>
      <c r="F41" s="39">
        <f>Inputs!C52</f>
        <v>6.38</v>
      </c>
      <c r="G41" s="39">
        <f>Inputs!C53</f>
        <v>6.43</v>
      </c>
      <c r="H41" s="1"/>
      <c r="I41" s="1"/>
      <c r="J41" s="40" t="b">
        <f>AND(ABS(F41-F29)&lt;0.005,ABS(G41-G29)&lt;0.005)</f>
        <v>1</v>
      </c>
      <c r="K41" s="1" t="s">
        <v>874</v>
      </c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</sheetData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5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875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3</v>
      </c>
      <c r="C5" s="104"/>
      <c r="D5" s="104"/>
      <c r="E5" s="104"/>
      <c r="F5" s="104"/>
      <c r="G5" s="104"/>
      <c r="H5" s="104"/>
      <c r="I5" s="104"/>
      <c r="J5" s="104"/>
      <c r="K5" s="9" t="s">
        <v>4</v>
      </c>
    </row>
    <row r="6">
      <c r="A6" s="1"/>
      <c r="B6" s="105"/>
      <c r="C6" s="105"/>
      <c r="D6" s="105"/>
      <c r="E6" s="105"/>
      <c r="F6" s="105"/>
      <c r="G6" s="105"/>
      <c r="H6" s="105"/>
      <c r="I6" s="105"/>
      <c r="J6" s="105"/>
      <c r="K6" s="105"/>
    </row>
    <row r="7">
      <c r="A7" s="1"/>
      <c r="B7" s="105"/>
      <c r="C7" s="105"/>
      <c r="D7" s="105"/>
      <c r="E7" s="105"/>
      <c r="F7" s="105"/>
      <c r="G7" s="105"/>
      <c r="H7" s="105"/>
      <c r="I7" s="105"/>
      <c r="J7" s="105"/>
      <c r="K7" s="107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24" t="s">
        <v>876</v>
      </c>
      <c r="C9" s="42" t="s">
        <v>877</v>
      </c>
      <c r="D9" s="24" t="s">
        <v>878</v>
      </c>
      <c r="E9" s="1"/>
      <c r="F9" s="1"/>
      <c r="G9" s="1"/>
      <c r="H9" s="1"/>
      <c r="I9" s="1"/>
      <c r="J9" s="1"/>
      <c r="K9" s="24" t="s">
        <v>879</v>
      </c>
    </row>
    <row r="10">
      <c r="A10" s="1"/>
      <c r="B10" s="1" t="s">
        <v>880</v>
      </c>
      <c r="C10" s="29">
        <v>46313</v>
      </c>
      <c r="D10" s="1" t="s">
        <v>881</v>
      </c>
      <c r="E10" s="1"/>
      <c r="F10" s="1"/>
      <c r="G10" s="1"/>
      <c r="H10" s="1"/>
      <c r="I10" s="1"/>
      <c r="J10" s="1"/>
      <c r="K10" s="1" t="s">
        <v>882</v>
      </c>
    </row>
    <row r="11">
      <c r="A11" s="1"/>
      <c r="B11" s="1" t="s">
        <v>883</v>
      </c>
      <c r="C11" s="29">
        <v>46313</v>
      </c>
      <c r="D11" s="1" t="s">
        <v>884</v>
      </c>
      <c r="E11" s="1"/>
      <c r="F11" s="1"/>
      <c r="G11" s="1"/>
      <c r="H11" s="1"/>
      <c r="I11" s="1"/>
      <c r="J11" s="1"/>
      <c r="K11" s="1" t="s">
        <v>885</v>
      </c>
    </row>
    <row r="12">
      <c r="A12" s="1"/>
      <c r="B12" s="1" t="s">
        <v>886</v>
      </c>
      <c r="C12" s="29">
        <v>46226</v>
      </c>
      <c r="D12" s="1" t="s">
        <v>887</v>
      </c>
      <c r="E12" s="1"/>
      <c r="F12" s="1"/>
      <c r="G12" s="1"/>
      <c r="H12" s="1"/>
      <c r="I12" s="1"/>
      <c r="J12" s="1"/>
      <c r="K12" s="1" t="s">
        <v>888</v>
      </c>
    </row>
    <row r="13">
      <c r="A13" s="1"/>
      <c r="B13" s="1" t="s">
        <v>889</v>
      </c>
      <c r="C13" s="29">
        <v>46135</v>
      </c>
      <c r="D13" s="1" t="s">
        <v>890</v>
      </c>
      <c r="E13" s="1"/>
      <c r="F13" s="1"/>
      <c r="G13" s="1"/>
      <c r="H13" s="1"/>
      <c r="I13" s="1"/>
      <c r="J13" s="1"/>
      <c r="K13" s="1" t="s">
        <v>891</v>
      </c>
    </row>
    <row r="14">
      <c r="A14" s="1"/>
      <c r="B14" s="1" t="s">
        <v>892</v>
      </c>
      <c r="C14" s="29">
        <v>46051</v>
      </c>
      <c r="D14" s="1" t="s">
        <v>893</v>
      </c>
      <c r="E14" s="1"/>
      <c r="F14" s="1"/>
      <c r="G14" s="1"/>
      <c r="H14" s="1"/>
      <c r="I14" s="1"/>
      <c r="J14" s="1"/>
      <c r="K14" s="1" t="s">
        <v>894</v>
      </c>
    </row>
    <row r="15">
      <c r="A15" s="1"/>
      <c r="B15" s="1" t="s">
        <v>895</v>
      </c>
      <c r="C15" s="29">
        <v>45952</v>
      </c>
      <c r="D15" s="1" t="s">
        <v>896</v>
      </c>
      <c r="E15" s="1"/>
      <c r="F15" s="1"/>
      <c r="G15" s="1"/>
      <c r="H15" s="1"/>
      <c r="I15" s="1"/>
      <c r="J15" s="1"/>
      <c r="K15" s="1" t="s">
        <v>897</v>
      </c>
    </row>
    <row r="16">
      <c r="A16" s="1"/>
      <c r="B16" s="1" t="s">
        <v>898</v>
      </c>
      <c r="C16" s="29">
        <v>45861</v>
      </c>
      <c r="D16" s="1" t="s">
        <v>899</v>
      </c>
      <c r="E16" s="1"/>
      <c r="F16" s="1"/>
      <c r="G16" s="1"/>
      <c r="H16" s="1"/>
      <c r="I16" s="1"/>
      <c r="J16" s="1"/>
      <c r="K16" s="1" t="s">
        <v>900</v>
      </c>
    </row>
    <row r="17">
      <c r="A17" s="1"/>
      <c r="B17" s="1" t="s">
        <v>901</v>
      </c>
      <c r="C17" s="29">
        <v>45770</v>
      </c>
      <c r="D17" s="1" t="s">
        <v>902</v>
      </c>
      <c r="E17" s="1"/>
      <c r="F17" s="1"/>
      <c r="G17" s="1"/>
      <c r="H17" s="1"/>
      <c r="I17" s="1"/>
      <c r="J17" s="1"/>
      <c r="K17" s="1" t="s">
        <v>903</v>
      </c>
    </row>
    <row r="18" ht="27">
      <c r="A18" s="1"/>
      <c r="B18" s="1" t="s">
        <v>904</v>
      </c>
      <c r="C18" s="29">
        <v>46234</v>
      </c>
      <c r="D18" s="118" t="s">
        <v>905</v>
      </c>
      <c r="E18" s="1"/>
      <c r="F18" s="1"/>
      <c r="G18" s="1"/>
      <c r="H18" s="1"/>
      <c r="I18" s="1"/>
      <c r="J18" s="1"/>
      <c r="K18" s="1" t="s">
        <v>906</v>
      </c>
    </row>
    <row r="19">
      <c r="A19" s="1"/>
      <c r="B19" s="1" t="s">
        <v>907</v>
      </c>
      <c r="C19" s="29">
        <v>46143</v>
      </c>
      <c r="D19" s="1" t="s">
        <v>908</v>
      </c>
      <c r="E19" s="1"/>
      <c r="F19" s="1"/>
      <c r="G19" s="1"/>
      <c r="H19" s="1"/>
      <c r="I19" s="1"/>
      <c r="J19" s="1"/>
      <c r="K19" s="1" t="s">
        <v>909</v>
      </c>
    </row>
    <row r="20">
      <c r="A20" s="1"/>
      <c r="B20" s="1" t="s">
        <v>910</v>
      </c>
      <c r="C20" s="29">
        <v>46079</v>
      </c>
      <c r="D20" s="1" t="s">
        <v>911</v>
      </c>
      <c r="E20" s="1"/>
      <c r="F20" s="1"/>
      <c r="G20" s="1"/>
      <c r="H20" s="1"/>
      <c r="I20" s="1"/>
      <c r="J20" s="1"/>
      <c r="K20" s="1" t="s">
        <v>912</v>
      </c>
    </row>
    <row r="21">
      <c r="A21" s="1"/>
      <c r="B21" s="1" t="s">
        <v>913</v>
      </c>
      <c r="C21" s="29">
        <v>45961</v>
      </c>
      <c r="D21" s="1" t="s">
        <v>914</v>
      </c>
      <c r="E21" s="1"/>
      <c r="F21" s="1"/>
      <c r="G21" s="1"/>
      <c r="H21" s="1"/>
      <c r="I21" s="1"/>
      <c r="J21" s="1"/>
      <c r="K21" s="1" t="s">
        <v>915</v>
      </c>
    </row>
    <row r="22">
      <c r="A22" s="1"/>
      <c r="B22" s="1" t="s">
        <v>916</v>
      </c>
      <c r="C22" s="29">
        <v>45870</v>
      </c>
      <c r="D22" s="1" t="s">
        <v>917</v>
      </c>
      <c r="E22" s="1"/>
      <c r="F22" s="1"/>
      <c r="G22" s="1"/>
      <c r="H22" s="1"/>
      <c r="I22" s="1"/>
      <c r="J22" s="1"/>
      <c r="K22" s="1" t="s">
        <v>918</v>
      </c>
    </row>
    <row r="23">
      <c r="A23" s="1"/>
      <c r="B23" s="1" t="s">
        <v>919</v>
      </c>
      <c r="C23" s="29">
        <v>45779</v>
      </c>
      <c r="D23" s="1" t="s">
        <v>920</v>
      </c>
      <c r="E23" s="1"/>
      <c r="F23" s="1"/>
      <c r="G23" s="1"/>
      <c r="H23" s="1"/>
      <c r="I23" s="1"/>
      <c r="J23" s="1"/>
      <c r="K23" s="1" t="s">
        <v>921</v>
      </c>
    </row>
    <row r="24">
      <c r="A24" s="1"/>
      <c r="B24" s="1" t="s">
        <v>922</v>
      </c>
      <c r="C24" s="29">
        <v>46226</v>
      </c>
      <c r="D24" s="1" t="s">
        <v>923</v>
      </c>
      <c r="E24" s="1"/>
      <c r="F24" s="1"/>
      <c r="G24" s="1"/>
      <c r="H24" s="1"/>
      <c r="I24" s="1"/>
      <c r="J24" s="1"/>
      <c r="K24" s="1" t="s">
        <v>924</v>
      </c>
    </row>
    <row r="25">
      <c r="A25" s="1"/>
      <c r="B25" s="1" t="s">
        <v>925</v>
      </c>
      <c r="C25" s="29">
        <v>46135</v>
      </c>
      <c r="D25" s="1" t="s">
        <v>926</v>
      </c>
      <c r="E25" s="1"/>
      <c r="F25" s="1"/>
      <c r="G25" s="1"/>
      <c r="H25" s="1"/>
      <c r="I25" s="1"/>
      <c r="J25" s="1"/>
      <c r="K25" s="1" t="s">
        <v>927</v>
      </c>
    </row>
    <row r="26">
      <c r="A26" s="1"/>
      <c r="B26" s="1" t="s">
        <v>928</v>
      </c>
      <c r="C26" s="29">
        <v>46051</v>
      </c>
      <c r="D26" s="1" t="s">
        <v>929</v>
      </c>
      <c r="E26" s="1"/>
      <c r="F26" s="1"/>
      <c r="G26" s="1"/>
      <c r="H26" s="1"/>
      <c r="I26" s="1"/>
      <c r="J26" s="1"/>
      <c r="K26" s="1" t="s">
        <v>930</v>
      </c>
    </row>
    <row r="27">
      <c r="A27" s="1"/>
      <c r="B27" s="1" t="s">
        <v>931</v>
      </c>
      <c r="C27" s="29">
        <v>45953</v>
      </c>
      <c r="D27" s="1" t="s">
        <v>932</v>
      </c>
      <c r="E27" s="1"/>
      <c r="F27" s="1"/>
      <c r="G27" s="1"/>
      <c r="H27" s="1"/>
      <c r="I27" s="1"/>
      <c r="J27" s="1"/>
      <c r="K27" s="1" t="s">
        <v>933</v>
      </c>
    </row>
    <row r="28">
      <c r="A28" s="1"/>
      <c r="B28" s="1" t="s">
        <v>934</v>
      </c>
      <c r="C28" s="29">
        <v>46246</v>
      </c>
      <c r="D28" s="1" t="s">
        <v>935</v>
      </c>
      <c r="E28" s="1"/>
      <c r="F28" s="1"/>
      <c r="G28" s="1"/>
      <c r="H28" s="1"/>
      <c r="I28" s="1"/>
      <c r="J28" s="1"/>
      <c r="K28" s="1" t="s">
        <v>936</v>
      </c>
    </row>
    <row r="29">
      <c r="A29" s="1"/>
      <c r="B29" s="1" t="s">
        <v>937</v>
      </c>
      <c r="C29" s="29">
        <v>46293</v>
      </c>
      <c r="D29" s="1" t="s">
        <v>938</v>
      </c>
      <c r="E29" s="1"/>
      <c r="F29" s="1"/>
      <c r="G29" s="1"/>
      <c r="H29" s="1"/>
      <c r="I29" s="1"/>
      <c r="J29" s="1"/>
      <c r="K29" s="1" t="s">
        <v>939</v>
      </c>
    </row>
    <row r="30">
      <c r="A30" s="1"/>
      <c r="B30" s="1" t="s">
        <v>940</v>
      </c>
      <c r="C30" s="29">
        <v>46280</v>
      </c>
      <c r="D30" s="1" t="s">
        <v>941</v>
      </c>
      <c r="E30" s="1"/>
      <c r="F30" s="1"/>
      <c r="G30" s="1"/>
      <c r="H30" s="1"/>
      <c r="I30" s="1"/>
      <c r="J30" s="1"/>
      <c r="K30" s="1" t="s">
        <v>942</v>
      </c>
    </row>
    <row r="31">
      <c r="A31" s="1"/>
      <c r="B31" s="1" t="s">
        <v>943</v>
      </c>
      <c r="C31" s="29">
        <v>46311</v>
      </c>
      <c r="D31" s="1" t="s">
        <v>944</v>
      </c>
      <c r="E31" s="1"/>
      <c r="F31" s="1"/>
      <c r="G31" s="1"/>
      <c r="H31" s="1"/>
      <c r="I31" s="1"/>
      <c r="J31" s="1"/>
      <c r="K31" s="1" t="s">
        <v>945</v>
      </c>
    </row>
    <row r="32">
      <c r="A32" s="1"/>
      <c r="B32" s="1" t="s">
        <v>946</v>
      </c>
      <c r="C32" s="29">
        <v>46311</v>
      </c>
      <c r="D32" s="1" t="s">
        <v>947</v>
      </c>
      <c r="E32" s="1"/>
      <c r="F32" s="1"/>
      <c r="G32" s="1"/>
      <c r="H32" s="1"/>
      <c r="I32" s="1"/>
      <c r="J32" s="1"/>
      <c r="K32" s="1" t="s">
        <v>948</v>
      </c>
    </row>
    <row r="33">
      <c r="A33" s="1"/>
      <c r="B33" s="1" t="s">
        <v>949</v>
      </c>
      <c r="C33" s="29">
        <v>46309</v>
      </c>
      <c r="D33" s="1" t="s">
        <v>950</v>
      </c>
      <c r="E33" s="1"/>
      <c r="F33" s="1"/>
      <c r="G33" s="1"/>
      <c r="H33" s="1"/>
      <c r="I33" s="1"/>
      <c r="J33" s="1"/>
      <c r="K33" s="1" t="s">
        <v>951</v>
      </c>
    </row>
    <row r="34">
      <c r="A34" s="1"/>
      <c r="B34" s="1" t="s">
        <v>952</v>
      </c>
      <c r="C34" s="29">
        <v>46295</v>
      </c>
      <c r="D34" s="1" t="s">
        <v>953</v>
      </c>
      <c r="E34" s="1"/>
      <c r="F34" s="1"/>
      <c r="G34" s="1"/>
      <c r="H34" s="1"/>
      <c r="I34" s="1"/>
      <c r="J34" s="1"/>
      <c r="K34" s="1" t="s">
        <v>954</v>
      </c>
    </row>
    <row r="35">
      <c r="A35" s="1"/>
      <c r="B35" s="1" t="s">
        <v>955</v>
      </c>
      <c r="C35" s="29">
        <v>46224</v>
      </c>
      <c r="D35" s="1" t="s">
        <v>956</v>
      </c>
      <c r="E35" s="1"/>
      <c r="F35" s="1"/>
      <c r="G35" s="1"/>
      <c r="H35" s="1"/>
      <c r="I35" s="1"/>
      <c r="J35" s="1"/>
      <c r="K35" s="1" t="s">
        <v>957</v>
      </c>
    </row>
    <row r="36">
      <c r="A36" s="1"/>
      <c r="B36" s="1" t="s">
        <v>958</v>
      </c>
      <c r="C36" s="29">
        <v>46309</v>
      </c>
      <c r="D36" s="1" t="s">
        <v>959</v>
      </c>
      <c r="E36" s="1"/>
      <c r="F36" s="1"/>
      <c r="G36" s="1"/>
      <c r="H36" s="1"/>
      <c r="I36" s="1"/>
      <c r="J36" s="1"/>
      <c r="K36" s="1" t="s">
        <v>960</v>
      </c>
    </row>
    <row r="37">
      <c r="A37" s="1"/>
      <c r="B37" s="1" t="s">
        <v>961</v>
      </c>
      <c r="C37" s="29">
        <v>46311</v>
      </c>
      <c r="D37" s="1" t="s">
        <v>962</v>
      </c>
      <c r="E37" s="1"/>
      <c r="F37" s="1"/>
      <c r="G37" s="1"/>
      <c r="H37" s="1"/>
      <c r="I37" s="1"/>
      <c r="J37" s="1"/>
      <c r="K37" s="1" t="s">
        <v>963</v>
      </c>
    </row>
    <row r="38">
      <c r="A38" s="1"/>
      <c r="B38" s="1" t="s">
        <v>964</v>
      </c>
      <c r="C38" s="29">
        <v>46311</v>
      </c>
      <c r="D38" s="1" t="s">
        <v>965</v>
      </c>
      <c r="E38" s="1"/>
      <c r="F38" s="1"/>
      <c r="G38" s="1"/>
      <c r="H38" s="1"/>
      <c r="I38" s="1"/>
      <c r="J38" s="1"/>
      <c r="K38" s="1" t="s">
        <v>966</v>
      </c>
    </row>
    <row r="39">
      <c r="A39" s="1"/>
      <c r="B39" s="1" t="s">
        <v>967</v>
      </c>
      <c r="C39" s="29">
        <v>46311</v>
      </c>
      <c r="D39" s="1" t="s">
        <v>968</v>
      </c>
      <c r="E39" s="1"/>
      <c r="F39" s="1"/>
      <c r="G39" s="1"/>
      <c r="H39" s="1"/>
      <c r="I39" s="1"/>
      <c r="J39" s="1"/>
      <c r="K39" s="1" t="s">
        <v>969</v>
      </c>
    </row>
    <row r="40">
      <c r="A40" s="1"/>
      <c r="B40" s="1" t="s">
        <v>970</v>
      </c>
      <c r="C40" s="29">
        <v>46302</v>
      </c>
      <c r="D40" s="1" t="s">
        <v>971</v>
      </c>
      <c r="E40" s="1"/>
      <c r="F40" s="1"/>
      <c r="G40" s="1"/>
      <c r="H40" s="1"/>
      <c r="I40" s="1"/>
      <c r="J40" s="1"/>
      <c r="K40" s="1" t="s">
        <v>972</v>
      </c>
    </row>
    <row r="41">
      <c r="A41" s="1"/>
      <c r="B41" s="1" t="s">
        <v>973</v>
      </c>
      <c r="C41" s="29">
        <v>46300</v>
      </c>
      <c r="D41" s="1" t="s">
        <v>974</v>
      </c>
      <c r="E41" s="1"/>
      <c r="F41" s="1"/>
      <c r="G41" s="1"/>
      <c r="H41" s="1"/>
      <c r="I41" s="1"/>
      <c r="J41" s="1"/>
      <c r="K41" s="1" t="s">
        <v>975</v>
      </c>
    </row>
    <row r="42">
      <c r="A42" s="1"/>
      <c r="B42" s="1" t="s">
        <v>976</v>
      </c>
      <c r="C42" s="29">
        <v>46313</v>
      </c>
      <c r="D42" s="1" t="s">
        <v>977</v>
      </c>
      <c r="E42" s="1"/>
      <c r="F42" s="1"/>
      <c r="G42" s="1"/>
      <c r="H42" s="1"/>
      <c r="I42" s="1"/>
      <c r="J42" s="1"/>
      <c r="K42" s="1" t="s">
        <v>978</v>
      </c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>
      <c r="A44" s="1"/>
      <c r="B44" s="13" t="s">
        <v>979</v>
      </c>
      <c r="C44" s="1"/>
      <c r="D44" s="1"/>
      <c r="E44" s="1"/>
      <c r="F44" s="1"/>
      <c r="G44" s="1"/>
      <c r="H44" s="1"/>
      <c r="I44" s="1"/>
      <c r="J44" s="1"/>
      <c r="K44" s="1"/>
    </row>
    <row r="45">
      <c r="A45" s="1"/>
      <c r="B45" s="1" t="s">
        <v>980</v>
      </c>
      <c r="C45" s="1"/>
      <c r="D45" s="1"/>
      <c r="E45" s="1"/>
      <c r="F45" s="1"/>
      <c r="G45" s="1"/>
      <c r="H45" s="1"/>
      <c r="I45" s="1"/>
      <c r="J45" s="1"/>
      <c r="K45" s="1"/>
    </row>
    <row r="46">
      <c r="A46" s="1"/>
      <c r="B46" s="1" t="s">
        <v>981</v>
      </c>
      <c r="C46" s="1"/>
      <c r="D46" s="1"/>
      <c r="E46" s="1"/>
      <c r="F46" s="1"/>
      <c r="G46" s="1"/>
      <c r="H46" s="1"/>
      <c r="I46" s="1"/>
      <c r="J46" s="1"/>
      <c r="K46" s="1"/>
    </row>
    <row r="47">
      <c r="A47" s="1"/>
      <c r="B47" s="1" t="s">
        <v>982</v>
      </c>
      <c r="C47" s="1"/>
      <c r="D47" s="1"/>
      <c r="E47" s="1"/>
      <c r="F47" s="1"/>
      <c r="G47" s="1"/>
      <c r="H47" s="1"/>
      <c r="I47" s="1"/>
      <c r="J47" s="1"/>
      <c r="K47" s="1"/>
    </row>
    <row r="48">
      <c r="A48" s="1"/>
      <c r="B48" s="1" t="s">
        <v>983</v>
      </c>
      <c r="C48" s="1"/>
      <c r="D48" s="1"/>
      <c r="E48" s="1"/>
      <c r="F48" s="1"/>
      <c r="G48" s="1"/>
      <c r="H48" s="1"/>
      <c r="I48" s="1"/>
      <c r="J48" s="1"/>
      <c r="K48" s="1"/>
    </row>
    <row r="49">
      <c r="A49" s="1"/>
      <c r="B49" s="1" t="s">
        <v>984</v>
      </c>
      <c r="C49" s="1"/>
      <c r="D49" s="1"/>
      <c r="E49" s="1"/>
      <c r="F49" s="1"/>
      <c r="G49" s="1"/>
      <c r="H49" s="1"/>
      <c r="I49" s="1"/>
      <c r="J49" s="1"/>
      <c r="K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</sheetData>
  <mergeCells count="1">
    <mergeCell ref="D18:J18"/>
  </mergeCell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4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10" width="12" customWidth="1"/>
    <col min="11" max="11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9" t="s">
        <v>0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33" t="s">
        <v>985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26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A5" s="1"/>
      <c r="B5" s="35" t="s">
        <v>3</v>
      </c>
      <c r="C5" s="104"/>
      <c r="D5" s="104"/>
      <c r="E5" s="104"/>
      <c r="F5" s="104"/>
      <c r="G5" s="104"/>
      <c r="H5" s="104"/>
      <c r="I5" s="104"/>
      <c r="J5" s="104"/>
      <c r="K5" s="9" t="s">
        <v>4</v>
      </c>
    </row>
    <row r="6">
      <c r="A6" s="1"/>
      <c r="B6" s="105"/>
      <c r="C6" s="105"/>
      <c r="D6" s="105"/>
      <c r="E6" s="105"/>
      <c r="F6" s="105"/>
      <c r="G6" s="105"/>
      <c r="H6" s="105"/>
      <c r="I6" s="105"/>
      <c r="J6" s="105"/>
      <c r="K6" s="105"/>
    </row>
    <row r="7">
      <c r="A7" s="1"/>
      <c r="B7" s="105"/>
      <c r="C7" s="105"/>
      <c r="D7" s="105"/>
      <c r="E7" s="105"/>
      <c r="F7" s="105"/>
      <c r="G7" s="105"/>
      <c r="H7" s="105"/>
      <c r="I7" s="105"/>
      <c r="J7" s="105"/>
      <c r="K7" s="107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986</v>
      </c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" t="s">
        <v>987</v>
      </c>
      <c r="C10" s="74" t="s">
        <v>988</v>
      </c>
      <c r="D10" s="1"/>
      <c r="E10" s="1"/>
      <c r="F10" s="1"/>
      <c r="G10" s="1"/>
      <c r="H10" s="1"/>
      <c r="I10" s="1"/>
      <c r="J10" s="1"/>
      <c r="K10" s="1"/>
    </row>
    <row r="11">
      <c r="A11" s="1"/>
      <c r="B11" s="1" t="s">
        <v>989</v>
      </c>
      <c r="C11" s="119" t="s">
        <v>990</v>
      </c>
      <c r="D11" s="1"/>
      <c r="E11" s="1"/>
      <c r="F11" s="1"/>
      <c r="G11" s="1"/>
      <c r="H11" s="1"/>
      <c r="I11" s="1"/>
      <c r="J11" s="1"/>
      <c r="K11" s="1"/>
    </row>
    <row r="12">
      <c r="A12" s="1"/>
      <c r="B12" s="1" t="s">
        <v>991</v>
      </c>
      <c r="C12" s="74" t="s">
        <v>7</v>
      </c>
      <c r="D12" s="1"/>
      <c r="E12" s="1"/>
      <c r="F12" s="1"/>
      <c r="G12" s="1"/>
      <c r="H12" s="1"/>
      <c r="I12" s="1"/>
      <c r="J12" s="1"/>
      <c r="K12" s="1"/>
    </row>
    <row r="13">
      <c r="A13" s="1"/>
      <c r="B13" s="1" t="s">
        <v>992</v>
      </c>
      <c r="C13" s="74" t="s">
        <v>993</v>
      </c>
      <c r="D13" s="1"/>
      <c r="E13" s="1"/>
      <c r="F13" s="1"/>
      <c r="G13" s="1"/>
      <c r="H13" s="1"/>
      <c r="I13" s="1"/>
      <c r="J13" s="1"/>
      <c r="K13" s="1"/>
    </row>
    <row r="14">
      <c r="A14" s="1"/>
      <c r="B14" s="1" t="s">
        <v>994</v>
      </c>
      <c r="C14" s="119" t="s">
        <v>995</v>
      </c>
      <c r="D14" s="1"/>
      <c r="E14" s="1"/>
      <c r="F14" s="1"/>
      <c r="G14" s="1"/>
      <c r="H14" s="1"/>
      <c r="I14" s="1"/>
      <c r="J14" s="1"/>
      <c r="K14" s="1"/>
    </row>
    <row r="15">
      <c r="A15" s="1"/>
      <c r="B15" s="1" t="s">
        <v>996</v>
      </c>
      <c r="C15" s="119" t="s">
        <v>997</v>
      </c>
      <c r="D15" s="1"/>
      <c r="E15" s="1"/>
      <c r="F15" s="1"/>
      <c r="G15" s="1"/>
      <c r="H15" s="1"/>
      <c r="I15" s="1"/>
      <c r="J15" s="1"/>
      <c r="K15" s="1"/>
    </row>
    <row r="16">
      <c r="A16" s="1"/>
      <c r="B16" s="1" t="s">
        <v>998</v>
      </c>
      <c r="C16" s="116">
        <v>22</v>
      </c>
      <c r="D16" s="1"/>
      <c r="E16" s="1"/>
      <c r="F16" s="1"/>
      <c r="G16" s="1"/>
      <c r="H16" s="1"/>
      <c r="I16" s="1"/>
      <c r="J16" s="1"/>
      <c r="K16" s="1"/>
    </row>
    <row r="17">
      <c r="A17" s="1"/>
      <c r="B17" s="1" t="s">
        <v>999</v>
      </c>
      <c r="C17" s="67">
        <v>6.4</v>
      </c>
      <c r="D17" s="1"/>
      <c r="E17" s="1"/>
      <c r="F17" s="1"/>
      <c r="G17" s="1"/>
      <c r="H17" s="1"/>
      <c r="I17" s="1"/>
      <c r="J17" s="1"/>
      <c r="K17" s="1"/>
    </row>
    <row r="18">
      <c r="A18" s="1"/>
      <c r="B18" s="1" t="s">
        <v>1000</v>
      </c>
      <c r="C18" s="74" t="s">
        <v>1001</v>
      </c>
      <c r="D18" s="1"/>
      <c r="E18" s="1"/>
      <c r="F18" s="1"/>
      <c r="G18" s="1"/>
      <c r="H18" s="1"/>
      <c r="I18" s="1"/>
      <c r="J18" s="1"/>
      <c r="K18" s="1"/>
    </row>
    <row r="19">
      <c r="A19" s="1"/>
      <c r="B19" s="1" t="s">
        <v>1002</v>
      </c>
      <c r="C19" s="67">
        <v>11933.7</v>
      </c>
      <c r="D19" s="1"/>
      <c r="E19" s="1"/>
      <c r="F19" s="1"/>
      <c r="G19" s="1"/>
      <c r="H19" s="1"/>
      <c r="I19" s="1"/>
      <c r="J19" s="1"/>
      <c r="K19" s="1"/>
    </row>
    <row r="20">
      <c r="A20" s="1"/>
      <c r="B20" s="1" t="s">
        <v>1003</v>
      </c>
      <c r="C20" s="119" t="s">
        <v>1004</v>
      </c>
      <c r="D20" s="1"/>
      <c r="E20" s="1"/>
      <c r="F20" s="1"/>
      <c r="G20" s="1"/>
      <c r="H20" s="1"/>
      <c r="I20" s="1"/>
      <c r="J20" s="1"/>
      <c r="K20" s="1"/>
    </row>
    <row r="21">
      <c r="A21" s="1"/>
      <c r="B21" s="1" t="s">
        <v>1005</v>
      </c>
      <c r="C21" s="74" t="s">
        <v>1006</v>
      </c>
      <c r="D21" s="1"/>
      <c r="E21" s="1"/>
      <c r="F21" s="1"/>
      <c r="G21" s="1"/>
      <c r="H21" s="1"/>
      <c r="I21" s="1"/>
      <c r="J21" s="1"/>
      <c r="K21" s="1"/>
    </row>
    <row r="22">
      <c r="A22" s="1"/>
      <c r="B22" s="1" t="s">
        <v>1007</v>
      </c>
      <c r="C22" s="74" t="s">
        <v>1008</v>
      </c>
      <c r="D22" s="1"/>
      <c r="E22" s="1"/>
      <c r="F22" s="1"/>
      <c r="G22" s="1"/>
      <c r="H22" s="1"/>
      <c r="I22" s="1"/>
      <c r="J22" s="1"/>
      <c r="K22" s="1"/>
    </row>
    <row r="23">
      <c r="A23" s="1"/>
      <c r="B23" s="1" t="s">
        <v>1009</v>
      </c>
      <c r="C23" s="119" t="s">
        <v>1004</v>
      </c>
      <c r="D23" s="1"/>
      <c r="E23" s="1"/>
      <c r="F23" s="1"/>
      <c r="G23" s="1"/>
      <c r="H23" s="1"/>
      <c r="I23" s="1"/>
      <c r="J23" s="1"/>
      <c r="K23" s="1"/>
    </row>
    <row r="24">
      <c r="A24" s="1"/>
      <c r="B24" s="1" t="s">
        <v>1010</v>
      </c>
      <c r="C24" s="119" t="s">
        <v>1004</v>
      </c>
      <c r="D24" s="1"/>
      <c r="E24" s="1"/>
      <c r="F24" s="1"/>
      <c r="G24" s="1"/>
      <c r="H24" s="1"/>
      <c r="I24" s="1"/>
      <c r="J24" s="1"/>
      <c r="K24" s="1"/>
    </row>
    <row r="25">
      <c r="A25" s="1"/>
      <c r="B25" s="1" t="s">
        <v>1011</v>
      </c>
      <c r="C25" s="74" t="s">
        <v>1012</v>
      </c>
      <c r="D25" s="1"/>
      <c r="E25" s="1"/>
      <c r="F25" s="1"/>
      <c r="G25" s="1"/>
      <c r="H25" s="1"/>
      <c r="I25" s="1"/>
      <c r="J25" s="1"/>
      <c r="K25" s="1"/>
    </row>
    <row r="26">
      <c r="A26" s="1"/>
      <c r="B26" s="1" t="s">
        <v>1013</v>
      </c>
      <c r="C26" s="119" t="s">
        <v>1004</v>
      </c>
      <c r="D26" s="1"/>
      <c r="E26" s="1"/>
      <c r="F26" s="1"/>
      <c r="G26" s="1"/>
      <c r="H26" s="1"/>
      <c r="I26" s="1"/>
      <c r="J26" s="1"/>
      <c r="K26" s="1"/>
    </row>
    <row r="27">
      <c r="A27" s="1"/>
      <c r="B27" s="1" t="s">
        <v>1014</v>
      </c>
      <c r="C27" s="119" t="s">
        <v>1015</v>
      </c>
      <c r="D27" s="1"/>
      <c r="E27" s="1"/>
      <c r="F27" s="1"/>
      <c r="G27" s="1"/>
      <c r="H27" s="1"/>
      <c r="I27" s="1"/>
      <c r="J27" s="1"/>
      <c r="K27" s="1" t="s">
        <v>1016</v>
      </c>
    </row>
    <row r="28" ht="51">
      <c r="A28" s="1"/>
      <c r="B28" s="1" t="s">
        <v>1017</v>
      </c>
      <c r="C28" s="121" t="s">
        <v>1018</v>
      </c>
      <c r="D28" s="1"/>
      <c r="E28" s="1"/>
      <c r="F28" s="1"/>
      <c r="G28" s="1"/>
      <c r="H28" s="1"/>
      <c r="I28" s="1"/>
      <c r="J28" s="1"/>
      <c r="K28" s="1" t="s">
        <v>1019</v>
      </c>
    </row>
    <row r="29">
      <c r="A29" s="1"/>
      <c r="B29" s="1" t="s">
        <v>1020</v>
      </c>
      <c r="C29" s="74" t="s">
        <v>1021</v>
      </c>
      <c r="D29" s="1"/>
      <c r="E29" s="1"/>
      <c r="F29" s="1"/>
      <c r="G29" s="1"/>
      <c r="H29" s="1"/>
      <c r="I29" s="1"/>
      <c r="J29" s="1"/>
      <c r="K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>
      <c r="A31" s="1"/>
      <c r="B31" s="13" t="s">
        <v>1022</v>
      </c>
      <c r="C31" s="1"/>
      <c r="D31" s="1"/>
      <c r="E31" s="1"/>
      <c r="F31" s="1"/>
      <c r="G31" s="1"/>
      <c r="H31" s="1"/>
      <c r="I31" s="1"/>
      <c r="J31" s="1"/>
      <c r="K31" s="1"/>
    </row>
    <row r="32">
      <c r="A32" s="1"/>
      <c r="B32" s="1" t="s">
        <v>989</v>
      </c>
      <c r="C32" s="119" t="s">
        <v>990</v>
      </c>
      <c r="D32" s="1"/>
      <c r="E32" s="1"/>
      <c r="F32" s="1"/>
      <c r="G32" s="1"/>
      <c r="H32" s="1"/>
      <c r="I32" s="1"/>
      <c r="J32" s="1"/>
      <c r="K32" s="1"/>
    </row>
    <row r="33">
      <c r="A33" s="1"/>
      <c r="B33" s="1" t="s">
        <v>1023</v>
      </c>
      <c r="C33" s="74" t="s">
        <v>7</v>
      </c>
      <c r="D33" s="1"/>
      <c r="E33" s="1"/>
      <c r="F33" s="1"/>
      <c r="G33" s="1"/>
      <c r="H33" s="1"/>
      <c r="I33" s="1"/>
      <c r="J33" s="1"/>
      <c r="K33" s="1"/>
    </row>
    <row r="34">
      <c r="A34" s="1"/>
      <c r="B34" s="1" t="s">
        <v>1024</v>
      </c>
      <c r="C34" s="119" t="s">
        <v>1025</v>
      </c>
      <c r="D34" s="1"/>
      <c r="E34" s="1"/>
      <c r="F34" s="1"/>
      <c r="G34" s="1"/>
      <c r="H34" s="1"/>
      <c r="I34" s="1"/>
      <c r="J34" s="1"/>
      <c r="K34" s="1"/>
    </row>
    <row r="35">
      <c r="A35" s="1"/>
      <c r="B35" s="1" t="s">
        <v>1026</v>
      </c>
      <c r="C35" s="71">
        <v>97023</v>
      </c>
      <c r="D35" s="1"/>
      <c r="E35" s="1"/>
      <c r="F35" s="1"/>
      <c r="G35" s="1"/>
      <c r="H35" s="1"/>
      <c r="I35" s="1"/>
      <c r="J35" s="1"/>
      <c r="K35" s="1"/>
    </row>
    <row r="36">
      <c r="A36" s="1"/>
      <c r="B36" s="1" t="s">
        <v>1027</v>
      </c>
      <c r="C36" s="119" t="s">
        <v>1004</v>
      </c>
      <c r="D36" s="1"/>
      <c r="E36" s="1"/>
      <c r="F36" s="1"/>
      <c r="G36" s="1"/>
      <c r="H36" s="1"/>
      <c r="I36" s="1"/>
      <c r="J36" s="1"/>
      <c r="K36" s="1"/>
    </row>
    <row r="37">
      <c r="A37" s="1"/>
      <c r="B37" s="1" t="s">
        <v>1028</v>
      </c>
      <c r="C37" s="119" t="s">
        <v>1029</v>
      </c>
      <c r="D37" s="1"/>
      <c r="E37" s="1"/>
      <c r="F37" s="1"/>
      <c r="G37" s="1"/>
      <c r="H37" s="1"/>
      <c r="I37" s="1"/>
      <c r="J37" s="1"/>
      <c r="K37" s="1"/>
    </row>
    <row r="38">
      <c r="A38" s="1"/>
      <c r="B38" s="1" t="s">
        <v>1030</v>
      </c>
      <c r="C38" s="74" t="s">
        <v>993</v>
      </c>
      <c r="D38" s="1"/>
      <c r="E38" s="1"/>
      <c r="F38" s="1"/>
      <c r="G38" s="1"/>
      <c r="H38" s="1"/>
      <c r="I38" s="1"/>
      <c r="J38" s="1"/>
      <c r="K38" s="1"/>
    </row>
    <row r="39">
      <c r="A39" s="1"/>
      <c r="B39" s="1" t="s">
        <v>1031</v>
      </c>
      <c r="C39" s="119" t="s">
        <v>995</v>
      </c>
      <c r="D39" s="1"/>
      <c r="E39" s="1"/>
      <c r="F39" s="1"/>
      <c r="G39" s="1"/>
      <c r="H39" s="1"/>
      <c r="I39" s="1"/>
      <c r="J39" s="1"/>
      <c r="K39" s="1"/>
    </row>
    <row r="40">
      <c r="A40" s="1"/>
      <c r="B40" s="1" t="s">
        <v>1032</v>
      </c>
      <c r="C40" s="119" t="s">
        <v>1033</v>
      </c>
      <c r="D40" s="1"/>
      <c r="E40" s="1"/>
      <c r="F40" s="1"/>
      <c r="G40" s="1"/>
      <c r="H40" s="1"/>
      <c r="I40" s="1"/>
      <c r="J40" s="1"/>
      <c r="K40" s="1"/>
    </row>
    <row r="41">
      <c r="A41" s="1"/>
      <c r="B41" s="1" t="s">
        <v>1000</v>
      </c>
      <c r="C41" s="74" t="s">
        <v>1034</v>
      </c>
      <c r="D41" s="1"/>
      <c r="E41" s="1"/>
      <c r="F41" s="1"/>
      <c r="G41" s="1"/>
      <c r="H41" s="1"/>
      <c r="I41" s="1"/>
      <c r="J41" s="1"/>
      <c r="K41" s="1"/>
    </row>
    <row r="42">
      <c r="A42" s="1"/>
      <c r="B42" s="1" t="s">
        <v>1035</v>
      </c>
      <c r="C42" s="67">
        <v>22</v>
      </c>
      <c r="D42" s="1"/>
      <c r="E42" s="1"/>
      <c r="F42" s="1"/>
      <c r="G42" s="1"/>
      <c r="H42" s="1"/>
      <c r="I42" s="1"/>
      <c r="J42" s="1"/>
      <c r="K42" s="1"/>
    </row>
    <row r="43">
      <c r="A43" s="1"/>
      <c r="B43" s="1" t="s">
        <v>1036</v>
      </c>
      <c r="C43" s="67">
        <v>22</v>
      </c>
      <c r="D43" s="1"/>
      <c r="E43" s="1"/>
      <c r="F43" s="1"/>
      <c r="G43" s="1"/>
      <c r="H43" s="1"/>
      <c r="I43" s="1"/>
      <c r="J43" s="1"/>
      <c r="K43" s="1"/>
    </row>
    <row r="44">
      <c r="A44" s="1"/>
      <c r="B44" s="1" t="s">
        <v>1037</v>
      </c>
      <c r="C44" s="1"/>
      <c r="D44" s="1"/>
      <c r="E44" s="1"/>
      <c r="F44" s="1"/>
      <c r="G44" s="1"/>
      <c r="H44" s="1"/>
      <c r="I44" s="1"/>
      <c r="J44" s="1"/>
      <c r="K44" s="1" t="s">
        <v>1038</v>
      </c>
    </row>
    <row r="45">
      <c r="A45" s="1"/>
      <c r="B45" s="1" t="s">
        <v>1039</v>
      </c>
      <c r="C45" s="67">
        <v>6.4</v>
      </c>
      <c r="D45" s="1"/>
      <c r="E45" s="1"/>
      <c r="F45" s="1"/>
      <c r="G45" s="1"/>
      <c r="H45" s="1"/>
      <c r="I45" s="1"/>
      <c r="J45" s="1"/>
      <c r="K45" s="1"/>
    </row>
    <row r="46">
      <c r="A46" s="1"/>
      <c r="B46" s="1" t="s">
        <v>1040</v>
      </c>
      <c r="C46" s="67">
        <v>6.4</v>
      </c>
      <c r="D46" s="1"/>
      <c r="E46" s="1"/>
      <c r="F46" s="1"/>
      <c r="G46" s="1"/>
      <c r="H46" s="1"/>
      <c r="I46" s="1"/>
      <c r="J46" s="1"/>
      <c r="K46" s="1"/>
    </row>
    <row r="47">
      <c r="A47" s="1"/>
      <c r="B47" s="1" t="s">
        <v>1041</v>
      </c>
      <c r="C47" s="67">
        <v>6.47</v>
      </c>
      <c r="D47" s="1"/>
      <c r="E47" s="1"/>
      <c r="F47" s="1"/>
      <c r="G47" s="1"/>
      <c r="H47" s="1"/>
      <c r="I47" s="1"/>
      <c r="J47" s="1"/>
      <c r="K47" s="1"/>
    </row>
    <row r="48">
      <c r="A48" s="1"/>
      <c r="B48" s="1" t="s">
        <v>1042</v>
      </c>
      <c r="C48" s="67">
        <v>6.33</v>
      </c>
      <c r="D48" s="1"/>
      <c r="E48" s="1"/>
      <c r="F48" s="1"/>
      <c r="G48" s="1"/>
      <c r="H48" s="1"/>
      <c r="I48" s="1"/>
      <c r="J48" s="1"/>
      <c r="K48" s="1"/>
    </row>
    <row r="49">
      <c r="A49" s="1"/>
      <c r="B49" s="1" t="s">
        <v>1043</v>
      </c>
      <c r="C49" s="67">
        <v>0.03</v>
      </c>
      <c r="D49" s="1"/>
      <c r="E49" s="1"/>
      <c r="F49" s="1"/>
      <c r="G49" s="1"/>
      <c r="H49" s="1"/>
      <c r="I49" s="1"/>
      <c r="J49" s="1"/>
      <c r="K49" s="1"/>
    </row>
    <row r="50">
      <c r="A50" s="1"/>
      <c r="B50" s="1" t="s">
        <v>1044</v>
      </c>
      <c r="C50" s="67">
        <v>22</v>
      </c>
      <c r="D50" s="1"/>
      <c r="E50" s="1"/>
      <c r="F50" s="1"/>
      <c r="G50" s="1"/>
      <c r="H50" s="1"/>
      <c r="I50" s="1"/>
      <c r="J50" s="1"/>
      <c r="K50" s="1"/>
    </row>
    <row r="51">
      <c r="A51" s="1"/>
      <c r="B51" s="1" t="s">
        <v>1045</v>
      </c>
      <c r="C51" s="1"/>
      <c r="D51" s="1"/>
      <c r="E51" s="1"/>
      <c r="F51" s="1"/>
      <c r="G51" s="1"/>
      <c r="H51" s="1"/>
      <c r="I51" s="1"/>
      <c r="J51" s="1"/>
      <c r="K51" s="1" t="s">
        <v>1038</v>
      </c>
    </row>
    <row r="52">
      <c r="A52" s="1"/>
      <c r="B52" s="1" t="s">
        <v>1046</v>
      </c>
      <c r="C52" s="67">
        <v>6.38</v>
      </c>
      <c r="D52" s="1"/>
      <c r="E52" s="1"/>
      <c r="F52" s="1"/>
      <c r="G52" s="1"/>
      <c r="H52" s="1"/>
      <c r="I52" s="1"/>
      <c r="J52" s="1"/>
      <c r="K52" s="1"/>
    </row>
    <row r="53">
      <c r="A53" s="1"/>
      <c r="B53" s="1" t="s">
        <v>1047</v>
      </c>
      <c r="C53" s="67">
        <v>6.43</v>
      </c>
      <c r="D53" s="1"/>
      <c r="E53" s="1"/>
      <c r="F53" s="1"/>
      <c r="G53" s="1"/>
      <c r="H53" s="1"/>
      <c r="I53" s="1"/>
      <c r="J53" s="1"/>
      <c r="K53" s="1"/>
    </row>
    <row r="54">
      <c r="A54" s="1"/>
      <c r="B54" s="1" t="s">
        <v>1048</v>
      </c>
      <c r="C54" s="67">
        <v>5.03</v>
      </c>
      <c r="D54" s="1"/>
      <c r="E54" s="1"/>
      <c r="F54" s="1"/>
      <c r="G54" s="1"/>
      <c r="H54" s="1"/>
      <c r="I54" s="1"/>
      <c r="J54" s="1"/>
      <c r="K54" s="1"/>
    </row>
    <row r="55">
      <c r="A55" s="1"/>
      <c r="B55" s="1" t="s">
        <v>1049</v>
      </c>
      <c r="C55" s="67">
        <v>5.04</v>
      </c>
      <c r="D55" s="1"/>
      <c r="E55" s="1"/>
      <c r="F55" s="1"/>
      <c r="G55" s="1"/>
      <c r="H55" s="1"/>
      <c r="I55" s="1"/>
      <c r="J55" s="1"/>
      <c r="K55" s="1"/>
    </row>
    <row r="56">
      <c r="A56" s="1"/>
      <c r="B56" s="1" t="s">
        <v>1050</v>
      </c>
      <c r="C56" s="67">
        <v>5.35</v>
      </c>
      <c r="D56" s="1"/>
      <c r="E56" s="1"/>
      <c r="F56" s="1"/>
      <c r="G56" s="1"/>
      <c r="H56" s="1"/>
      <c r="I56" s="1"/>
      <c r="J56" s="1"/>
      <c r="K56" s="1"/>
    </row>
    <row r="57">
      <c r="A57" s="1"/>
      <c r="B57" s="1" t="s">
        <v>1051</v>
      </c>
      <c r="C57" s="67">
        <v>4.83</v>
      </c>
      <c r="D57" s="1"/>
      <c r="E57" s="1"/>
      <c r="F57" s="1"/>
      <c r="G57" s="1"/>
      <c r="H57" s="1"/>
      <c r="I57" s="1"/>
      <c r="J57" s="1"/>
      <c r="K57" s="1"/>
    </row>
    <row r="58">
      <c r="A58" s="1"/>
      <c r="B58" s="1" t="s">
        <v>1052</v>
      </c>
      <c r="C58" s="67">
        <v>0.17</v>
      </c>
      <c r="D58" s="1"/>
      <c r="E58" s="1"/>
      <c r="F58" s="1"/>
      <c r="G58" s="1"/>
      <c r="H58" s="1"/>
      <c r="I58" s="1"/>
      <c r="J58" s="1"/>
      <c r="K58" s="1"/>
    </row>
    <row r="59">
      <c r="A59" s="1"/>
      <c r="B59" s="1" t="s">
        <v>1053</v>
      </c>
      <c r="C59" s="67">
        <v>6</v>
      </c>
      <c r="D59" s="1"/>
      <c r="E59" s="1"/>
      <c r="F59" s="1"/>
      <c r="G59" s="1"/>
      <c r="H59" s="1"/>
      <c r="I59" s="1"/>
      <c r="J59" s="1"/>
      <c r="K59" s="1"/>
    </row>
    <row r="60">
      <c r="A60" s="1"/>
      <c r="B60" s="1" t="s">
        <v>1054</v>
      </c>
      <c r="C60" s="1"/>
      <c r="D60" s="1"/>
      <c r="E60" s="1"/>
      <c r="F60" s="1"/>
      <c r="G60" s="1"/>
      <c r="H60" s="1"/>
      <c r="I60" s="1"/>
      <c r="J60" s="1"/>
      <c r="K60" s="1" t="s">
        <v>1038</v>
      </c>
    </row>
    <row r="61">
      <c r="A61" s="1"/>
      <c r="B61" s="1" t="s">
        <v>1055</v>
      </c>
      <c r="C61" s="1"/>
      <c r="D61" s="1"/>
      <c r="E61" s="1"/>
      <c r="F61" s="1"/>
      <c r="G61" s="1"/>
      <c r="H61" s="1"/>
      <c r="I61" s="1"/>
      <c r="J61" s="1"/>
      <c r="K61" s="1" t="s">
        <v>1038</v>
      </c>
    </row>
    <row r="62">
      <c r="A62" s="1"/>
      <c r="B62" s="1" t="s">
        <v>1056</v>
      </c>
      <c r="C62" s="1"/>
      <c r="D62" s="1"/>
      <c r="E62" s="1"/>
      <c r="F62" s="1"/>
      <c r="G62" s="1"/>
      <c r="H62" s="1"/>
      <c r="I62" s="1"/>
      <c r="J62" s="1"/>
      <c r="K62" s="1" t="s">
        <v>1038</v>
      </c>
    </row>
    <row r="63">
      <c r="A63" s="1"/>
      <c r="B63" s="1" t="s">
        <v>1057</v>
      </c>
      <c r="C63" s="67">
        <v>11933.7</v>
      </c>
      <c r="D63" s="1"/>
      <c r="E63" s="1"/>
      <c r="F63" s="1"/>
      <c r="G63" s="1"/>
      <c r="H63" s="1"/>
      <c r="I63" s="1"/>
      <c r="J63" s="1"/>
      <c r="K63" s="1"/>
    </row>
    <row r="64">
      <c r="A64" s="1"/>
      <c r="B64" s="1" t="s">
        <v>1058</v>
      </c>
      <c r="C64" s="67">
        <v>11942.06</v>
      </c>
      <c r="D64" s="1"/>
      <c r="E64" s="1"/>
      <c r="F64" s="1"/>
      <c r="G64" s="1"/>
      <c r="H64" s="1"/>
      <c r="I64" s="1"/>
      <c r="J64" s="1"/>
      <c r="K64" s="1"/>
    </row>
    <row r="65">
      <c r="A65" s="1"/>
      <c r="B65" s="1" t="s">
        <v>1059</v>
      </c>
      <c r="C65" s="67">
        <v>12022</v>
      </c>
      <c r="D65" s="1"/>
      <c r="E65" s="1"/>
      <c r="F65" s="1"/>
      <c r="G65" s="1"/>
      <c r="H65" s="1"/>
      <c r="I65" s="1"/>
      <c r="J65" s="1"/>
      <c r="K65" s="1"/>
    </row>
    <row r="66">
      <c r="A66" s="1"/>
      <c r="B66" s="1" t="s">
        <v>1060</v>
      </c>
      <c r="C66" s="67">
        <v>11714</v>
      </c>
      <c r="D66" s="1"/>
      <c r="E66" s="1"/>
      <c r="F66" s="1"/>
      <c r="G66" s="1"/>
      <c r="H66" s="1"/>
      <c r="I66" s="1"/>
      <c r="J66" s="1"/>
      <c r="K66" s="1"/>
    </row>
    <row r="67">
      <c r="A67" s="1"/>
      <c r="B67" s="1" t="s">
        <v>1061</v>
      </c>
      <c r="C67" s="67">
        <v>70.23</v>
      </c>
      <c r="D67" s="1"/>
      <c r="E67" s="1"/>
      <c r="F67" s="1"/>
      <c r="G67" s="1"/>
      <c r="H67" s="1"/>
      <c r="I67" s="1"/>
      <c r="J67" s="1"/>
      <c r="K67" s="1"/>
    </row>
    <row r="68">
      <c r="A68" s="1"/>
      <c r="B68" s="1" t="s">
        <v>1062</v>
      </c>
      <c r="C68" s="67">
        <v>20</v>
      </c>
      <c r="D68" s="1"/>
      <c r="E68" s="1"/>
      <c r="F68" s="1"/>
      <c r="G68" s="1"/>
      <c r="H68" s="1"/>
      <c r="I68" s="1"/>
      <c r="J68" s="1"/>
      <c r="K68" s="1"/>
    </row>
    <row r="69">
      <c r="A69" s="1"/>
      <c r="B69" s="1" t="s">
        <v>1063</v>
      </c>
      <c r="C69" s="1"/>
      <c r="D69" s="1"/>
      <c r="E69" s="1"/>
      <c r="F69" s="1"/>
      <c r="G69" s="1"/>
      <c r="H69" s="1"/>
      <c r="I69" s="1"/>
      <c r="J69" s="1"/>
      <c r="K69" s="1" t="s">
        <v>1038</v>
      </c>
    </row>
    <row r="70">
      <c r="A70" s="1"/>
      <c r="B70" s="1" t="s">
        <v>1064</v>
      </c>
      <c r="C70" s="1"/>
      <c r="D70" s="1"/>
      <c r="E70" s="1"/>
      <c r="F70" s="1"/>
      <c r="G70" s="1"/>
      <c r="H70" s="1"/>
      <c r="I70" s="1"/>
      <c r="J70" s="1"/>
      <c r="K70" s="1" t="s">
        <v>1038</v>
      </c>
    </row>
    <row r="71">
      <c r="A71" s="1"/>
      <c r="B71" s="1" t="s">
        <v>1065</v>
      </c>
      <c r="C71" s="1"/>
      <c r="D71" s="1"/>
      <c r="E71" s="1"/>
      <c r="F71" s="1"/>
      <c r="G71" s="1"/>
      <c r="H71" s="1"/>
      <c r="I71" s="1"/>
      <c r="J71" s="1"/>
      <c r="K71" s="1" t="s">
        <v>1038</v>
      </c>
    </row>
    <row r="72">
      <c r="A72" s="1"/>
      <c r="B72" s="1" t="s">
        <v>1066</v>
      </c>
      <c r="C72" s="67">
        <v>3182.39</v>
      </c>
      <c r="D72" s="1"/>
      <c r="E72" s="1"/>
      <c r="F72" s="1"/>
      <c r="G72" s="1"/>
      <c r="H72" s="1"/>
      <c r="I72" s="1"/>
      <c r="J72" s="1"/>
      <c r="K72" s="1" t="s">
        <v>1067</v>
      </c>
    </row>
    <row r="73">
      <c r="A73" s="1"/>
      <c r="B73" s="1" t="s">
        <v>1068</v>
      </c>
      <c r="C73" s="67">
        <v>2867.25</v>
      </c>
      <c r="D73" s="1"/>
      <c r="E73" s="1"/>
      <c r="F73" s="1"/>
      <c r="G73" s="1"/>
      <c r="H73" s="1"/>
      <c r="I73" s="1"/>
      <c r="J73" s="1"/>
      <c r="K73" s="1"/>
    </row>
    <row r="74">
      <c r="A74" s="1"/>
      <c r="B74" s="1" t="s">
        <v>1069</v>
      </c>
      <c r="C74" s="67">
        <v>2691.29</v>
      </c>
      <c r="D74" s="1"/>
      <c r="E74" s="1"/>
      <c r="F74" s="1"/>
      <c r="G74" s="1"/>
      <c r="H74" s="1"/>
      <c r="I74" s="1"/>
      <c r="J74" s="1"/>
      <c r="K74" s="1"/>
    </row>
    <row r="75">
      <c r="A75" s="1"/>
      <c r="B75" s="1" t="s">
        <v>1070</v>
      </c>
      <c r="C75" s="67">
        <v>2115</v>
      </c>
      <c r="D75" s="1"/>
      <c r="E75" s="1"/>
      <c r="F75" s="1"/>
      <c r="G75" s="1"/>
      <c r="H75" s="1"/>
      <c r="I75" s="1"/>
      <c r="J75" s="1"/>
      <c r="K75" s="1"/>
    </row>
    <row r="76">
      <c r="A76" s="1"/>
      <c r="B76" s="1" t="s">
        <v>1071</v>
      </c>
      <c r="C76" s="67">
        <v>2375.43</v>
      </c>
      <c r="D76" s="1"/>
      <c r="E76" s="1"/>
      <c r="F76" s="1"/>
      <c r="G76" s="1"/>
      <c r="H76" s="1"/>
      <c r="I76" s="1"/>
      <c r="J76" s="1"/>
      <c r="K76" s="1"/>
    </row>
    <row r="77">
      <c r="A77" s="1"/>
      <c r="B77" s="1" t="s">
        <v>1072</v>
      </c>
      <c r="C77" s="67">
        <v>1870.35</v>
      </c>
      <c r="D77" s="1"/>
      <c r="E77" s="1"/>
      <c r="F77" s="1"/>
      <c r="G77" s="1"/>
      <c r="H77" s="1"/>
      <c r="I77" s="1"/>
      <c r="J77" s="1"/>
      <c r="K77" s="1"/>
    </row>
    <row r="78">
      <c r="A78" s="1"/>
      <c r="B78" s="1" t="s">
        <v>1073</v>
      </c>
      <c r="C78" s="1"/>
      <c r="D78" s="1"/>
      <c r="E78" s="1"/>
      <c r="F78" s="1"/>
      <c r="G78" s="1"/>
      <c r="H78" s="1"/>
      <c r="I78" s="1"/>
      <c r="J78" s="1"/>
      <c r="K78" s="1" t="s">
        <v>1038</v>
      </c>
    </row>
    <row r="79">
      <c r="A79" s="1"/>
      <c r="B79" s="1" t="s">
        <v>1074</v>
      </c>
      <c r="C79" s="1"/>
      <c r="D79" s="1"/>
      <c r="E79" s="1"/>
      <c r="F79" s="1"/>
      <c r="G79" s="1"/>
      <c r="H79" s="1"/>
      <c r="I79" s="1"/>
      <c r="J79" s="1"/>
      <c r="K79" s="1" t="s">
        <v>1038</v>
      </c>
    </row>
    <row r="80">
      <c r="A80" s="1"/>
      <c r="B80" s="1" t="s">
        <v>1075</v>
      </c>
      <c r="C80" s="67">
        <v>575</v>
      </c>
      <c r="D80" s="1"/>
      <c r="E80" s="1"/>
      <c r="F80" s="1"/>
      <c r="G80" s="1"/>
      <c r="H80" s="1"/>
      <c r="I80" s="1"/>
      <c r="J80" s="1"/>
      <c r="K80" s="1"/>
    </row>
    <row r="81">
      <c r="A81" s="1"/>
      <c r="B81" s="1" t="s">
        <v>1076</v>
      </c>
      <c r="C81" s="1"/>
      <c r="D81" s="1"/>
      <c r="E81" s="1"/>
      <c r="F81" s="1"/>
      <c r="G81" s="1"/>
      <c r="H81" s="1"/>
      <c r="I81" s="1"/>
      <c r="J81" s="1"/>
      <c r="K81" s="1" t="s">
        <v>1038</v>
      </c>
    </row>
    <row r="82">
      <c r="A82" s="1"/>
      <c r="B82" s="1" t="s">
        <v>1077</v>
      </c>
      <c r="C82" s="1"/>
      <c r="D82" s="1"/>
      <c r="E82" s="1"/>
      <c r="F82" s="1"/>
      <c r="G82" s="1"/>
      <c r="H82" s="1"/>
      <c r="I82" s="1"/>
      <c r="J82" s="1"/>
      <c r="K82" s="1" t="s">
        <v>1038</v>
      </c>
    </row>
    <row r="83">
      <c r="A83" s="1"/>
      <c r="B83" s="1" t="s">
        <v>1078</v>
      </c>
      <c r="C83" s="1"/>
      <c r="D83" s="1"/>
      <c r="E83" s="1"/>
      <c r="F83" s="1"/>
      <c r="G83" s="1"/>
      <c r="H83" s="1"/>
      <c r="I83" s="1"/>
      <c r="J83" s="1"/>
      <c r="K83" s="1" t="s">
        <v>1038</v>
      </c>
    </row>
    <row r="84">
      <c r="A84" s="1"/>
      <c r="B84" s="1" t="s">
        <v>1079</v>
      </c>
      <c r="C84" s="67">
        <v>-384.5</v>
      </c>
      <c r="D84" s="1"/>
      <c r="E84" s="1"/>
      <c r="F84" s="1"/>
      <c r="G84" s="1"/>
      <c r="H84" s="1"/>
      <c r="I84" s="1"/>
      <c r="J84" s="1"/>
      <c r="K84" s="1"/>
    </row>
    <row r="85">
      <c r="A85" s="1"/>
      <c r="B85" s="1" t="s">
        <v>1080</v>
      </c>
      <c r="C85" s="1"/>
      <c r="D85" s="1"/>
      <c r="E85" s="1"/>
      <c r="F85" s="1"/>
      <c r="G85" s="1"/>
      <c r="H85" s="1"/>
      <c r="I85" s="1"/>
      <c r="J85" s="1"/>
      <c r="K85" s="1" t="s">
        <v>1038</v>
      </c>
    </row>
    <row r="86">
      <c r="A86" s="1"/>
      <c r="B86" s="1" t="s">
        <v>1081</v>
      </c>
      <c r="C86" s="1"/>
      <c r="D86" s="1"/>
      <c r="E86" s="1"/>
      <c r="F86" s="1"/>
      <c r="G86" s="1"/>
      <c r="H86" s="1"/>
      <c r="I86" s="1"/>
      <c r="J86" s="1"/>
      <c r="K86" s="1" t="s">
        <v>1038</v>
      </c>
    </row>
    <row r="87">
      <c r="A87" s="1"/>
      <c r="B87" s="1" t="s">
        <v>1082</v>
      </c>
      <c r="C87" s="1"/>
      <c r="D87" s="1"/>
      <c r="E87" s="1"/>
      <c r="F87" s="1"/>
      <c r="G87" s="1"/>
      <c r="H87" s="1"/>
      <c r="I87" s="1"/>
      <c r="J87" s="1"/>
      <c r="K87" s="1" t="s">
        <v>1038</v>
      </c>
    </row>
    <row r="88">
      <c r="A88" s="1"/>
      <c r="B88" s="1" t="s">
        <v>1083</v>
      </c>
      <c r="C88" s="67">
        <v>690.62</v>
      </c>
      <c r="D88" s="1"/>
      <c r="E88" s="1"/>
      <c r="F88" s="1"/>
      <c r="G88" s="1"/>
      <c r="H88" s="1"/>
      <c r="I88" s="1"/>
      <c r="J88" s="1"/>
      <c r="K88" s="1"/>
    </row>
    <row r="89">
      <c r="A89" s="1"/>
      <c r="B89" s="1" t="s">
        <v>1084</v>
      </c>
      <c r="C89" s="67">
        <v>721.5</v>
      </c>
      <c r="D89" s="1"/>
      <c r="E89" s="1"/>
      <c r="F89" s="1"/>
      <c r="G89" s="1"/>
      <c r="H89" s="1"/>
      <c r="I89" s="1"/>
      <c r="J89" s="1"/>
      <c r="K89" s="1"/>
    </row>
    <row r="90">
      <c r="A90" s="1"/>
      <c r="B90" s="1" t="s">
        <v>1085</v>
      </c>
      <c r="C90" s="67">
        <v>800</v>
      </c>
      <c r="D90" s="1"/>
      <c r="E90" s="1"/>
      <c r="F90" s="1"/>
      <c r="G90" s="1"/>
      <c r="H90" s="1"/>
      <c r="I90" s="1"/>
      <c r="J90" s="1"/>
      <c r="K90" s="1"/>
    </row>
    <row r="91">
      <c r="A91" s="1"/>
      <c r="B91" s="1" t="s">
        <v>1086</v>
      </c>
      <c r="C91" s="67">
        <v>560</v>
      </c>
      <c r="D91" s="1"/>
      <c r="E91" s="1"/>
      <c r="F91" s="1"/>
      <c r="G91" s="1"/>
      <c r="H91" s="1"/>
      <c r="I91" s="1"/>
      <c r="J91" s="1"/>
      <c r="K91" s="1"/>
    </row>
    <row r="92">
      <c r="A92" s="1"/>
      <c r="B92" s="1" t="s">
        <v>1087</v>
      </c>
      <c r="C92" s="67">
        <v>69.41</v>
      </c>
      <c r="D92" s="1"/>
      <c r="E92" s="1"/>
      <c r="F92" s="1"/>
      <c r="G92" s="1"/>
      <c r="H92" s="1"/>
      <c r="I92" s="1"/>
      <c r="J92" s="1"/>
      <c r="K92" s="1"/>
    </row>
    <row r="93">
      <c r="A93" s="1"/>
      <c r="B93" s="1" t="s">
        <v>1088</v>
      </c>
      <c r="C93" s="67">
        <v>26</v>
      </c>
      <c r="D93" s="1"/>
      <c r="E93" s="1"/>
      <c r="F93" s="1"/>
      <c r="G93" s="1"/>
      <c r="H93" s="1"/>
      <c r="I93" s="1"/>
      <c r="J93" s="1"/>
      <c r="K93" s="1"/>
    </row>
    <row r="94">
      <c r="A94" s="1"/>
      <c r="B94" s="1" t="s">
        <v>1089</v>
      </c>
      <c r="C94" s="119" t="s">
        <v>1090</v>
      </c>
      <c r="D94" s="1"/>
      <c r="E94" s="1"/>
      <c r="F94" s="1"/>
      <c r="G94" s="1"/>
      <c r="H94" s="1"/>
      <c r="I94" s="1"/>
      <c r="J94" s="1"/>
      <c r="K94" s="1"/>
    </row>
    <row r="95">
      <c r="A95" s="1"/>
      <c r="B95" s="1" t="s">
        <v>1091</v>
      </c>
      <c r="C95" s="67">
        <v>1.46</v>
      </c>
      <c r="D95" s="1"/>
      <c r="E95" s="1"/>
      <c r="F95" s="1"/>
      <c r="G95" s="1"/>
      <c r="H95" s="1"/>
      <c r="I95" s="1"/>
      <c r="J95" s="1"/>
      <c r="K95" s="1"/>
    </row>
    <row r="96">
      <c r="A96" s="1"/>
      <c r="B96" s="1" t="s">
        <v>1092</v>
      </c>
      <c r="C96" s="67">
        <v>690</v>
      </c>
      <c r="D96" s="1"/>
      <c r="E96" s="1"/>
      <c r="F96" s="1"/>
      <c r="G96" s="1"/>
      <c r="H96" s="1"/>
      <c r="I96" s="1"/>
      <c r="J96" s="1"/>
      <c r="K96" s="1"/>
    </row>
    <row r="97">
      <c r="A97" s="1"/>
      <c r="B97" s="1" t="s">
        <v>1093</v>
      </c>
      <c r="C97" s="74" t="s">
        <v>1094</v>
      </c>
      <c r="D97" s="1"/>
      <c r="E97" s="1"/>
      <c r="F97" s="1"/>
      <c r="G97" s="1"/>
      <c r="H97" s="1"/>
      <c r="I97" s="1"/>
      <c r="J97" s="1"/>
      <c r="K97" s="1"/>
    </row>
    <row r="98">
      <c r="A98" s="1"/>
      <c r="B98" s="1" t="s">
        <v>1095</v>
      </c>
      <c r="C98" s="119" t="s">
        <v>997</v>
      </c>
      <c r="D98" s="1"/>
      <c r="E98" s="1"/>
      <c r="F98" s="1"/>
      <c r="G98" s="1"/>
      <c r="H98" s="1"/>
      <c r="I98" s="1"/>
      <c r="J98" s="1"/>
      <c r="K98" s="1"/>
    </row>
    <row r="99">
      <c r="A99" s="1"/>
      <c r="B99" s="1" t="s">
        <v>1096</v>
      </c>
      <c r="C99" s="1"/>
      <c r="D99" s="1"/>
      <c r="E99" s="1"/>
      <c r="F99" s="1"/>
      <c r="G99" s="1"/>
      <c r="H99" s="1"/>
      <c r="I99" s="1"/>
      <c r="J99" s="1"/>
      <c r="K99" s="1" t="s">
        <v>1038</v>
      </c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>
      <c r="A101" s="1"/>
      <c r="B101" s="13" t="s">
        <v>1097</v>
      </c>
      <c r="C101" s="1"/>
      <c r="D101" s="1"/>
      <c r="E101" s="1"/>
      <c r="F101" s="1"/>
      <c r="G101" s="1"/>
      <c r="H101" s="1"/>
      <c r="I101" s="1"/>
      <c r="J101" s="1"/>
      <c r="K101" s="1"/>
    </row>
    <row r="102" ht="33">
      <c r="A102" s="1"/>
      <c r="B102" s="84" t="s">
        <v>994</v>
      </c>
      <c r="C102" s="80" t="s">
        <v>1098</v>
      </c>
      <c r="D102" s="80" t="s">
        <v>1099</v>
      </c>
      <c r="E102" s="80" t="s">
        <v>1100</v>
      </c>
      <c r="F102" s="80" t="s">
        <v>1101</v>
      </c>
      <c r="G102" s="80" t="s">
        <v>1102</v>
      </c>
      <c r="H102" s="80" t="s">
        <v>1103</v>
      </c>
      <c r="I102" s="80" t="s">
        <v>1104</v>
      </c>
      <c r="J102" s="1"/>
      <c r="K102" s="1"/>
    </row>
    <row r="103">
      <c r="A103" s="1"/>
      <c r="B103" s="79" t="s">
        <v>1105</v>
      </c>
      <c r="C103" s="67" t="s">
        <v>1106</v>
      </c>
      <c r="D103" s="67">
        <v>5.1</v>
      </c>
      <c r="E103" s="67">
        <v>5.15</v>
      </c>
      <c r="F103" s="67">
        <v>3.77</v>
      </c>
      <c r="G103" s="67">
        <v>3.98</v>
      </c>
      <c r="H103" s="67">
        <v>10233.94</v>
      </c>
      <c r="I103" s="67">
        <v>10364</v>
      </c>
      <c r="J103" s="1"/>
      <c r="K103" s="1"/>
    </row>
    <row r="104">
      <c r="A104" s="1"/>
      <c r="B104" s="79" t="s">
        <v>1107</v>
      </c>
      <c r="C104" s="67" t="s">
        <v>1108</v>
      </c>
      <c r="D104" s="67">
        <v>5.23</v>
      </c>
      <c r="E104" s="67">
        <v>5.36</v>
      </c>
      <c r="F104" s="67">
        <v>4</v>
      </c>
      <c r="G104" s="67">
        <v>4.28</v>
      </c>
      <c r="H104" s="67">
        <v>10681.69</v>
      </c>
      <c r="I104" s="67">
        <v>10855</v>
      </c>
      <c r="J104" s="1"/>
      <c r="K104" s="1"/>
    </row>
    <row r="105">
      <c r="A105" s="1"/>
      <c r="B105" s="79" t="s">
        <v>1109</v>
      </c>
      <c r="C105" s="67" t="s">
        <v>1110</v>
      </c>
      <c r="D105" s="67">
        <v>5.5</v>
      </c>
      <c r="E105" s="67">
        <v>5.79</v>
      </c>
      <c r="F105" s="67">
        <v>4.29</v>
      </c>
      <c r="G105" s="67">
        <v>4.27</v>
      </c>
      <c r="H105" s="67">
        <v>10914.68</v>
      </c>
      <c r="I105" s="67">
        <v>11122</v>
      </c>
      <c r="J105" s="1"/>
      <c r="K105" s="1"/>
    </row>
    <row r="106">
      <c r="A106" s="1"/>
      <c r="B106" s="79" t="s">
        <v>1111</v>
      </c>
      <c r="C106" s="67" t="s">
        <v>1112</v>
      </c>
      <c r="D106" s="67">
        <v>6.45</v>
      </c>
      <c r="E106" s="67">
        <v>6.57</v>
      </c>
      <c r="F106" s="67">
        <v>5.2</v>
      </c>
      <c r="G106" s="67">
        <v>5.21</v>
      </c>
      <c r="H106" s="67">
        <v>11894.38</v>
      </c>
      <c r="I106" s="67">
        <v>12215</v>
      </c>
      <c r="J106" s="1"/>
      <c r="K106" s="1"/>
    </row>
    <row r="107">
      <c r="A107" s="1"/>
      <c r="B107" s="79" t="s">
        <v>1113</v>
      </c>
      <c r="C107" s="67" t="s">
        <v>1114</v>
      </c>
      <c r="D107" s="67">
        <v>5.24</v>
      </c>
      <c r="E107" s="67">
        <v>5.44</v>
      </c>
      <c r="F107" s="67">
        <v>3.95</v>
      </c>
      <c r="G107" s="67">
        <v>4.43</v>
      </c>
      <c r="H107" s="67">
        <v>10860.79</v>
      </c>
      <c r="I107" s="67">
        <v>11005</v>
      </c>
      <c r="J107" s="1"/>
      <c r="K107" s="1"/>
    </row>
    <row r="108">
      <c r="A108" s="1"/>
      <c r="B108" s="79" t="s">
        <v>1115</v>
      </c>
      <c r="C108" s="67" t="s">
        <v>1116</v>
      </c>
      <c r="D108" s="67">
        <v>5.71</v>
      </c>
      <c r="E108" s="67">
        <v>6.03</v>
      </c>
      <c r="F108" s="67">
        <v>4.44</v>
      </c>
      <c r="G108" s="67">
        <v>4.68</v>
      </c>
      <c r="H108" s="67">
        <v>11699.57</v>
      </c>
      <c r="I108" s="67">
        <v>11994</v>
      </c>
      <c r="J108" s="1"/>
      <c r="K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>
      <c r="A110" s="1"/>
      <c r="B110" s="13" t="s">
        <v>1117</v>
      </c>
      <c r="C110" s="1"/>
      <c r="D110" s="1"/>
      <c r="E110" s="1"/>
      <c r="F110" s="1"/>
      <c r="G110" s="1"/>
      <c r="H110" s="1"/>
      <c r="I110" s="1"/>
      <c r="J110" s="1"/>
      <c r="K110" s="1"/>
    </row>
    <row r="111">
      <c r="A111" s="1"/>
      <c r="B111" s="1" t="s">
        <v>1118</v>
      </c>
      <c r="C111" s="40" t="str">
        <f>B103</f>
        <v>2025-03-31</v>
      </c>
      <c r="D111" s="40" t="str">
        <f>B104</f>
        <v>2025-06-30</v>
      </c>
      <c r="E111" s="40" t="str">
        <f>B105</f>
        <v>2025-09-30</v>
      </c>
      <c r="F111" s="40" t="str">
        <f>B106</f>
        <v>2025-12-31</v>
      </c>
      <c r="G111" s="1"/>
      <c r="H111" s="40" t="str">
        <f>B107</f>
        <v>2026-03-31</v>
      </c>
      <c r="I111" s="40" t="str">
        <f>B108</f>
        <v>2026-06-30</v>
      </c>
      <c r="J111" s="1"/>
      <c r="K111" s="1"/>
    </row>
    <row r="112">
      <c r="A112" s="1"/>
      <c r="B112" s="1" t="s">
        <v>1119</v>
      </c>
      <c r="C112" s="17">
        <f>E103-D103</f>
        <v>0.05000000000000071</v>
      </c>
      <c r="D112" s="17">
        <f>E104-D104</f>
        <v>0.1299999999999999</v>
      </c>
      <c r="E112" s="17">
        <f>E105-D105</f>
        <v>0.29000000000000004</v>
      </c>
      <c r="F112" s="17">
        <f>E106-D106</f>
        <v>0.1200000000000001</v>
      </c>
      <c r="G112" s="1"/>
      <c r="H112" s="17">
        <f>E107-D107</f>
        <v>0.20000000000000018</v>
      </c>
      <c r="I112" s="17">
        <f>E108-D108</f>
        <v>0.3200000000000003</v>
      </c>
      <c r="J112" s="1"/>
      <c r="K112" s="1" t="s">
        <v>1120</v>
      </c>
    </row>
    <row r="113">
      <c r="A113" s="1"/>
      <c r="B113" s="1" t="s">
        <v>1121</v>
      </c>
      <c r="C113" s="40" t="b">
        <f>E103&gt;D103</f>
        <v>1</v>
      </c>
      <c r="D113" s="40" t="b">
        <f>E104&gt;D104</f>
        <v>1</v>
      </c>
      <c r="E113" s="40" t="b">
        <f>E105&gt;D105</f>
        <v>1</v>
      </c>
      <c r="F113" s="40" t="b">
        <f>E106&gt;D106</f>
        <v>1</v>
      </c>
      <c r="G113" s="1"/>
      <c r="H113" s="40" t="b">
        <f>E107&gt;D107</f>
        <v>1</v>
      </c>
      <c r="I113" s="40" t="b">
        <f>E108&gt;D108</f>
        <v>1</v>
      </c>
      <c r="J113" s="1"/>
      <c r="K113" s="1"/>
    </row>
    <row r="114">
      <c r="A114" s="1"/>
      <c r="B114" s="26" t="s">
        <v>1122</v>
      </c>
      <c r="C114" s="103">
        <f>E103/D103-1</f>
        <v>0.009803921568627638</v>
      </c>
      <c r="D114" s="103">
        <f>E104/D104-1</f>
        <v>0.0248565965583174</v>
      </c>
      <c r="E114" s="103">
        <f>E105/D105-1</f>
        <v>0.052727272727272734</v>
      </c>
      <c r="F114" s="103">
        <f>E106/D106-1</f>
        <v>0.018604651162790642</v>
      </c>
      <c r="G114" s="1"/>
      <c r="H114" s="103">
        <f>E107/D107-1</f>
        <v>0.03816793893129766</v>
      </c>
      <c r="I114" s="103">
        <f>E108/D108-1</f>
        <v>0.05604203152364273</v>
      </c>
      <c r="J114" s="1"/>
      <c r="K114" s="1"/>
    </row>
    <row r="115">
      <c r="A115" s="1"/>
      <c r="B115" s="1" t="s">
        <v>1123</v>
      </c>
      <c r="C115" s="17">
        <f>G103-F103</f>
        <v>0.20999999999999996</v>
      </c>
      <c r="D115" s="17">
        <f>G104-F104</f>
        <v>0.28000000000000025</v>
      </c>
      <c r="E115" s="17">
        <f>G105-F105</f>
        <v>-0.020000000000000462</v>
      </c>
      <c r="F115" s="17">
        <f>G106-F106</f>
        <v>0.009999999999999787</v>
      </c>
      <c r="G115" s="1"/>
      <c r="H115" s="17">
        <f>G107-F107</f>
        <v>0.47999999999999954</v>
      </c>
      <c r="I115" s="17">
        <f>G108-F108</f>
        <v>0.23999999999999932</v>
      </c>
      <c r="J115" s="1"/>
      <c r="K115" s="1"/>
    </row>
    <row r="116">
      <c r="A116" s="1"/>
      <c r="B116" s="26" t="s">
        <v>1124</v>
      </c>
      <c r="C116" s="103">
        <f>I103/H103-1</f>
        <v>0.01270869283970777</v>
      </c>
      <c r="D116" s="103">
        <f>I104/H104-1</f>
        <v>0.016224960656974652</v>
      </c>
      <c r="E116" s="103">
        <f>I105/H105-1</f>
        <v>0.01899460176569545</v>
      </c>
      <c r="F116" s="103">
        <f>I106/H106-1</f>
        <v>0.02695558742868487</v>
      </c>
      <c r="G116" s="1"/>
      <c r="H116" s="103">
        <f>I107/H107-1</f>
        <v>0.013278039626951621</v>
      </c>
      <c r="I116" s="103">
        <f>I108/H108-1</f>
        <v>0.025165882164900122</v>
      </c>
      <c r="J116" s="1"/>
      <c r="K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>
      <c r="A118" s="1"/>
      <c r="B118" s="13" t="s">
        <v>1125</v>
      </c>
      <c r="C118" s="1"/>
      <c r="D118" s="1"/>
      <c r="E118" s="1"/>
      <c r="F118" s="1"/>
      <c r="G118" s="1"/>
      <c r="H118" s="1"/>
      <c r="I118" s="1"/>
      <c r="J118" s="1"/>
      <c r="K118" s="1"/>
    </row>
    <row r="119">
      <c r="A119" s="1"/>
      <c r="B119" s="1" t="s">
        <v>1126</v>
      </c>
      <c r="C119" s="18">
        <f>'Share Count'!J41</f>
        <v>255.12562733999997</v>
      </c>
      <c r="D119" s="1"/>
      <c r="E119" s="1"/>
      <c r="F119" s="1"/>
      <c r="G119" s="1"/>
      <c r="H119" s="1"/>
      <c r="I119" s="1"/>
      <c r="J119" s="1"/>
      <c r="K119" s="1" t="s">
        <v>1127</v>
      </c>
    </row>
    <row r="120">
      <c r="A120" s="1"/>
      <c r="B120" s="1" t="s">
        <v>1128</v>
      </c>
      <c r="C120" s="74" t="s">
        <v>1129</v>
      </c>
      <c r="D120" s="1"/>
      <c r="E120" s="1"/>
      <c r="F120" s="1"/>
      <c r="G120" s="1"/>
      <c r="H120" s="1"/>
      <c r="I120" s="1"/>
      <c r="J120" s="1"/>
      <c r="K120" s="1"/>
    </row>
    <row r="121">
      <c r="A121" s="1"/>
      <c r="B121" s="1" t="s">
        <v>1130</v>
      </c>
      <c r="C121" s="23">
        <v>10</v>
      </c>
      <c r="D121" s="1"/>
      <c r="E121" s="1"/>
      <c r="F121" s="1"/>
      <c r="G121" s="1"/>
      <c r="H121" s="1"/>
      <c r="I121" s="1"/>
      <c r="J121" s="1"/>
      <c r="K121" s="1" t="s">
        <v>1131</v>
      </c>
    </row>
    <row r="122">
      <c r="A122" s="1"/>
      <c r="B122" s="1" t="s">
        <v>1132</v>
      </c>
      <c r="C122" s="23">
        <v>2</v>
      </c>
      <c r="D122" s="1"/>
      <c r="E122" s="1"/>
      <c r="F122" s="1"/>
      <c r="G122" s="1"/>
      <c r="H122" s="1"/>
      <c r="I122" s="1"/>
      <c r="J122" s="1"/>
      <c r="K122" s="1" t="s">
        <v>1133</v>
      </c>
    </row>
    <row r="123">
      <c r="A123" s="1"/>
      <c r="B123" s="1" t="s">
        <v>1134</v>
      </c>
      <c r="C123" s="67">
        <v>0.3</v>
      </c>
      <c r="D123" s="1"/>
      <c r="E123" s="1"/>
      <c r="F123" s="1"/>
      <c r="G123" s="1"/>
      <c r="H123" s="1"/>
      <c r="I123" s="1"/>
      <c r="J123" s="1"/>
      <c r="K123" s="1" t="s">
        <v>1135</v>
      </c>
    </row>
    <row r="124">
      <c r="A124" s="1"/>
      <c r="B124" s="1" t="s">
        <v>1136</v>
      </c>
      <c r="C124" s="120" t="str">
        <f>IF(C119&gt;C121,"large",IF(C119&gt;=C122,"mid",IF(C119&gt;=C123,"small","micro")))</f>
        <v>large</v>
      </c>
      <c r="D124" s="1"/>
      <c r="E124" s="1"/>
      <c r="F124" s="1"/>
      <c r="G124" s="1"/>
      <c r="H124" s="1"/>
      <c r="I124" s="1"/>
      <c r="J124" s="1"/>
      <c r="K124" s="1" t="s">
        <v>1137</v>
      </c>
    </row>
    <row r="125">
      <c r="A125" s="1"/>
      <c r="B125" s="1" t="s">
        <v>1138</v>
      </c>
      <c r="C125" s="71" t="b">
        <v>1</v>
      </c>
      <c r="D125" s="1"/>
      <c r="E125" s="1"/>
      <c r="F125" s="1"/>
      <c r="G125" s="1"/>
      <c r="H125" s="1"/>
      <c r="I125" s="1"/>
      <c r="J125" s="1"/>
      <c r="K125" s="1" t="s">
        <v>1139</v>
      </c>
    </row>
    <row r="126">
      <c r="A126" s="1"/>
      <c r="B126" s="26" t="s">
        <v>1140</v>
      </c>
      <c r="C126" s="109">
        <v>0.78</v>
      </c>
      <c r="D126" s="1"/>
      <c r="E126" s="1"/>
      <c r="F126" s="1"/>
      <c r="G126" s="1"/>
      <c r="H126" s="1"/>
      <c r="I126" s="1"/>
      <c r="J126" s="1"/>
      <c r="K126" s="1" t="s">
        <v>1141</v>
      </c>
    </row>
    <row r="127">
      <c r="A127" s="1"/>
      <c r="B127" s="26" t="s">
        <v>1142</v>
      </c>
      <c r="C127" s="109">
        <v>0.7</v>
      </c>
      <c r="D127" s="1"/>
      <c r="E127" s="1"/>
      <c r="F127" s="1"/>
      <c r="G127" s="1"/>
      <c r="H127" s="1"/>
      <c r="I127" s="1"/>
      <c r="J127" s="1"/>
      <c r="K127" s="1" t="s">
        <v>1143</v>
      </c>
    </row>
    <row r="128">
      <c r="A128" s="1"/>
      <c r="B128" s="26" t="s">
        <v>1144</v>
      </c>
      <c r="C128" s="109">
        <v>0.6</v>
      </c>
      <c r="D128" s="1"/>
      <c r="E128" s="1"/>
      <c r="F128" s="1"/>
      <c r="G128" s="1"/>
      <c r="H128" s="1"/>
      <c r="I128" s="1"/>
      <c r="J128" s="1"/>
      <c r="K128" s="1" t="s">
        <v>1141</v>
      </c>
    </row>
    <row r="129">
      <c r="A129" s="1"/>
      <c r="B129" s="26" t="s">
        <v>1145</v>
      </c>
      <c r="C129" s="103">
        <f>IF(OR(C124="large",C125),C126,IF(C124="mid",C127,C128))</f>
        <v>0.78</v>
      </c>
      <c r="D129" s="1"/>
      <c r="E129" s="1"/>
      <c r="F129" s="1"/>
      <c r="G129" s="1"/>
      <c r="H129" s="1"/>
      <c r="I129" s="1"/>
      <c r="J129" s="1"/>
      <c r="K129" s="1" t="s">
        <v>1146</v>
      </c>
    </row>
    <row r="130">
      <c r="A130" s="1"/>
      <c r="B130" s="1" t="s">
        <v>1147</v>
      </c>
      <c r="C130" s="83">
        <f>COUNTIF(C112:I112,"&gt;0")</f>
        <v>6</v>
      </c>
      <c r="D130" s="1"/>
      <c r="E130" s="1"/>
      <c r="F130" s="1"/>
      <c r="G130" s="1"/>
      <c r="H130" s="1"/>
      <c r="I130" s="1"/>
      <c r="J130" s="1"/>
      <c r="K130" s="1" t="s">
        <v>1148</v>
      </c>
    </row>
    <row r="131">
      <c r="A131" s="1"/>
      <c r="B131" s="1" t="s">
        <v>1149</v>
      </c>
      <c r="C131" s="83">
        <f>COUNT(C112:I112)</f>
        <v>6</v>
      </c>
      <c r="D131" s="1"/>
      <c r="E131" s="1"/>
      <c r="F131" s="1"/>
      <c r="G131" s="1"/>
      <c r="H131" s="1"/>
      <c r="I131" s="1"/>
      <c r="J131" s="1"/>
      <c r="K131" s="1" t="s">
        <v>1150</v>
      </c>
    </row>
    <row r="132">
      <c r="A132" s="1"/>
      <c r="B132" s="1" t="s">
        <v>1151</v>
      </c>
      <c r="C132" s="93">
        <v>8</v>
      </c>
      <c r="D132" s="1"/>
      <c r="E132" s="1"/>
      <c r="F132" s="1"/>
      <c r="G132" s="1"/>
      <c r="H132" s="1"/>
      <c r="I132" s="1"/>
      <c r="J132" s="1"/>
      <c r="K132" s="1" t="s">
        <v>1152</v>
      </c>
    </row>
    <row r="133">
      <c r="A133" s="1"/>
      <c r="B133" s="26" t="s">
        <v>1153</v>
      </c>
      <c r="C133" s="103">
        <f>(C132*C129+C130)/(C132+C131)</f>
        <v>0.8742857142857143</v>
      </c>
      <c r="D133" s="1"/>
      <c r="E133" s="1"/>
      <c r="F133" s="1"/>
      <c r="G133" s="1"/>
      <c r="H133" s="1"/>
      <c r="I133" s="1"/>
      <c r="J133" s="1"/>
      <c r="K133" s="1" t="s">
        <v>1154</v>
      </c>
    </row>
    <row r="134">
      <c r="A134" s="1"/>
      <c r="B134" s="26" t="s">
        <v>1155</v>
      </c>
      <c r="C134" s="109">
        <v>-0.07</v>
      </c>
      <c r="D134" s="1"/>
      <c r="E134" s="1"/>
      <c r="F134" s="1"/>
      <c r="G134" s="1"/>
      <c r="H134" s="1"/>
      <c r="I134" s="1"/>
      <c r="J134" s="1"/>
      <c r="K134" s="1" t="s">
        <v>1156</v>
      </c>
    </row>
    <row r="135">
      <c r="A135" s="1"/>
      <c r="B135" s="94" t="s">
        <v>1157</v>
      </c>
      <c r="C135" s="115">
        <f>C133+C134</f>
        <v>0.8042857142857143</v>
      </c>
      <c r="D135" s="114"/>
      <c r="E135" s="114"/>
      <c r="F135" s="114"/>
      <c r="G135" s="114"/>
      <c r="H135" s="114"/>
      <c r="I135" s="114"/>
      <c r="J135" s="114"/>
      <c r="K135" s="1"/>
    </row>
    <row r="136">
      <c r="A136" s="1"/>
      <c r="B136" s="1" t="s">
        <v>1158</v>
      </c>
      <c r="C136" s="17">
        <f>AVERAGE(C112:I112)</f>
        <v>0.1850000000000002</v>
      </c>
      <c r="D136" s="1"/>
      <c r="E136" s="1"/>
      <c r="F136" s="1"/>
      <c r="G136" s="1"/>
      <c r="H136" s="1"/>
      <c r="I136" s="1"/>
      <c r="J136" s="1"/>
      <c r="K136" s="1" t="s">
        <v>1159</v>
      </c>
    </row>
    <row r="137">
      <c r="A137" s="1"/>
      <c r="B137" s="1" t="s">
        <v>1160</v>
      </c>
      <c r="C137" s="17">
        <f>MEDIAN(C112:I112)</f>
        <v>0.16500000000000004</v>
      </c>
      <c r="D137" s="1"/>
      <c r="E137" s="1"/>
      <c r="F137" s="1"/>
      <c r="G137" s="1"/>
      <c r="H137" s="1"/>
      <c r="I137" s="1"/>
      <c r="J137" s="1"/>
      <c r="K137" s="1" t="s">
        <v>1161</v>
      </c>
    </row>
    <row r="138">
      <c r="A138" s="1"/>
      <c r="B138" s="1" t="s">
        <v>1162</v>
      </c>
      <c r="C138" s="17">
        <f>MIN(C112:I112)</f>
        <v>0.05000000000000071</v>
      </c>
      <c r="D138" s="1"/>
      <c r="E138" s="1"/>
      <c r="F138" s="1"/>
      <c r="G138" s="1"/>
      <c r="H138" s="1"/>
      <c r="I138" s="1"/>
      <c r="J138" s="1"/>
      <c r="K138" s="1" t="s">
        <v>1163</v>
      </c>
    </row>
    <row r="139">
      <c r="A139" s="1"/>
      <c r="B139" s="1" t="s">
        <v>1164</v>
      </c>
      <c r="C139" s="119" t="s">
        <v>1165</v>
      </c>
      <c r="D139" s="1"/>
      <c r="E139" s="1"/>
      <c r="F139" s="1"/>
      <c r="G139" s="1"/>
      <c r="H139" s="1"/>
      <c r="I139" s="1"/>
      <c r="J139" s="1"/>
      <c r="K139" s="1" t="s">
        <v>1166</v>
      </c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>
      <c r="A141" s="1"/>
      <c r="B141" s="13" t="s">
        <v>1167</v>
      </c>
      <c r="C141" s="1"/>
      <c r="D141" s="1"/>
      <c r="E141" s="1"/>
      <c r="F141" s="1"/>
      <c r="G141" s="1"/>
      <c r="H141" s="1"/>
      <c r="I141" s="1"/>
      <c r="J141" s="1"/>
      <c r="K141" s="1"/>
    </row>
    <row r="142">
      <c r="A142" s="1"/>
      <c r="B142" s="1" t="s">
        <v>1168</v>
      </c>
      <c r="C142" s="32">
        <v>6.4</v>
      </c>
      <c r="D142" s="1"/>
      <c r="E142" s="1"/>
      <c r="F142" s="1"/>
      <c r="G142" s="1"/>
      <c r="H142" s="1"/>
      <c r="I142" s="1"/>
      <c r="J142" s="1"/>
      <c r="K142" s="1"/>
    </row>
    <row r="143">
      <c r="A143" s="1"/>
      <c r="B143" s="1" t="s">
        <v>1169</v>
      </c>
      <c r="C143" s="23">
        <v>11920</v>
      </c>
      <c r="D143" s="1"/>
      <c r="E143" s="1"/>
      <c r="F143" s="1"/>
      <c r="G143" s="1"/>
      <c r="H143" s="1"/>
      <c r="I143" s="1"/>
      <c r="J143" s="1"/>
      <c r="K143" s="1" t="s">
        <v>1170</v>
      </c>
    </row>
    <row r="144">
      <c r="A144" s="1"/>
      <c r="B144" s="1" t="s">
        <v>1171</v>
      </c>
      <c r="C144" s="23">
        <v>2850</v>
      </c>
      <c r="D144" s="23">
        <v>1950</v>
      </c>
      <c r="E144" s="23">
        <v>1140</v>
      </c>
      <c r="F144" s="23">
        <v>6560</v>
      </c>
      <c r="G144" s="1"/>
      <c r="H144" s="1"/>
      <c r="I144" s="1"/>
      <c r="J144" s="1"/>
      <c r="K144" s="1" t="s">
        <v>1172</v>
      </c>
    </row>
    <row r="145">
      <c r="A145" s="1"/>
      <c r="B145" s="1" t="s">
        <v>1173</v>
      </c>
      <c r="C145" s="23">
        <v>11950</v>
      </c>
      <c r="D145" s="1"/>
      <c r="E145" s="1"/>
      <c r="F145" s="1"/>
      <c r="G145" s="1"/>
      <c r="H145" s="1"/>
      <c r="I145" s="1"/>
      <c r="J145" s="1"/>
      <c r="K145" s="1" t="s">
        <v>1174</v>
      </c>
    </row>
    <row r="146">
      <c r="A146" s="1"/>
      <c r="B146" s="1" t="s">
        <v>1175</v>
      </c>
      <c r="C146" s="32">
        <v>6.33</v>
      </c>
      <c r="D146" s="32">
        <v>6.47</v>
      </c>
      <c r="E146" s="1"/>
      <c r="F146" s="1"/>
      <c r="G146" s="1"/>
      <c r="H146" s="1"/>
      <c r="I146" s="1"/>
      <c r="J146" s="1"/>
      <c r="K146" s="1" t="s">
        <v>1176</v>
      </c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</sheetData>
  <mergeCells count="1">
    <mergeCell ref="C28:J28"/>
  </mergeCells>
  <legacyDrawing r:id="rId2"/>
</worksheet>
</file>