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2.xml" ContentType="application/vnd.openxmlformats-officedocument.spreadsheetml.comments+xml"/>
  <Override PartName="/xl/worksheets/sheet3.xml" ContentType="application/vnd.openxmlformats-officedocument.spreadsheetml.worksheet+xml"/>
  <Override PartName="/xl/comments3.xml" ContentType="application/vnd.openxmlformats-officedocument.spreadsheetml.comments+xml"/>
  <Override PartName="/xl/worksheets/sheet4.xml" ContentType="application/vnd.openxmlformats-officedocument.spreadsheetml.worksheet+xml"/>
  <Override PartName="/xl/comments4.xml" ContentType="application/vnd.openxmlformats-officedocument.spreadsheetml.comments+xml"/>
  <Override PartName="/xl/worksheets/sheet5.xml" ContentType="application/vnd.openxmlformats-officedocument.spreadsheetml.worksheet+xml"/>
  <Override PartName="/xl/comments5.xml" ContentType="application/vnd.openxmlformats-officedocument.spreadsheetml.comments+xml"/>
  <Override PartName="/xl/worksheets/sheet6.xml" ContentType="application/vnd.openxmlformats-officedocument.spreadsheetml.worksheet+xml"/>
  <Override PartName="/xl/comments6.xml" ContentType="application/vnd.openxmlformats-officedocument.spreadsheetml.comments+xml"/>
  <Override PartName="/xl/worksheets/sheet7.xml" ContentType="application/vnd.openxmlformats-officedocument.spreadsheetml.worksheet+xml"/>
  <Override PartName="/xl/comments7.xml" ContentType="application/vnd.openxmlformats-officedocument.spreadsheetml.comments+xml"/>
  <Override PartName="/xl/worksheets/sheet8.xml" ContentType="application/vnd.openxmlformats-officedocument.spreadsheetml.worksheet+xml"/>
  <Override PartName="/xl/comments8.xml" ContentType="application/vnd.openxmlformats-officedocument.spreadsheetml.comments+xml"/>
  <Override PartName="/xl/worksheets/sheet9.xml" ContentType="application/vnd.openxmlformats-officedocument.spreadsheetml.worksheet+xml"/>
  <Override PartName="/xl/comments9.xml" ContentType="application/vnd.openxmlformats-officedocument.spreadsheetml.comments+xml"/>
  <Override PartName="/xl/worksheets/sheet10.xml" ContentType="application/vnd.openxmlformats-officedocument.spreadsheetml.worksheet+xml"/>
  <Override PartName="/xl/worksheets/sheet11.xml" ContentType="application/vnd.openxmlformats-officedocument.spreadsheetml.worksheet+xml"/>
  <Override PartName="/xl/comments11.xml" ContentType="application/vnd.openxmlformats-officedocument.spreadsheetml.comments+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r:id="rId1" name="Cover" sheetId="1"/>
    <sheet r:id="rId2" name="Revenue summary" sheetId="2"/>
    <sheet r:id="rId3" name="Segment - Advanced Connectivity" sheetId="3"/>
    <sheet r:id="rId4" name="Segment - Legacy" sheetId="4"/>
    <sheet r:id="rId5" name="Segment - Latin America" sheetId="5"/>
    <sheet r:id="rId6" name="Income Statement" sheetId="6"/>
    <sheet r:id="rId7" name="Balance Sheet" sheetId="7"/>
    <sheet r:id="rId8" name="Cash Flow Statement" sheetId="8"/>
    <sheet r:id="rId9" name="Share Count" sheetId="9"/>
    <sheet r:id="rId10" name="Guidance" sheetId="10"/>
    <sheet r:id="rId11" name="Inputs" sheetId="11"/>
    <sheet r:id="rId12" name="Sources" sheetId="12"/>
  </sheets>
  <calcPr calcId="0" iterateCount="100" iterateDelta="0.001"/>
</workbook>
</file>

<file path=xl/comments2.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33" authorId="0">
      <text>
        <r>
          <rPr>
            <sz val="9"/>
            <color rgb="FF000000"/>
            <rFont val="Arial"/>
            <family val="2"/>
          </rPr>
          <t>t-3q2025exhibit992.htm (8-K 22-Oct-2025) | Operating Revenues - Corporate &amp; Other | 98</t>
        </r>
      </text>
    </comment>
    <comment ref="D33" authorId="0">
      <text>
        <r>
          <rPr>
            <sz val="9"/>
            <color rgb="FF000000"/>
            <rFont val="Arial"/>
            <family val="2"/>
          </rPr>
          <t>t-4q2025exhibit992.htm (8-K 28-Jan-2026) | Operating Revenues - Corporate &amp; Other | 86</t>
        </r>
      </text>
    </comment>
    <comment ref="F33" authorId="0">
      <text>
        <r>
          <rPr>
            <sz val="9"/>
            <color rgb="FF000000"/>
            <rFont val="Arial"/>
            <family val="2"/>
          </rPr>
          <t>t-1q2026exhibit992.htm / t-1q20268xk801exhibit991.htm (8-K 22-Apr-2026) | Operating Revenues - Corporate &amp; Other | 94</t>
        </r>
      </text>
    </comment>
    <comment ref="G33" authorId="0">
      <text>
        <r>
          <rPr>
            <sz val="9"/>
            <color rgb="FF000000"/>
            <rFont val="Arial"/>
            <family val="2"/>
          </rPr>
          <t>t-2q2026exhibit992.htm (8-K 22-Jul-2026) | Operating Revenues - Corporate &amp; Other | 87</t>
        </r>
      </text>
    </comment>
    <comment ref="J33" authorId="0">
      <text>
        <r>
          <rPr>
            <sz val="9"/>
            <color rgb="FF000000"/>
            <rFont val="Arial"/>
            <family val="2"/>
          </rPr>
          <t>t-3q2025exhibit992.htm (8-K 22-Oct-2025) | Operating Revenues - Corporate &amp; Other | 117</t>
        </r>
      </text>
    </comment>
    <comment ref="K33" authorId="0">
      <text>
        <r>
          <rPr>
            <sz val="9"/>
            <color rgb="FF000000"/>
            <rFont val="Arial"/>
            <family val="2"/>
          </rPr>
          <t>t-4q2025exhibit992.htm (8-K 28-Jan-2026) | Operating Revenues - Corporate &amp; Other | 115</t>
        </r>
      </text>
    </comment>
    <comment ref="L33" authorId="0">
      <text>
        <r>
          <rPr>
            <sz val="9"/>
            <color rgb="FF000000"/>
            <rFont val="Arial"/>
            <family val="2"/>
          </rPr>
          <t>t-4q2025exhibit992.htm (8-K 28-Jan-2026) | Operating Revenues - Corporate &amp; Other | 452</t>
        </r>
      </text>
    </comment>
    <comment ref="M33" authorId="0">
      <text>
        <r>
          <rPr>
            <sz val="9"/>
            <color rgb="FF000000"/>
            <rFont val="Arial"/>
            <family val="2"/>
          </rPr>
          <t>t-1q2026exhibit992.htm / t-1q20268xk801exhibit991.htm (8-K 22-Apr-2026) | Operating Revenues - Corporate &amp; Other | 95</t>
        </r>
      </text>
    </comment>
    <comment ref="N33" authorId="0">
      <text>
        <r>
          <rPr>
            <sz val="9"/>
            <color rgb="FF000000"/>
            <rFont val="Arial"/>
            <family val="2"/>
          </rPr>
          <t>t-2q2026exhibit992.htm (8-K 22-Jul-2026) | Operating Revenues - Corporate &amp; Other | 94</t>
        </r>
      </text>
    </comment>
    <comment ref="J48" authorId="0">
      <text>
        <r>
          <rPr>
            <sz val="9"/>
            <color rgb="FF000000"/>
            <rFont val="Arial"/>
            <family val="2"/>
          </rPr>
          <t>t-3q2025exhibit992.htm (8-K 22-Oct-2025) | Total Operating Revenues | 30,213</t>
        </r>
      </text>
    </comment>
    <comment ref="K48" authorId="0">
      <text>
        <r>
          <rPr>
            <sz val="9"/>
            <color rgb="FF000000"/>
            <rFont val="Arial"/>
            <family val="2"/>
          </rPr>
          <t>t-4q2025exhibit992.htm (8-K 28-Jan-2026) | Total Operating Revenues | 32,298</t>
        </r>
      </text>
    </comment>
    <comment ref="L48" authorId="0">
      <text>
        <r>
          <rPr>
            <sz val="9"/>
            <color rgb="FF000000"/>
            <rFont val="Arial"/>
            <family val="2"/>
          </rPr>
          <t>t-4q2025exhibit992.htm (8-K 28-Jan-2026) | Total Operating Revenues | 122,336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11" authorId="0">
      <text>
        <r>
          <rPr>
            <sz val="9"/>
            <color rgb="FF000000"/>
            <rFont val="Arial"/>
            <family val="2"/>
          </rPr>
          <t>t-3q2025exhibit992.htm (8-K 22-Oct-2025) | Postpaid phone net adds | 405</t>
        </r>
      </text>
    </comment>
    <comment ref="D11" authorId="0">
      <text>
        <r>
          <rPr>
            <sz val="9"/>
            <color rgb="FF000000"/>
            <rFont val="Arial"/>
            <family val="2"/>
          </rPr>
          <t>t-4q2025exhibit992.htm (8-K 28-Jan-2026) | Postpaid phone net adds | 421</t>
        </r>
      </text>
    </comment>
    <comment ref="F11" authorId="0">
      <text>
        <r>
          <rPr>
            <sz val="9"/>
            <color rgb="FF000000"/>
            <rFont val="Arial"/>
            <family val="2"/>
          </rPr>
          <t>t-1q2026exhibit992.htm / t-1q20268xk801exhibit991.htm (8-K 22-Apr-2026) | Postpaid phone net adds | 294</t>
        </r>
      </text>
    </comment>
    <comment ref="G11" authorId="0">
      <text>
        <r>
          <rPr>
            <sz val="9"/>
            <color rgb="FF000000"/>
            <rFont val="Arial"/>
            <family val="2"/>
          </rPr>
          <t>t-2q2026exhibit992.htm (8-K 22-Jul-2026) | Postpaid phone net adds | 432</t>
        </r>
      </text>
    </comment>
    <comment ref="J11" authorId="0">
      <text>
        <r>
          <rPr>
            <sz val="9"/>
            <color rgb="FF000000"/>
            <rFont val="Arial"/>
            <family val="2"/>
          </rPr>
          <t>t-3q2025exhibit992.htm (8-K 22-Oct-2025) | Postpaid phone net adds | 403</t>
        </r>
      </text>
    </comment>
    <comment ref="K11" authorId="0">
      <text>
        <r>
          <rPr>
            <sz val="9"/>
            <color rgb="FF000000"/>
            <rFont val="Arial"/>
            <family val="2"/>
          </rPr>
          <t>t-4q2025exhibit992.htm (8-K 28-Jan-2026) | Postpaid phone net adds | 482</t>
        </r>
      </text>
    </comment>
    <comment ref="L11" authorId="0">
      <text>
        <r>
          <rPr>
            <sz val="9"/>
            <color rgb="FF000000"/>
            <rFont val="Arial"/>
            <family val="2"/>
          </rPr>
          <t>t-4q2025exhibit992.htm (8-K 28-Jan-2026) | Postpaid phone net adds | 1,653</t>
        </r>
      </text>
    </comment>
    <comment ref="M11" authorId="0">
      <text>
        <r>
          <rPr>
            <sz val="9"/>
            <color rgb="FF000000"/>
            <rFont val="Arial"/>
            <family val="2"/>
          </rPr>
          <t>t-1q2026exhibit992.htm / t-1q20268xk801exhibit991.htm (8-K 22-Apr-2026) | Postpaid phone net adds | 324</t>
        </r>
      </text>
    </comment>
    <comment ref="N11" authorId="0">
      <text>
        <r>
          <rPr>
            <sz val="9"/>
            <color rgb="FF000000"/>
            <rFont val="Arial"/>
            <family val="2"/>
          </rPr>
          <t>t-2q2026exhibit992.htm (8-K 22-Jul-2026) | Postpaid phone net adds | 401</t>
        </r>
      </text>
    </comment>
    <comment ref="C15" authorId="0">
      <text>
        <r>
          <rPr>
            <sz val="9"/>
            <color rgb="FF000000"/>
            <rFont val="Arial"/>
            <family val="2"/>
          </rPr>
          <t>t-3q2025exhibit992.htm (8-K 22-Oct-2025) | Postpaid phone subscribers | 73,801</t>
        </r>
      </text>
    </comment>
    <comment ref="D15" authorId="0">
      <text>
        <r>
          <rPr>
            <sz val="9"/>
            <color rgb="FF000000"/>
            <rFont val="Arial"/>
            <family val="2"/>
          </rPr>
          <t>t-4q2025exhibit992.htm (8-K 28-Jan-2026) | Postpaid phone subscribers | 74,214</t>
        </r>
      </text>
    </comment>
    <comment ref="F15" authorId="0">
      <text>
        <r>
          <rPr>
            <sz val="9"/>
            <color rgb="FF000000"/>
            <rFont val="Arial"/>
            <family val="2"/>
          </rPr>
          <t>t-1q2026exhibit992.htm / t-1q20268xk801exhibit991.htm (8-K 22-Apr-2026) | Postpaid phone subscribers | 74,503</t>
        </r>
      </text>
    </comment>
    <comment ref="G15" authorId="0">
      <text>
        <r>
          <rPr>
            <sz val="9"/>
            <color rgb="FF000000"/>
            <rFont val="Arial"/>
            <family val="2"/>
          </rPr>
          <t>t-2q2026exhibit992.htm (8-K 22-Jul-2026) | Postpaid phone subscribers | 74,921</t>
        </r>
      </text>
    </comment>
    <comment ref="J15" authorId="0">
      <text>
        <r>
          <rPr>
            <sz val="9"/>
            <color rgb="FF000000"/>
            <rFont val="Arial"/>
            <family val="2"/>
          </rPr>
          <t>t-3q2025exhibit992.htm (8-K 22-Oct-2025) | Postpaid phone subscribers | 72,285</t>
        </r>
      </text>
    </comment>
    <comment ref="K15" authorId="0">
      <text>
        <r>
          <rPr>
            <sz val="9"/>
            <color rgb="FF000000"/>
            <rFont val="Arial"/>
            <family val="2"/>
          </rPr>
          <t>t-4q2025exhibit992.htm (8-K 28-Jan-2026) | Postpaid phone subscribers | 72,749</t>
        </r>
      </text>
    </comment>
    <comment ref="M15" authorId="0">
      <text>
        <r>
          <rPr>
            <sz val="9"/>
            <color rgb="FF000000"/>
            <rFont val="Arial"/>
            <family val="2"/>
          </rPr>
          <t>t-1q2026exhibit992.htm / t-1q20268xk801exhibit991.htm (8-K 22-Apr-2026) | Postpaid phone subscribers | 73,031</t>
        </r>
      </text>
    </comment>
    <comment ref="N15" authorId="0">
      <text>
        <r>
          <rPr>
            <sz val="9"/>
            <color rgb="FF000000"/>
            <rFont val="Arial"/>
            <family val="2"/>
          </rPr>
          <t>t-2q2026exhibit992.htm (8-K 22-Jul-2026) | Postpaid phone subscribers | 73,408</t>
        </r>
      </text>
    </comment>
    <comment ref="C21" authorId="0">
      <text>
        <r>
          <rPr>
            <sz val="9"/>
            <color rgb="FF000000"/>
            <rFont val="Arial"/>
            <family val="2"/>
          </rPr>
          <t>t-3q2025exhibit992.htm (8-K 22-Oct-2025) | Postpaid phone churn | 0.92%</t>
        </r>
      </text>
    </comment>
    <comment ref="D21" authorId="0">
      <text>
        <r>
          <rPr>
            <sz val="9"/>
            <color rgb="FF000000"/>
            <rFont val="Arial"/>
            <family val="2"/>
          </rPr>
          <t>t-4q2025exhibit992.htm (8-K 28-Jan-2026) | Postpaid phone churn | 0.98%</t>
        </r>
      </text>
    </comment>
    <comment ref="F21" authorId="0">
      <text>
        <r>
          <rPr>
            <sz val="9"/>
            <color rgb="FF000000"/>
            <rFont val="Arial"/>
            <family val="2"/>
          </rPr>
          <t>t-1q2026exhibit992.htm / t-1q20268xk801exhibit991.htm (8-K 22-Apr-2026) | Postpaid phone churn | 0.89%</t>
        </r>
      </text>
    </comment>
    <comment ref="G21" authorId="0">
      <text>
        <r>
          <rPr>
            <sz val="9"/>
            <color rgb="FF000000"/>
            <rFont val="Arial"/>
            <family val="2"/>
          </rPr>
          <t>t-2q2026exhibit992.htm (8-K 22-Jul-2026) | Postpaid phone churn | 0.86%</t>
        </r>
      </text>
    </comment>
    <comment ref="J21" authorId="0">
      <text>
        <r>
          <rPr>
            <sz val="9"/>
            <color rgb="FF000000"/>
            <rFont val="Arial"/>
            <family val="2"/>
          </rPr>
          <t>t-3q2025exhibit992.htm (8-K 22-Oct-2025) | Postpaid phone churn | 0.78%</t>
        </r>
      </text>
    </comment>
    <comment ref="K21" authorId="0">
      <text>
        <r>
          <rPr>
            <sz val="9"/>
            <color rgb="FF000000"/>
            <rFont val="Arial"/>
            <family val="2"/>
          </rPr>
          <t>t-4q2025exhibit992.htm (8-K 28-Jan-2026) | Postpaid phone churn | 0.85%</t>
        </r>
      </text>
    </comment>
    <comment ref="L21" authorId="0">
      <text>
        <r>
          <rPr>
            <sz val="9"/>
            <color rgb="FF000000"/>
            <rFont val="Arial"/>
            <family val="2"/>
          </rPr>
          <t>t-4q2025exhibit992.htm (8-K 28-Jan-2026) | Postpaid phone churn | 0.76%</t>
        </r>
      </text>
    </comment>
    <comment ref="M21" authorId="0">
      <text>
        <r>
          <rPr>
            <sz val="9"/>
            <color rgb="FF000000"/>
            <rFont val="Arial"/>
            <family val="2"/>
          </rPr>
          <t>t-1q2026exhibit992.htm / t-1q20268xk801exhibit991.htm (8-K 22-Apr-2026) | Postpaid phone churn | 0.83%</t>
        </r>
      </text>
    </comment>
    <comment ref="N21" authorId="0">
      <text>
        <r>
          <rPr>
            <sz val="9"/>
            <color rgb="FF000000"/>
            <rFont val="Arial"/>
            <family val="2"/>
          </rPr>
          <t>t-2q2026exhibit992.htm (8-K 22-Jul-2026) | Postpaid phone churn | 0.87%</t>
        </r>
      </text>
    </comment>
    <comment ref="C32" authorId="0">
      <text>
        <r>
          <rPr>
            <sz val="9"/>
            <color rgb="FF000000"/>
            <rFont val="Arial"/>
            <family val="2"/>
          </rPr>
          <t>t-3q2025exhibit991.htm (8-K 22-Oct-2025) | Prepaid phone net adds | (83)</t>
        </r>
      </text>
    </comment>
    <comment ref="D32" authorId="0">
      <text>
        <r>
          <rPr>
            <sz val="9"/>
            <color rgb="FF000000"/>
            <rFont val="Arial"/>
            <family val="2"/>
          </rPr>
          <t>t-4q2025exhibit991.htm (8-K 28-Jan-2026) | Prepaid phone net adds | (255)</t>
        </r>
      </text>
    </comment>
    <comment ref="F32" authorId="0">
      <text>
        <r>
          <rPr>
            <sz val="9"/>
            <color rgb="FF000000"/>
            <rFont val="Arial"/>
            <family val="2"/>
          </rPr>
          <t>t-1q2026exhibit992.htm / t-1q20268xk801exhibit991.htm (8-K 22-Apr-2026) | Prepaid phone net adds | (72)</t>
        </r>
      </text>
    </comment>
    <comment ref="G32" authorId="0">
      <text>
        <r>
          <rPr>
            <sz val="9"/>
            <color rgb="FF000000"/>
            <rFont val="Arial"/>
            <family val="2"/>
          </rPr>
          <t>t-2q2026exhibit992.htm (8-K 22-Jul-2026) | Prepaid phone net adds | 4</t>
        </r>
      </text>
    </comment>
    <comment ref="J32" authorId="0">
      <text>
        <r>
          <rPr>
            <sz val="9"/>
            <color rgb="FF000000"/>
            <rFont val="Arial"/>
            <family val="2"/>
          </rPr>
          <t>t-3q2025exhibit991.htm (8-K 22-Oct-2025) | Prepaid phone net adds | (45)</t>
        </r>
      </text>
    </comment>
    <comment ref="K32" authorId="0">
      <text>
        <r>
          <rPr>
            <sz val="9"/>
            <color rgb="FF000000"/>
            <rFont val="Arial"/>
            <family val="2"/>
          </rPr>
          <t>t-4q2025exhibit991.htm (8-K 28-Jan-2026) | Prepaid phone net adds | (119)</t>
        </r>
      </text>
    </comment>
    <comment ref="M32" authorId="0">
      <text>
        <r>
          <rPr>
            <sz val="9"/>
            <color rgb="FF000000"/>
            <rFont val="Arial"/>
            <family val="2"/>
          </rPr>
          <t>t-1q2026exhibit992.htm / t-1q20268xk801exhibit991.htm (8-K 22-Apr-2026) | Prepaid phone net adds | (20)</t>
        </r>
      </text>
    </comment>
    <comment ref="N32" authorId="0">
      <text>
        <r>
          <rPr>
            <sz val="9"/>
            <color rgb="FF000000"/>
            <rFont val="Arial"/>
            <family val="2"/>
          </rPr>
          <t>t-2q2026exhibit992.htm (8-K 22-Jul-2026) | Prepaid phone net adds | (34)</t>
        </r>
      </text>
    </comment>
    <comment ref="F36" authorId="0">
      <text>
        <r>
          <rPr>
            <sz val="9"/>
            <color rgb="FF000000"/>
            <rFont val="Arial"/>
            <family val="2"/>
          </rPr>
          <t>t-1q2026exhibit992.htm / t-1q20268xk801exhibit991.htm (8-K 22-Apr-2026) | Prepaid phone subscribers | 16,554</t>
        </r>
      </text>
    </comment>
    <comment ref="G36" authorId="0">
      <text>
        <r>
          <rPr>
            <sz val="9"/>
            <color rgb="FF000000"/>
            <rFont val="Arial"/>
            <family val="2"/>
          </rPr>
          <t>t-2q2026exhibit992.htm (8-K 22-Jul-2026) | Prepaid phone subscribers | 16,518</t>
        </r>
      </text>
    </comment>
    <comment ref="M36" authorId="0">
      <text>
        <r>
          <rPr>
            <sz val="9"/>
            <color rgb="FF000000"/>
            <rFont val="Arial"/>
            <family val="2"/>
          </rPr>
          <t>t-1q2026exhibit992.htm / t-1q20268xk801exhibit991.htm (8-K 22-Apr-2026) | Prepaid phone subscribers | 17,162</t>
        </r>
      </text>
    </comment>
    <comment ref="N36" authorId="0">
      <text>
        <r>
          <rPr>
            <sz val="9"/>
            <color rgb="FF000000"/>
            <rFont val="Arial"/>
            <family val="2"/>
          </rPr>
          <t>t-2q2026exhibit992.htm (8-K 22-Jul-2026) | Prepaid phone subscribers | 17,093</t>
        </r>
      </text>
    </comment>
    <comment ref="F42" authorId="0">
      <text>
        <r>
          <rPr>
            <sz val="9"/>
            <color rgb="FF000000"/>
            <rFont val="Arial"/>
            <family val="2"/>
          </rPr>
          <t>t-1q2026exhibit992.htm / t-1q20268xk801exhibit991.htm (8-K 22-Apr-2026) | Prepaid phone churn | 2.62%</t>
        </r>
      </text>
    </comment>
    <comment ref="G42" authorId="0">
      <text>
        <r>
          <rPr>
            <sz val="9"/>
            <color rgb="FF000000"/>
            <rFont val="Arial"/>
            <family val="2"/>
          </rPr>
          <t>t-2q2026exhibit992.htm (8-K 22-Jul-2026) | Prepaid phone churn | 2.30%</t>
        </r>
      </text>
    </comment>
    <comment ref="M42" authorId="0">
      <text>
        <r>
          <rPr>
            <sz val="9"/>
            <color rgb="FF000000"/>
            <rFont val="Arial"/>
            <family val="2"/>
          </rPr>
          <t>t-1q2026exhibit992.htm / t-1q20268xk801exhibit991.htm (8-K 22-Apr-2026) | Prepaid phone churn | 2.55%</t>
        </r>
      </text>
    </comment>
    <comment ref="N42" authorId="0">
      <text>
        <r>
          <rPr>
            <sz val="9"/>
            <color rgb="FF000000"/>
            <rFont val="Arial"/>
            <family val="2"/>
          </rPr>
          <t>t-2q2026exhibit992.htm (8-K 22-Jul-2026) | Prepaid phone churn | 2.43%</t>
        </r>
      </text>
    </comment>
    <comment ref="F53" authorId="0">
      <text>
        <r>
          <rPr>
            <sz val="9"/>
            <color rgb="FF000000"/>
            <rFont val="Arial"/>
            <family val="2"/>
          </rPr>
          <t>t-1q2026exhibit992.htm / t-1q20268xk801exhibit991.htm (8-K 22-Apr-2026) | Other wireless (connected devices) net adds | (64)</t>
        </r>
      </text>
    </comment>
    <comment ref="G53" authorId="0">
      <text>
        <r>
          <rPr>
            <sz val="9"/>
            <color rgb="FF000000"/>
            <rFont val="Arial"/>
            <family val="2"/>
          </rPr>
          <t>t-2q2026exhibit992.htm (8-K 22-Jul-2026) | Other wireless (connected devices) net adds | 113</t>
        </r>
      </text>
    </comment>
    <comment ref="M53" authorId="0">
      <text>
        <r>
          <rPr>
            <sz val="9"/>
            <color rgb="FF000000"/>
            <rFont val="Arial"/>
            <family val="2"/>
          </rPr>
          <t>t-1q2026exhibit992.htm / t-1q20268xk801exhibit991.htm (8-K 22-Apr-2026) | Other wireless (connected devices) net adds | (48)</t>
        </r>
      </text>
    </comment>
    <comment ref="N53" authorId="0">
      <text>
        <r>
          <rPr>
            <sz val="9"/>
            <color rgb="FF000000"/>
            <rFont val="Arial"/>
            <family val="2"/>
          </rPr>
          <t>t-2q2026exhibit992.htm (8-K 22-Jul-2026) | Other wireless (connected devices) net adds | (40)</t>
        </r>
      </text>
    </comment>
    <comment ref="F57" authorId="0">
      <text>
        <r>
          <rPr>
            <sz val="9"/>
            <color rgb="FF000000"/>
            <rFont val="Arial"/>
            <family val="2"/>
          </rPr>
          <t>t-1q2026exhibit992.htm / t-1q20268xk801exhibit991.htm (8-K 22-Apr-2026) | Other wireless (connected devices) subscribers | 18,235</t>
        </r>
      </text>
    </comment>
    <comment ref="G57" authorId="0">
      <text>
        <r>
          <rPr>
            <sz val="9"/>
            <color rgb="FF000000"/>
            <rFont val="Arial"/>
            <family val="2"/>
          </rPr>
          <t>t-2q2026exhibit992.htm (8-K 22-Jul-2026) | Other wireless (connected devices) subscribers | 18,361</t>
        </r>
      </text>
    </comment>
    <comment ref="M57" authorId="0">
      <text>
        <r>
          <rPr>
            <sz val="9"/>
            <color rgb="FF000000"/>
            <rFont val="Arial"/>
            <family val="2"/>
          </rPr>
          <t>t-1q2026exhibit992.htm / t-1q20268xk801exhibit991.htm (8-K 22-Apr-2026) | Other wireless (connected devices) subscribers | 18,225</t>
        </r>
      </text>
    </comment>
    <comment ref="N57" authorId="0">
      <text>
        <r>
          <rPr>
            <sz val="9"/>
            <color rgb="FF000000"/>
            <rFont val="Arial"/>
            <family val="2"/>
          </rPr>
          <t>t-2q2026exhibit992.htm (8-K 22-Jul-2026) | Other wireless (connected devices) subscribers | 18,195</t>
        </r>
      </text>
    </comment>
    <comment ref="C76" authorId="0">
      <text>
        <r>
          <rPr>
            <sz val="9"/>
            <color rgb="FF000000"/>
            <rFont val="Arial"/>
            <family val="2"/>
          </rPr>
          <t>t-3q2025exhibit992.htm (8-K 22-Oct-2025) | AT&amp;T Fiber net adds | 288</t>
        </r>
      </text>
    </comment>
    <comment ref="D76" authorId="0">
      <text>
        <r>
          <rPr>
            <sz val="9"/>
            <color rgb="FF000000"/>
            <rFont val="Arial"/>
            <family val="2"/>
          </rPr>
          <t>t-4q2025exhibit992.htm (8-K 28-Jan-2026) | AT&amp;T Fiber net adds | 283</t>
        </r>
      </text>
    </comment>
    <comment ref="F76" authorId="0">
      <text>
        <r>
          <rPr>
            <sz val="9"/>
            <color rgb="FF000000"/>
            <rFont val="Arial"/>
            <family val="2"/>
          </rPr>
          <t>t-1q2026exhibit992.htm / t-1q20268xk801exhibit991.htm (8-K 22-Apr-2026) | AT&amp;T Fiber net adds | 273</t>
        </r>
      </text>
    </comment>
    <comment ref="G76" authorId="0">
      <text>
        <r>
          <rPr>
            <sz val="9"/>
            <color rgb="FF000000"/>
            <rFont val="Arial"/>
            <family val="2"/>
          </rPr>
          <t>t-2q2026exhibit992.htm (8-K 22-Jul-2026) | AT&amp;T Fiber net adds | 344</t>
        </r>
      </text>
    </comment>
    <comment ref="J76" authorId="0">
      <text>
        <r>
          <rPr>
            <sz val="9"/>
            <color rgb="FF000000"/>
            <rFont val="Arial"/>
            <family val="2"/>
          </rPr>
          <t>t-3q2025exhibit992.htm (8-K 22-Oct-2025) | AT&amp;T Fiber net adds | 226</t>
        </r>
      </text>
    </comment>
    <comment ref="K76" authorId="0">
      <text>
        <r>
          <rPr>
            <sz val="9"/>
            <color rgb="FF000000"/>
            <rFont val="Arial"/>
            <family val="2"/>
          </rPr>
          <t>t-4q2025exhibit992.htm (8-K 28-Jan-2026) | AT&amp;T Fiber net adds | 307</t>
        </r>
      </text>
    </comment>
    <comment ref="L76" authorId="0">
      <text>
        <r>
          <rPr>
            <sz val="9"/>
            <color rgb="FF000000"/>
            <rFont val="Arial"/>
            <family val="2"/>
          </rPr>
          <t>t-4q2025exhibit992.htm (8-K 28-Jan-2026) | AT&amp;T Fiber net adds | 1,024</t>
        </r>
      </text>
    </comment>
    <comment ref="M76" authorId="0">
      <text>
        <r>
          <rPr>
            <sz val="9"/>
            <color rgb="FF000000"/>
            <rFont val="Arial"/>
            <family val="2"/>
          </rPr>
          <t>t-1q2026exhibit992.htm / t-1q20268xk801exhibit991.htm (8-K 22-Apr-2026) | AT&amp;T Fiber net adds | 261</t>
        </r>
      </text>
    </comment>
    <comment ref="N76" authorId="0">
      <text>
        <r>
          <rPr>
            <sz val="9"/>
            <color rgb="FF000000"/>
            <rFont val="Arial"/>
            <family val="2"/>
          </rPr>
          <t>t-2q2026exhibit992.htm (8-K 22-Jul-2026) | AT&amp;T Fiber net adds | 243</t>
        </r>
      </text>
    </comment>
    <comment ref="C80" authorId="0">
      <text>
        <r>
          <rPr>
            <sz val="9"/>
            <color rgb="FF000000"/>
            <rFont val="Arial"/>
            <family val="2"/>
          </rPr>
          <t>t-3q2025exhibit992.htm (8-K 22-Oct-2025) | AT&amp;T Fiber connections | 10,123</t>
        </r>
      </text>
    </comment>
    <comment ref="D80" authorId="0">
      <text>
        <r>
          <rPr>
            <sz val="9"/>
            <color rgb="FF000000"/>
            <rFont val="Arial"/>
            <family val="2"/>
          </rPr>
          <t>t-4q2025exhibit992.htm (8-K 28-Jan-2026) | AT&amp;T Fiber connections | 10,406</t>
        </r>
      </text>
    </comment>
    <comment ref="F80" authorId="0">
      <text>
        <r>
          <rPr>
            <sz val="9"/>
            <color rgb="FF000000"/>
            <rFont val="Arial"/>
            <family val="2"/>
          </rPr>
          <t>t-1q2026exhibit992.htm / t-1q20268xk801exhibit991.htm (8-K 22-Apr-2026) | AT&amp;T Fiber connections | 11,800</t>
        </r>
      </text>
    </comment>
    <comment ref="G80" authorId="0">
      <text>
        <r>
          <rPr>
            <sz val="9"/>
            <color rgb="FF000000"/>
            <rFont val="Arial"/>
            <family val="2"/>
          </rPr>
          <t>t-2q2026exhibit992.htm (8-K 22-Jul-2026) | AT&amp;T Fiber connections | 12,144</t>
        </r>
      </text>
    </comment>
    <comment ref="J80" authorId="0">
      <text>
        <r>
          <rPr>
            <sz val="9"/>
            <color rgb="FF000000"/>
            <rFont val="Arial"/>
            <family val="2"/>
          </rPr>
          <t>t-3q2025exhibit992.htm (8-K 22-Oct-2025) | AT&amp;T Fiber connections | 9,024</t>
        </r>
      </text>
    </comment>
    <comment ref="K80" authorId="0">
      <text>
        <r>
          <rPr>
            <sz val="9"/>
            <color rgb="FF000000"/>
            <rFont val="Arial"/>
            <family val="2"/>
          </rPr>
          <t>t-4q2025exhibit992.htm (8-K 28-Jan-2026) | AT&amp;T Fiber connections | 9,331</t>
        </r>
      </text>
    </comment>
    <comment ref="M80" authorId="0">
      <text>
        <r>
          <rPr>
            <sz val="9"/>
            <color rgb="FF000000"/>
            <rFont val="Arial"/>
            <family val="2"/>
          </rPr>
          <t>t-1q2026exhibit992.htm / t-1q20268xk801exhibit991.htm (8-K 22-Apr-2026) | AT&amp;T Fiber connections | 9,592</t>
        </r>
      </text>
    </comment>
    <comment ref="N80" authorId="0">
      <text>
        <r>
          <rPr>
            <sz val="9"/>
            <color rgb="FF000000"/>
            <rFont val="Arial"/>
            <family val="2"/>
          </rPr>
          <t>t-2q2026exhibit992.htm (8-K 22-Jul-2026) | AT&amp;T Fiber connections | 9,835</t>
        </r>
      </text>
    </comment>
    <comment ref="C88" authorId="0">
      <text>
        <r>
          <rPr>
            <sz val="9"/>
            <color rgb="FF000000"/>
            <rFont val="Arial"/>
            <family val="2"/>
          </rPr>
          <t>t-3q2025exhibit991.htm (8-K 22-Oct-2025) | AT&amp;T Internet Air net adds | 270</t>
        </r>
      </text>
    </comment>
    <comment ref="D88" authorId="0">
      <text>
        <r>
          <rPr>
            <sz val="9"/>
            <color rgb="FF000000"/>
            <rFont val="Arial"/>
            <family val="2"/>
          </rPr>
          <t>t-4q2025exhibit991.htm (8-K 28-Jan-2026) | AT&amp;T Internet Air net adds | 221</t>
        </r>
      </text>
    </comment>
    <comment ref="F88" authorId="0">
      <text>
        <r>
          <rPr>
            <sz val="9"/>
            <color rgb="FF000000"/>
            <rFont val="Arial"/>
            <family val="2"/>
          </rPr>
          <t>t-1q2026exhibit992.htm / t-1q20268xk801exhibit991.htm (8-K 22-Apr-2026) | AT&amp;T Internet Air net adds | 239</t>
        </r>
      </text>
    </comment>
    <comment ref="G88" authorId="0">
      <text>
        <r>
          <rPr>
            <sz val="9"/>
            <color rgb="FF000000"/>
            <rFont val="Arial"/>
            <family val="2"/>
          </rPr>
          <t>t-2q2026exhibit992.htm (8-K 22-Jul-2026) | AT&amp;T Internet Air net adds | 215</t>
        </r>
      </text>
    </comment>
    <comment ref="J88" authorId="0">
      <text>
        <r>
          <rPr>
            <sz val="9"/>
            <color rgb="FF000000"/>
            <rFont val="Arial"/>
            <family val="2"/>
          </rPr>
          <t>t-3q2025exhibit991.htm (8-K 22-Oct-2025) | AT&amp;T Internet Air net adds | 135</t>
        </r>
      </text>
    </comment>
    <comment ref="K88" authorId="0">
      <text>
        <r>
          <rPr>
            <sz val="9"/>
            <color rgb="FF000000"/>
            <rFont val="Arial"/>
            <family val="2"/>
          </rPr>
          <t>t-4q2025exhibit991.htm (8-K 28-Jan-2026) | AT&amp;T Internet Air net adds | 157</t>
        </r>
      </text>
    </comment>
    <comment ref="M88" authorId="0">
      <text>
        <r>
          <rPr>
            <sz val="9"/>
            <color rgb="FF000000"/>
            <rFont val="Arial"/>
            <family val="2"/>
          </rPr>
          <t>t-1q2026exhibit992.htm / t-1q20268xk801exhibit991.htm (8-K 22-Apr-2026) | AT&amp;T Internet Air net adds | 181</t>
        </r>
      </text>
    </comment>
    <comment ref="N88" authorId="0">
      <text>
        <r>
          <rPr>
            <sz val="9"/>
            <color rgb="FF000000"/>
            <rFont val="Arial"/>
            <family val="2"/>
          </rPr>
          <t>t-2q2026exhibit992.htm (8-K 22-Jul-2026) | AT&amp;T Internet Air net adds | 203</t>
        </r>
      </text>
    </comment>
    <comment ref="F92" authorId="0">
      <text>
        <r>
          <rPr>
            <sz val="9"/>
            <color rgb="FF000000"/>
            <rFont val="Arial"/>
            <family val="2"/>
          </rPr>
          <t>t-1q2026exhibit992.htm / t-1q20268xk801exhibit991.htm (8-K 22-Apr-2026) | AT&amp;T Internet Air (AIA) | 1,736</t>
        </r>
      </text>
    </comment>
    <comment ref="G92" authorId="0">
      <text>
        <r>
          <rPr>
            <sz val="9"/>
            <color rgb="FF000000"/>
            <rFont val="Arial"/>
            <family val="2"/>
          </rPr>
          <t>t-2q2026exhibit992.htm (8-K 22-Jul-2026) | AT&amp;T Internet Air (AIA) | 1,951</t>
        </r>
      </text>
    </comment>
    <comment ref="M92" authorId="0">
      <text>
        <r>
          <rPr>
            <sz val="9"/>
            <color rgb="FF000000"/>
            <rFont val="Arial"/>
            <family val="2"/>
          </rPr>
          <t>t-1q2026exhibit992.htm / t-1q20268xk801exhibit991.htm (8-K 22-Apr-2026) | AT&amp;T Internet Air (AIA) | 803</t>
        </r>
      </text>
    </comment>
    <comment ref="N92" authorId="0">
      <text>
        <r>
          <rPr>
            <sz val="9"/>
            <color rgb="FF000000"/>
            <rFont val="Arial"/>
            <family val="2"/>
          </rPr>
          <t>t-2q2026exhibit992.htm (8-K 22-Jul-2026) | AT&amp;T Internet Air (AIA) | 1,006</t>
        </r>
      </text>
    </comment>
    <comment ref="F100" authorId="0">
      <text>
        <r>
          <rPr>
            <sz val="9"/>
            <color rgb="FF000000"/>
            <rFont val="Arial"/>
            <family val="2"/>
          </rPr>
          <t>t-1q2026exhibit992.htm / t-1q20268xk801exhibit991.htm (8-K 22-Apr-2026) | AT&amp;T Business Fiber net adds | 19</t>
        </r>
      </text>
    </comment>
    <comment ref="G100" authorId="0">
      <text>
        <r>
          <rPr>
            <sz val="9"/>
            <color rgb="FF000000"/>
            <rFont val="Arial"/>
            <family val="2"/>
          </rPr>
          <t>t-2q2026exhibit992.htm (8-K 22-Jul-2026) | AT&amp;T Business Fiber net adds | 23</t>
        </r>
      </text>
    </comment>
    <comment ref="M100" authorId="0">
      <text>
        <r>
          <rPr>
            <sz val="9"/>
            <color rgb="FF000000"/>
            <rFont val="Arial"/>
            <family val="2"/>
          </rPr>
          <t>t-1q2026exhibit992.htm / t-1q20268xk801exhibit991.htm (8-K 22-Apr-2026) | AT&amp;T Business Fiber net adds | 22</t>
        </r>
      </text>
    </comment>
    <comment ref="N100" authorId="0">
      <text>
        <r>
          <rPr>
            <sz val="9"/>
            <color rgb="FF000000"/>
            <rFont val="Arial"/>
            <family val="2"/>
          </rPr>
          <t>t-2q2026exhibit992.htm (8-K 22-Jul-2026) | AT&amp;T Business Fiber net adds | 26</t>
        </r>
      </text>
    </comment>
    <comment ref="F104" authorId="0">
      <text>
        <r>
          <rPr>
            <sz val="9"/>
            <color rgb="FF000000"/>
            <rFont val="Arial"/>
            <family val="2"/>
          </rPr>
          <t>t-1q2026exhibit992.htm / t-1q20268xk801exhibit991.htm (8-K 22-Apr-2026) | AT&amp;T Business Fiber subscribers | 701</t>
        </r>
      </text>
    </comment>
    <comment ref="G104" authorId="0">
      <text>
        <r>
          <rPr>
            <sz val="9"/>
            <color rgb="FF000000"/>
            <rFont val="Arial"/>
            <family val="2"/>
          </rPr>
          <t>t-2q2026exhibit992.htm (8-K 22-Jul-2026) | AT&amp;T Business Fiber subscribers | 724</t>
        </r>
      </text>
    </comment>
    <comment ref="M104" authorId="0">
      <text>
        <r>
          <rPr>
            <sz val="9"/>
            <color rgb="FF000000"/>
            <rFont val="Arial"/>
            <family val="2"/>
          </rPr>
          <t>t-1q2026exhibit992.htm / t-1q20268xk801exhibit991.htm (8-K 22-Apr-2026) | AT&amp;T Business Fiber subscribers | 619</t>
        </r>
      </text>
    </comment>
    <comment ref="N104" authorId="0">
      <text>
        <r>
          <rPr>
            <sz val="9"/>
            <color rgb="FF000000"/>
            <rFont val="Arial"/>
            <family val="2"/>
          </rPr>
          <t>t-2q2026exhibit992.htm (8-K 22-Jul-2026) | AT&amp;T Business Fiber subscribers | 645</t>
        </r>
      </text>
    </comment>
    <comment ref="F112" authorId="0">
      <text>
        <r>
          <rPr>
            <sz val="9"/>
            <color rgb="FF000000"/>
            <rFont val="Arial"/>
            <family val="2"/>
          </rPr>
          <t>t-1q2026exhibit992.htm / t-1q20268xk801exhibit991.htm (8-K 22-Apr-2026) | Business Fixed Wireless net adds | 53</t>
        </r>
      </text>
    </comment>
    <comment ref="G112" authorId="0">
      <text>
        <r>
          <rPr>
            <sz val="9"/>
            <color rgb="FF000000"/>
            <rFont val="Arial"/>
            <family val="2"/>
          </rPr>
          <t>t-2q2026exhibit992.htm (8-K 22-Jul-2026) | Business Fixed Wireless net adds | 64</t>
        </r>
      </text>
    </comment>
    <comment ref="M112" authorId="0">
      <text>
        <r>
          <rPr>
            <sz val="9"/>
            <color rgb="FF000000"/>
            <rFont val="Arial"/>
            <family val="2"/>
          </rPr>
          <t>t-1q2026exhibit992.htm / t-1q20268xk801exhibit991.htm (8-K 22-Apr-2026) | Business Fixed Wireless net adds | 52</t>
        </r>
      </text>
    </comment>
    <comment ref="N112" authorId="0">
      <text>
        <r>
          <rPr>
            <sz val="9"/>
            <color rgb="FF000000"/>
            <rFont val="Arial"/>
            <family val="2"/>
          </rPr>
          <t>t-2q2026exhibit992.htm (8-K 22-Jul-2026) | Business Fixed Wireless net adds | 37</t>
        </r>
      </text>
    </comment>
    <comment ref="F116" authorId="0">
      <text>
        <r>
          <rPr>
            <sz val="9"/>
            <color rgb="FF000000"/>
            <rFont val="Arial"/>
            <family val="2"/>
          </rPr>
          <t>t-1q2026exhibit992.htm / t-1q20268xk801exhibit991.htm (8-K 22-Apr-2026) | Business Fixed Wireless subscribers | 596</t>
        </r>
      </text>
    </comment>
    <comment ref="G116" authorId="0">
      <text>
        <r>
          <rPr>
            <sz val="9"/>
            <color rgb="FF000000"/>
            <rFont val="Arial"/>
            <family val="2"/>
          </rPr>
          <t>t-2q2026exhibit992.htm (8-K 22-Jul-2026) | Business Fixed Wireless subscribers | 660</t>
        </r>
      </text>
    </comment>
    <comment ref="M116" authorId="0">
      <text>
        <r>
          <rPr>
            <sz val="9"/>
            <color rgb="FF000000"/>
            <rFont val="Arial"/>
            <family val="2"/>
          </rPr>
          <t>t-1q2026exhibit992.htm / t-1q20268xk801exhibit991.htm (8-K 22-Apr-2026) | Business Fixed Wireless subscribers | 429</t>
        </r>
      </text>
    </comment>
    <comment ref="N116" authorId="0">
      <text>
        <r>
          <rPr>
            <sz val="9"/>
            <color rgb="FF000000"/>
            <rFont val="Arial"/>
            <family val="2"/>
          </rPr>
          <t>t-2q2026exhibit992.htm (8-K 22-Jul-2026) | Business Fixed Wireless subscribers | 466</t>
        </r>
      </text>
    </comment>
    <comment ref="C150" authorId="0">
      <text>
        <r>
          <rPr>
            <sz val="9"/>
            <color rgb="FF000000"/>
            <rFont val="Arial"/>
            <family val="2"/>
          </rPr>
          <t>t-4q2025exhibit994.htm (8-K 28-Jan-2026, recast segments) | Consumer wireless services | 14,594</t>
        </r>
      </text>
    </comment>
    <comment ref="D150" authorId="0">
      <text>
        <r>
          <rPr>
            <sz val="9"/>
            <color rgb="FF000000"/>
            <rFont val="Arial"/>
            <family val="2"/>
          </rPr>
          <t>t-4q2025exhibit994.htm (8-K 28-Jan-2026, recast segments) | Consumer wireless services | 14,605</t>
        </r>
      </text>
    </comment>
    <comment ref="F150" authorId="0">
      <text>
        <r>
          <rPr>
            <sz val="9"/>
            <color rgb="FF000000"/>
            <rFont val="Arial"/>
            <family val="2"/>
          </rPr>
          <t>t-1q2026exhibit992.htm / t-1q20268xk801exhibit991.htm (8-K 22-Apr-2026) | Consumer wireless services | 14,584</t>
        </r>
      </text>
    </comment>
    <comment ref="G150" authorId="0">
      <text>
        <r>
          <rPr>
            <sz val="9"/>
            <color rgb="FF000000"/>
            <rFont val="Arial"/>
            <family val="2"/>
          </rPr>
          <t>t-2q2026exhibit992.htm (8-K 22-Jul-2026) | Consumer wireless services | 14,992</t>
        </r>
      </text>
    </comment>
    <comment ref="J150" authorId="0">
      <text>
        <r>
          <rPr>
            <sz val="9"/>
            <color rgb="FF000000"/>
            <rFont val="Arial"/>
            <family val="2"/>
          </rPr>
          <t>t-4q2025exhibit994.htm (8-K 28-Jan-2026, recast segments) | Consumer wireless services | 14,211</t>
        </r>
      </text>
    </comment>
    <comment ref="K150" authorId="0">
      <text>
        <r>
          <rPr>
            <sz val="9"/>
            <color rgb="FF000000"/>
            <rFont val="Arial"/>
            <family val="2"/>
          </rPr>
          <t>t-4q2025exhibit994.htm (8-K 28-Jan-2026, recast segments) | Consumer wireless services | 14,230</t>
        </r>
      </text>
    </comment>
    <comment ref="L150" authorId="0">
      <text>
        <r>
          <rPr>
            <sz val="9"/>
            <color rgb="FF000000"/>
            <rFont val="Arial"/>
            <family val="2"/>
          </rPr>
          <t>t-4q2025exhibit994.htm (8-K 28-Jan-2026, recast segments) | Consumer wireless services | 56,161</t>
        </r>
      </text>
    </comment>
    <comment ref="M150" authorId="0">
      <text>
        <r>
          <rPr>
            <sz val="9"/>
            <color rgb="FF000000"/>
            <rFont val="Arial"/>
            <family val="2"/>
          </rPr>
          <t>t-1q2026exhibit992.htm / t-1q20268xk801exhibit991.htm (8-K 22-Apr-2026) | Consumer wireless services | 14,370</t>
        </r>
      </text>
    </comment>
    <comment ref="N150" authorId="0">
      <text>
        <r>
          <rPr>
            <sz val="9"/>
            <color rgb="FF000000"/>
            <rFont val="Arial"/>
            <family val="2"/>
          </rPr>
          <t>t-2q2026exhibit992.htm (8-K 22-Jul-2026) | Consumer wireless services | 14,559</t>
        </r>
      </text>
    </comment>
    <comment ref="C158" authorId="0">
      <text>
        <r>
          <rPr>
            <sz val="9"/>
            <color rgb="FF000000"/>
            <rFont val="Arial"/>
            <family val="2"/>
          </rPr>
          <t>t-4q2025exhibit994.htm (8-K 28-Jan-2026, recast segments) | Advanced home internet | 2,411</t>
        </r>
      </text>
    </comment>
    <comment ref="D158" authorId="0">
      <text>
        <r>
          <rPr>
            <sz val="9"/>
            <color rgb="FF000000"/>
            <rFont val="Arial"/>
            <family val="2"/>
          </rPr>
          <t>t-4q2025exhibit994.htm (8-K 28-Jan-2026, recast segments) | Advanced home internet | 2,502</t>
        </r>
      </text>
    </comment>
    <comment ref="F158" authorId="0">
      <text>
        <r>
          <rPr>
            <sz val="9"/>
            <color rgb="FF000000"/>
            <rFont val="Arial"/>
            <family val="2"/>
          </rPr>
          <t>t-1q2026exhibit992.htm / t-1q20268xk801exhibit991.htm (8-K 22-Apr-2026) | Advanced home internet | 2,799</t>
        </r>
      </text>
    </comment>
    <comment ref="G158" authorId="0">
      <text>
        <r>
          <rPr>
            <sz val="9"/>
            <color rgb="FF000000"/>
            <rFont val="Arial"/>
            <family val="2"/>
          </rPr>
          <t>t-2q2026exhibit992.htm (8-K 22-Jul-2026) | Advanced home internet | 2,926</t>
        </r>
      </text>
    </comment>
    <comment ref="J158" authorId="0">
      <text>
        <r>
          <rPr>
            <sz val="9"/>
            <color rgb="FF000000"/>
            <rFont val="Arial"/>
            <family val="2"/>
          </rPr>
          <t>t-4q2025exhibit994.htm (8-K 28-Jan-2026, recast segments) | Advanced home internet | 1,957</t>
        </r>
      </text>
    </comment>
    <comment ref="K158" authorId="0">
      <text>
        <r>
          <rPr>
            <sz val="9"/>
            <color rgb="FF000000"/>
            <rFont val="Arial"/>
            <family val="2"/>
          </rPr>
          <t>t-4q2025exhibit994.htm (8-K 28-Jan-2026, recast segments) | Advanced home internet | 2,079</t>
        </r>
      </text>
    </comment>
    <comment ref="L158" authorId="0">
      <text>
        <r>
          <rPr>
            <sz val="9"/>
            <color rgb="FF000000"/>
            <rFont val="Arial"/>
            <family val="2"/>
          </rPr>
          <t>t-4q2025exhibit994.htm (8-K 28-Jan-2026, recast segments) | Advanced home internet | 7,631</t>
        </r>
      </text>
    </comment>
    <comment ref="M158" authorId="0">
      <text>
        <r>
          <rPr>
            <sz val="9"/>
            <color rgb="FF000000"/>
            <rFont val="Arial"/>
            <family val="2"/>
          </rPr>
          <t>t-1q2026exhibit992.htm / t-1q20268xk801exhibit991.htm (8-K 22-Apr-2026) | Advanced home internet | 2,198</t>
        </r>
      </text>
    </comment>
    <comment ref="N158" authorId="0">
      <text>
        <r>
          <rPr>
            <sz val="9"/>
            <color rgb="FF000000"/>
            <rFont val="Arial"/>
            <family val="2"/>
          </rPr>
          <t>t-2q2026exhibit992.htm (8-K 22-Jul-2026) | Advanced home internet | 2,299</t>
        </r>
      </text>
    </comment>
    <comment ref="C166" authorId="0">
      <text>
        <r>
          <rPr>
            <sz val="9"/>
            <color rgb="FF000000"/>
            <rFont val="Arial"/>
            <family val="2"/>
          </rPr>
          <t>t-4q2025exhibit994.htm (8-K 28-Jan-2026, recast segments) | Other service | 162</t>
        </r>
      </text>
    </comment>
    <comment ref="D166" authorId="0">
      <text>
        <r>
          <rPr>
            <sz val="9"/>
            <color rgb="FF000000"/>
            <rFont val="Arial"/>
            <family val="2"/>
          </rPr>
          <t>t-4q2025exhibit994.htm (8-K 28-Jan-2026, recast segments) | Other service | 162</t>
        </r>
      </text>
    </comment>
    <comment ref="F166" authorId="0">
      <text>
        <r>
          <rPr>
            <sz val="9"/>
            <color rgb="FF000000"/>
            <rFont val="Arial"/>
            <family val="2"/>
          </rPr>
          <t>t-1q2026exhibit992.htm / t-1q20268xk801exhibit991.htm (8-K 22-Apr-2026) | Other service | 158</t>
        </r>
      </text>
    </comment>
    <comment ref="G166" authorId="0">
      <text>
        <r>
          <rPr>
            <sz val="9"/>
            <color rgb="FF000000"/>
            <rFont val="Arial"/>
            <family val="2"/>
          </rPr>
          <t>t-2q2026exhibit992.htm (8-K 22-Jul-2026) | Other service | 151</t>
        </r>
      </text>
    </comment>
    <comment ref="J166" authorId="0">
      <text>
        <r>
          <rPr>
            <sz val="9"/>
            <color rgb="FF000000"/>
            <rFont val="Arial"/>
            <family val="2"/>
          </rPr>
          <t>t-4q2025exhibit994.htm (8-K 28-Jan-2026, recast segments) | Other service | 169</t>
        </r>
      </text>
    </comment>
    <comment ref="K166" authorId="0">
      <text>
        <r>
          <rPr>
            <sz val="9"/>
            <color rgb="FF000000"/>
            <rFont val="Arial"/>
            <family val="2"/>
          </rPr>
          <t>t-4q2025exhibit994.htm (8-K 28-Jan-2026, recast segments) | Other service | 166</t>
        </r>
      </text>
    </comment>
    <comment ref="L166" authorId="0">
      <text>
        <r>
          <rPr>
            <sz val="9"/>
            <color rgb="FF000000"/>
            <rFont val="Arial"/>
            <family val="2"/>
          </rPr>
          <t>t-4q2025exhibit994.htm (8-K 28-Jan-2026, recast segments) | Other service | 684</t>
        </r>
      </text>
    </comment>
    <comment ref="M166" authorId="0">
      <text>
        <r>
          <rPr>
            <sz val="9"/>
            <color rgb="FF000000"/>
            <rFont val="Arial"/>
            <family val="2"/>
          </rPr>
          <t>t-1q2026exhibit992.htm / t-1q20268xk801exhibit991.htm (8-K 22-Apr-2026) | Other service | 162</t>
        </r>
      </text>
    </comment>
    <comment ref="N166" authorId="0">
      <text>
        <r>
          <rPr>
            <sz val="9"/>
            <color rgb="FF000000"/>
            <rFont val="Arial"/>
            <family val="2"/>
          </rPr>
          <t>t-2q2026exhibit992.htm (8-K 22-Jul-2026) | Other service | 164</t>
        </r>
      </text>
    </comment>
    <comment ref="C181" authorId="0">
      <text>
        <r>
          <rPr>
            <sz val="9"/>
            <color rgb="FF000000"/>
            <rFont val="Arial"/>
            <family val="2"/>
          </rPr>
          <t>t-4q2025exhibit994.htm (8-K 28-Jan-2026, recast segments) | Equipment (Consumer) | 4,107</t>
        </r>
      </text>
    </comment>
    <comment ref="D181" authorId="0">
      <text>
        <r>
          <rPr>
            <sz val="9"/>
            <color rgb="FF000000"/>
            <rFont val="Arial"/>
            <family val="2"/>
          </rPr>
          <t>t-4q2025exhibit994.htm (8-K 28-Jan-2026, recast segments) | Equipment (Consumer) | 6,445</t>
        </r>
      </text>
    </comment>
    <comment ref="F181" authorId="0">
      <text>
        <r>
          <rPr>
            <sz val="9"/>
            <color rgb="FF000000"/>
            <rFont val="Arial"/>
            <family val="2"/>
          </rPr>
          <t>t-1q2026exhibit992.htm / t-1q20268xk801exhibit991.htm (8-K 22-Apr-2026) | Equipment (Consumer) | 4,611</t>
        </r>
      </text>
    </comment>
    <comment ref="G181" authorId="0">
      <text>
        <r>
          <rPr>
            <sz val="9"/>
            <color rgb="FF000000"/>
            <rFont val="Arial"/>
            <family val="2"/>
          </rPr>
          <t>t-2q2026exhibit992.htm (8-K 22-Jul-2026) | Equipment (Consumer) | 4,260</t>
        </r>
      </text>
    </comment>
    <comment ref="J181" authorId="0">
      <text>
        <r>
          <rPr>
            <sz val="9"/>
            <color rgb="FF000000"/>
            <rFont val="Arial"/>
            <family val="2"/>
          </rPr>
          <t>t-4q2025exhibit994.htm (8-K 28-Jan-2026, recast segments) | Equipment (Consumer) | 3,845</t>
        </r>
      </text>
    </comment>
    <comment ref="K181" authorId="0">
      <text>
        <r>
          <rPr>
            <sz val="9"/>
            <color rgb="FF000000"/>
            <rFont val="Arial"/>
            <family val="2"/>
          </rPr>
          <t>t-4q2025exhibit994.htm (8-K 28-Jan-2026, recast segments) | Equipment (Consumer) | 5,746</t>
        </r>
      </text>
    </comment>
    <comment ref="L181" authorId="0">
      <text>
        <r>
          <rPr>
            <sz val="9"/>
            <color rgb="FF000000"/>
            <rFont val="Arial"/>
            <family val="2"/>
          </rPr>
          <t>t-4q2025exhibit994.htm (8-K 28-Jan-2026, recast segments) | Equipment (Consumer) | 17,100</t>
        </r>
      </text>
    </comment>
    <comment ref="M181" authorId="0">
      <text>
        <r>
          <rPr>
            <sz val="9"/>
            <color rgb="FF000000"/>
            <rFont val="Arial"/>
            <family val="2"/>
          </rPr>
          <t>t-1q2026exhibit992.htm / t-1q20268xk801exhibit991.htm (8-K 22-Apr-2026) | Equipment (Consumer) | 4,246</t>
        </r>
      </text>
    </comment>
    <comment ref="N181" authorId="0">
      <text>
        <r>
          <rPr>
            <sz val="9"/>
            <color rgb="FF000000"/>
            <rFont val="Arial"/>
            <family val="2"/>
          </rPr>
          <t>t-2q2026exhibit992.htm (8-K 22-Jul-2026) | Equipment (Consumer) | 4,273</t>
        </r>
      </text>
    </comment>
    <comment ref="C197" authorId="0">
      <text>
        <r>
          <rPr>
            <sz val="9"/>
            <color rgb="FF000000"/>
            <rFont val="Arial"/>
            <family val="2"/>
          </rPr>
          <t>t-4q2025exhibit994.htm (8-K 28-Jan-2026, recast segments) | Wireless service (Business) | 2,332</t>
        </r>
      </text>
    </comment>
    <comment ref="D197" authorId="0">
      <text>
        <r>
          <rPr>
            <sz val="9"/>
            <color rgb="FF000000"/>
            <rFont val="Arial"/>
            <family val="2"/>
          </rPr>
          <t>t-4q2025exhibit994.htm (8-K 28-Jan-2026, recast segments) | Wireless service (Business) | 2,349</t>
        </r>
      </text>
    </comment>
    <comment ref="F197" authorId="0">
      <text>
        <r>
          <rPr>
            <sz val="9"/>
            <color rgb="FF000000"/>
            <rFont val="Arial"/>
            <family val="2"/>
          </rPr>
          <t>t-1q2026exhibit992.htm / t-1q20268xk801exhibit991.htm (8-K 22-Apr-2026) | Wireless service (Business) | 2,357</t>
        </r>
      </text>
    </comment>
    <comment ref="G197" authorId="0">
      <text>
        <r>
          <rPr>
            <sz val="9"/>
            <color rgb="FF000000"/>
            <rFont val="Arial"/>
            <family val="2"/>
          </rPr>
          <t>t-2q2026exhibit992.htm (8-K 22-Jul-2026) | Wireless service (Business) | 2,421</t>
        </r>
      </text>
    </comment>
    <comment ref="J197" authorId="0">
      <text>
        <r>
          <rPr>
            <sz val="9"/>
            <color rgb="FF000000"/>
            <rFont val="Arial"/>
            <family val="2"/>
          </rPr>
          <t>t-4q2025exhibit994.htm (8-K 28-Jan-2026, recast segments) | Wireless service (Business) | 2,328</t>
        </r>
      </text>
    </comment>
    <comment ref="K197" authorId="0">
      <text>
        <r>
          <rPr>
            <sz val="9"/>
            <color rgb="FF000000"/>
            <rFont val="Arial"/>
            <family val="2"/>
          </rPr>
          <t>t-4q2025exhibit994.htm (8-K 28-Jan-2026, recast segments) | Wireless service (Business) | 2,333</t>
        </r>
      </text>
    </comment>
    <comment ref="L197" authorId="0">
      <text>
        <r>
          <rPr>
            <sz val="9"/>
            <color rgb="FF000000"/>
            <rFont val="Arial"/>
            <family val="2"/>
          </rPr>
          <t>t-4q2025exhibit994.htm (8-K 28-Jan-2026, recast segments) | Wireless service (Business) | 9,212</t>
        </r>
      </text>
    </comment>
    <comment ref="M197" authorId="0">
      <text>
        <r>
          <rPr>
            <sz val="9"/>
            <color rgb="FF000000"/>
            <rFont val="Arial"/>
            <family val="2"/>
          </rPr>
          <t>t-1q2026exhibit992.htm / t-1q20268xk801exhibit991.htm (8-K 22-Apr-2026) | Wireless service (Business) | 2,281</t>
        </r>
      </text>
    </comment>
    <comment ref="N197" authorId="0">
      <text>
        <r>
          <rPr>
            <sz val="9"/>
            <color rgb="FF000000"/>
            <rFont val="Arial"/>
            <family val="2"/>
          </rPr>
          <t>t-2q2026exhibit992.htm (8-K 22-Jul-2026) | Wireless service (Business) | 2,294</t>
        </r>
      </text>
    </comment>
    <comment ref="C205" authorId="0">
      <text>
        <r>
          <rPr>
            <sz val="9"/>
            <color rgb="FF000000"/>
            <rFont val="Arial"/>
            <family val="2"/>
          </rPr>
          <t>t-4q2025exhibit994.htm (8-K 28-Jan-2026, recast segments) | Business fiber and advanced connectivity | 1,832</t>
        </r>
      </text>
    </comment>
    <comment ref="D205" authorId="0">
      <text>
        <r>
          <rPr>
            <sz val="9"/>
            <color rgb="FF000000"/>
            <rFont val="Arial"/>
            <family val="2"/>
          </rPr>
          <t>t-4q2025exhibit994.htm (8-K 28-Jan-2026, recast segments) | Business fiber and advanced connectivity | 1,887</t>
        </r>
      </text>
    </comment>
    <comment ref="F205" authorId="0">
      <text>
        <r>
          <rPr>
            <sz val="9"/>
            <color rgb="FF000000"/>
            <rFont val="Arial"/>
            <family val="2"/>
          </rPr>
          <t>t-1q2026exhibit992.htm / t-1q20268xk801exhibit991.htm (8-K 22-Apr-2026) | Business fiber and advanced connectivity | 1,882</t>
        </r>
      </text>
    </comment>
    <comment ref="G205" authorId="0">
      <text>
        <r>
          <rPr>
            <sz val="9"/>
            <color rgb="FF000000"/>
            <rFont val="Arial"/>
            <family val="2"/>
          </rPr>
          <t>t-2q2026exhibit992.htm (8-K 22-Jul-2026) | Business fiber and advanced connectivity | 1,946</t>
        </r>
      </text>
    </comment>
    <comment ref="J205" authorId="0">
      <text>
        <r>
          <rPr>
            <sz val="9"/>
            <color rgb="FF000000"/>
            <rFont val="Arial"/>
            <family val="2"/>
          </rPr>
          <t>t-4q2025exhibit994.htm (8-K 28-Jan-2026, recast segments) | Business fiber and advanced connectivity | 1,719</t>
        </r>
      </text>
    </comment>
    <comment ref="K205" authorId="0">
      <text>
        <r>
          <rPr>
            <sz val="9"/>
            <color rgb="FF000000"/>
            <rFont val="Arial"/>
            <family val="2"/>
          </rPr>
          <t>t-4q2025exhibit994.htm (8-K 28-Jan-2026, recast segments) | Business fiber and advanced connectivity | 1,760</t>
        </r>
      </text>
    </comment>
    <comment ref="L205" authorId="0">
      <text>
        <r>
          <rPr>
            <sz val="9"/>
            <color rgb="FF000000"/>
            <rFont val="Arial"/>
            <family val="2"/>
          </rPr>
          <t>t-4q2025exhibit994.htm (8-K 28-Jan-2026, recast segments) | Business fiber and advanced connectivity | 6,853</t>
        </r>
      </text>
    </comment>
    <comment ref="M205" authorId="0">
      <text>
        <r>
          <rPr>
            <sz val="9"/>
            <color rgb="FF000000"/>
            <rFont val="Arial"/>
            <family val="2"/>
          </rPr>
          <t>t-1q2026exhibit992.htm / t-1q20268xk801exhibit991.htm (8-K 22-Apr-2026) | Business fiber and advanced connectivity | 1,755</t>
        </r>
      </text>
    </comment>
    <comment ref="N205" authorId="0">
      <text>
        <r>
          <rPr>
            <sz val="9"/>
            <color rgb="FF000000"/>
            <rFont val="Arial"/>
            <family val="2"/>
          </rPr>
          <t>t-2q2026exhibit992.htm (8-K 22-Jul-2026) | Business fiber and advanced connectivity | 1,769</t>
        </r>
      </text>
    </comment>
    <comment ref="C213" authorId="0">
      <text>
        <r>
          <rPr>
            <sz val="9"/>
            <color rgb="FF000000"/>
            <rFont val="Arial"/>
            <family val="2"/>
          </rPr>
          <t>t-4q2025exhibit994.htm (8-K 28-Jan-2026, recast segments) | Business transitional and other | 1,198</t>
        </r>
      </text>
    </comment>
    <comment ref="D213" authorId="0">
      <text>
        <r>
          <rPr>
            <sz val="9"/>
            <color rgb="FF000000"/>
            <rFont val="Arial"/>
            <family val="2"/>
          </rPr>
          <t>t-4q2025exhibit994.htm (8-K 28-Jan-2026, recast segments) | Business transitional and other | 1,170</t>
        </r>
      </text>
    </comment>
    <comment ref="F213" authorId="0">
      <text>
        <r>
          <rPr>
            <sz val="9"/>
            <color rgb="FF000000"/>
            <rFont val="Arial"/>
            <family val="2"/>
          </rPr>
          <t>t-1q2026exhibit992.htm / t-1q20268xk801exhibit991.htm (8-K 22-Apr-2026) | Business transitional and other | 1,083</t>
        </r>
      </text>
    </comment>
    <comment ref="G213" authorId="0">
      <text>
        <r>
          <rPr>
            <sz val="9"/>
            <color rgb="FF000000"/>
            <rFont val="Arial"/>
            <family val="2"/>
          </rPr>
          <t>t-2q2026exhibit992.htm (8-K 22-Jul-2026) | Business transitional and other | 1,042</t>
        </r>
      </text>
    </comment>
    <comment ref="J213" authorId="0">
      <text>
        <r>
          <rPr>
            <sz val="9"/>
            <color rgb="FF000000"/>
            <rFont val="Arial"/>
            <family val="2"/>
          </rPr>
          <t>t-4q2025exhibit994.htm (8-K 28-Jan-2026, recast segments) | Business transitional and other | 1,411</t>
        </r>
      </text>
    </comment>
    <comment ref="K213" authorId="0">
      <text>
        <r>
          <rPr>
            <sz val="9"/>
            <color rgb="FF000000"/>
            <rFont val="Arial"/>
            <family val="2"/>
          </rPr>
          <t>t-4q2025exhibit994.htm (8-K 28-Jan-2026, recast segments) | Business transitional and other | 1,402</t>
        </r>
      </text>
    </comment>
    <comment ref="L213" authorId="0">
      <text>
        <r>
          <rPr>
            <sz val="9"/>
            <color rgb="FF000000"/>
            <rFont val="Arial"/>
            <family val="2"/>
          </rPr>
          <t>t-4q2025exhibit994.htm (8-K 28-Jan-2026, recast segments) | Business transitional and other | 5,906</t>
        </r>
      </text>
    </comment>
    <comment ref="M213" authorId="0">
      <text>
        <r>
          <rPr>
            <sz val="9"/>
            <color rgb="FF000000"/>
            <rFont val="Arial"/>
            <family val="2"/>
          </rPr>
          <t>t-1q2026exhibit992.htm / t-1q20268xk801exhibit991.htm (8-K 22-Apr-2026) | Business transitional and other | 1,294</t>
        </r>
      </text>
    </comment>
    <comment ref="N213" authorId="0">
      <text>
        <r>
          <rPr>
            <sz val="9"/>
            <color rgb="FF000000"/>
            <rFont val="Arial"/>
            <family val="2"/>
          </rPr>
          <t>t-2q2026exhibit992.htm (8-K 22-Jul-2026) | Business transitional and other | 1,249</t>
        </r>
      </text>
    </comment>
    <comment ref="C228" authorId="0">
      <text>
        <r>
          <rPr>
            <sz val="9"/>
            <color rgb="FF000000"/>
            <rFont val="Arial"/>
            <family val="2"/>
          </rPr>
          <t>t-4q2025exhibit994.htm (8-K 28-Jan-2026, recast segments) | Equipment (Business) | 867</t>
        </r>
      </text>
    </comment>
    <comment ref="D228" authorId="0">
      <text>
        <r>
          <rPr>
            <sz val="9"/>
            <color rgb="FF000000"/>
            <rFont val="Arial"/>
            <family val="2"/>
          </rPr>
          <t>t-4q2025exhibit994.htm (8-K 28-Jan-2026, recast segments) | Equipment (Business) | 1,112</t>
        </r>
      </text>
    </comment>
    <comment ref="F228" authorId="0">
      <text>
        <r>
          <rPr>
            <sz val="9"/>
            <color rgb="FF000000"/>
            <rFont val="Arial"/>
            <family val="2"/>
          </rPr>
          <t>t-1q2026exhibit992.htm / t-1q20268xk801exhibit991.htm (8-K 22-Apr-2026) | Equipment (Business) | 997</t>
        </r>
      </text>
    </comment>
    <comment ref="G228" authorId="0">
      <text>
        <r>
          <rPr>
            <sz val="9"/>
            <color rgb="FF000000"/>
            <rFont val="Arial"/>
            <family val="2"/>
          </rPr>
          <t>t-2q2026exhibit992.htm (8-K 22-Jul-2026) | Equipment (Business) | 877</t>
        </r>
      </text>
    </comment>
    <comment ref="J228" authorId="0">
      <text>
        <r>
          <rPr>
            <sz val="9"/>
            <color rgb="FF000000"/>
            <rFont val="Arial"/>
            <family val="2"/>
          </rPr>
          <t>t-4q2025exhibit994.htm (8-K 28-Jan-2026, recast segments) | Equipment (Business) | 857</t>
        </r>
      </text>
    </comment>
    <comment ref="K228" authorId="0">
      <text>
        <r>
          <rPr>
            <sz val="9"/>
            <color rgb="FF000000"/>
            <rFont val="Arial"/>
            <family val="2"/>
          </rPr>
          <t>t-4q2025exhibit994.htm (8-K 28-Jan-2026, recast segments) | Equipment (Business) | 989</t>
        </r>
      </text>
    </comment>
    <comment ref="L228" authorId="0">
      <text>
        <r>
          <rPr>
            <sz val="9"/>
            <color rgb="FF000000"/>
            <rFont val="Arial"/>
            <family val="2"/>
          </rPr>
          <t>t-4q2025exhibit994.htm (8-K 28-Jan-2026, recast segments) | Equipment (Business) | 3,537</t>
        </r>
      </text>
    </comment>
    <comment ref="M228" authorId="0">
      <text>
        <r>
          <rPr>
            <sz val="9"/>
            <color rgb="FF000000"/>
            <rFont val="Arial"/>
            <family val="2"/>
          </rPr>
          <t>t-1q2026exhibit992.htm / t-1q20268xk801exhibit991.htm (8-K 22-Apr-2026) | Equipment (Business) | 886</t>
        </r>
      </text>
    </comment>
    <comment ref="N228" authorId="0">
      <text>
        <r>
          <rPr>
            <sz val="9"/>
            <color rgb="FF000000"/>
            <rFont val="Arial"/>
            <family val="2"/>
          </rPr>
          <t>t-2q2026exhibit992.htm (8-K 22-Jul-2026) | Equipment (Business) | 890</t>
        </r>
      </text>
    </comment>
    <comment ref="C278" authorId="0">
      <text>
        <r>
          <rPr>
            <sz val="9"/>
            <color rgb="FF000000"/>
            <rFont val="Arial"/>
            <family val="2"/>
          </rPr>
          <t>t-4q2025exhibit994.htm (8-K 28-Jan-2026, recast segments) | Operations and support | 16,010</t>
        </r>
      </text>
    </comment>
    <comment ref="D278" authorId="0">
      <text>
        <r>
          <rPr>
            <sz val="9"/>
            <color rgb="FF000000"/>
            <rFont val="Arial"/>
            <family val="2"/>
          </rPr>
          <t>t-4q2025exhibit994.htm (8-K 28-Jan-2026, recast segments) | Operations and support | 19,264</t>
        </r>
      </text>
    </comment>
    <comment ref="F278" authorId="0">
      <text>
        <r>
          <rPr>
            <sz val="9"/>
            <color rgb="FF000000"/>
            <rFont val="Arial"/>
            <family val="2"/>
          </rPr>
          <t>t-1q2026exhibit992.htm / t-1q20268xk801exhibit991.htm (8-K 22-Apr-2026) | Operations and support | 16,913</t>
        </r>
      </text>
    </comment>
    <comment ref="G278" authorId="0">
      <text>
        <r>
          <rPr>
            <sz val="9"/>
            <color rgb="FF000000"/>
            <rFont val="Arial"/>
            <family val="2"/>
          </rPr>
          <t>t-2q2026exhibit992.htm (8-K 22-Jul-2026) | Operations and support | 16,583</t>
        </r>
      </text>
    </comment>
    <comment ref="J278" authorId="0">
      <text>
        <r>
          <rPr>
            <sz val="9"/>
            <color rgb="FF000000"/>
            <rFont val="Arial"/>
            <family val="2"/>
          </rPr>
          <t>t-4q2025exhibit994.htm (8-K 28-Jan-2026, recast segments) | Operations and support | 15,611</t>
        </r>
      </text>
    </comment>
    <comment ref="K278" authorId="0">
      <text>
        <r>
          <rPr>
            <sz val="9"/>
            <color rgb="FF000000"/>
            <rFont val="Arial"/>
            <family val="2"/>
          </rPr>
          <t>t-4q2025exhibit994.htm (8-K 28-Jan-2026, recast segments) | Operations and support | 18,315</t>
        </r>
      </text>
    </comment>
    <comment ref="L278" authorId="0">
      <text>
        <r>
          <rPr>
            <sz val="9"/>
            <color rgb="FF000000"/>
            <rFont val="Arial"/>
            <family val="2"/>
          </rPr>
          <t>t-4q2025exhibit994.htm (8-K 28-Jan-2026, recast segments) | Operations and support | 64,807</t>
        </r>
      </text>
    </comment>
    <comment ref="M278" authorId="0">
      <text>
        <r>
          <rPr>
            <sz val="9"/>
            <color rgb="FF000000"/>
            <rFont val="Arial"/>
            <family val="2"/>
          </rPr>
          <t>t-1q2026exhibit992.htm / t-1q20268xk801exhibit991.htm (8-K 22-Apr-2026) | Operations and support | 16,247</t>
        </r>
      </text>
    </comment>
    <comment ref="N278" authorId="0">
      <text>
        <r>
          <rPr>
            <sz val="9"/>
            <color rgb="FF000000"/>
            <rFont val="Arial"/>
            <family val="2"/>
          </rPr>
          <t>t-2q2026exhibit992.htm (8-K 22-Jul-2026) | Operations and support | 16,356</t>
        </r>
      </text>
    </comment>
    <comment ref="C287" authorId="0">
      <text>
        <r>
          <rPr>
            <sz val="9"/>
            <color rgb="FF000000"/>
            <rFont val="Arial"/>
            <family val="2"/>
          </rPr>
          <t>t-4q2025exhibit994.htm (8-K 28-Jan-2026, recast segments) | Depreciation and amortization | 5,076</t>
        </r>
      </text>
    </comment>
    <comment ref="D287" authorId="0">
      <text>
        <r>
          <rPr>
            <sz val="9"/>
            <color rgb="FF000000"/>
            <rFont val="Arial"/>
            <family val="2"/>
          </rPr>
          <t>t-4q2025exhibit994.htm (8-K 28-Jan-2026, recast segments) | Depreciation and amortization | 4,875</t>
        </r>
      </text>
    </comment>
    <comment ref="F287" authorId="0">
      <text>
        <r>
          <rPr>
            <sz val="9"/>
            <color rgb="FF000000"/>
            <rFont val="Arial"/>
            <family val="2"/>
          </rPr>
          <t>t-1q2026exhibit992.htm / t-1q20268xk801exhibit991.htm (8-K 22-Apr-2026) | Depreciation and amortization | 4,705</t>
        </r>
      </text>
    </comment>
    <comment ref="G287" authorId="0">
      <text>
        <r>
          <rPr>
            <sz val="9"/>
            <color rgb="FF000000"/>
            <rFont val="Arial"/>
            <family val="2"/>
          </rPr>
          <t>t-2q2026exhibit992.htm (8-K 22-Jul-2026) | Depreciation and amortization | 4,687</t>
        </r>
      </text>
    </comment>
    <comment ref="J287" authorId="0">
      <text>
        <r>
          <rPr>
            <sz val="9"/>
            <color rgb="FF000000"/>
            <rFont val="Arial"/>
            <family val="2"/>
          </rPr>
          <t>t-4q2025exhibit994.htm (8-K 28-Jan-2026, recast segments) | Depreciation and amortization | 4,813</t>
        </r>
      </text>
    </comment>
    <comment ref="K287" authorId="0">
      <text>
        <r>
          <rPr>
            <sz val="9"/>
            <color rgb="FF000000"/>
            <rFont val="Arial"/>
            <family val="2"/>
          </rPr>
          <t>t-4q2025exhibit994.htm (8-K 28-Jan-2026, recast segments) | Depreciation and amortization | 5,114</t>
        </r>
      </text>
    </comment>
    <comment ref="L287" authorId="0">
      <text>
        <r>
          <rPr>
            <sz val="9"/>
            <color rgb="FF000000"/>
            <rFont val="Arial"/>
            <family val="2"/>
          </rPr>
          <t>t-4q2025exhibit994.htm (8-K 28-Jan-2026, recast segments) | Depreciation and amortization | 19,433</t>
        </r>
      </text>
    </comment>
    <comment ref="M287" authorId="0">
      <text>
        <r>
          <rPr>
            <sz val="9"/>
            <color rgb="FF000000"/>
            <rFont val="Arial"/>
            <family val="2"/>
          </rPr>
          <t>t-1q2026exhibit992.htm / t-1q20268xk801exhibit991.htm (8-K 22-Apr-2026) | Depreciation and amortization | 4,973</t>
        </r>
      </text>
    </comment>
    <comment ref="N287" authorId="0">
      <text>
        <r>
          <rPr>
            <sz val="9"/>
            <color rgb="FF000000"/>
            <rFont val="Arial"/>
            <family val="2"/>
          </rPr>
          <t>t-2q2026exhibit992.htm (8-K 22-Jul-2026) | Depreciation and amortization | 5,035</t>
        </r>
      </text>
    </comment>
    <comment ref="C296" authorId="0">
      <text>
        <r>
          <rPr>
            <sz val="9"/>
            <color rgb="FF000000"/>
            <rFont val="Arial"/>
            <family val="2"/>
          </rPr>
          <t>t-4q2025exhibit994.htm (8-K 28-Jan-2026, recast segments) | Segment Operating Income (Advanced Connectivity) | 6,417</t>
        </r>
      </text>
    </comment>
    <comment ref="D296" authorId="0">
      <text>
        <r>
          <rPr>
            <sz val="9"/>
            <color rgb="FF000000"/>
            <rFont val="Arial"/>
            <family val="2"/>
          </rPr>
          <t>t-4q2025exhibit994.htm (8-K 28-Jan-2026, recast segments) | Segment Operating Income (Advanced Connectivity) | 6,093</t>
        </r>
      </text>
    </comment>
    <comment ref="F296" authorId="0">
      <text>
        <r>
          <rPr>
            <sz val="9"/>
            <color rgb="FF000000"/>
            <rFont val="Arial"/>
            <family val="2"/>
          </rPr>
          <t>t-1q2026exhibit992.htm / t-1q20268xk801exhibit991.htm (8-K 22-Apr-2026) | Segment Operating Income (Advanced Connectivity) | 6,853</t>
        </r>
      </text>
    </comment>
    <comment ref="G296" authorId="0">
      <text>
        <r>
          <rPr>
            <sz val="9"/>
            <color rgb="FF000000"/>
            <rFont val="Arial"/>
            <family val="2"/>
          </rPr>
          <t>t-2q2026exhibit992.htm (8-K 22-Jul-2026) | Segment Operating Income (Advanced Connectivity) | 7,345</t>
        </r>
      </text>
    </comment>
    <comment ref="J296" authorId="0">
      <text>
        <r>
          <rPr>
            <sz val="9"/>
            <color rgb="FF000000"/>
            <rFont val="Arial"/>
            <family val="2"/>
          </rPr>
          <t>t-4q2025exhibit994.htm (8-K 28-Jan-2026, recast segments) | Segment Operating Income (Advanced Connectivity) | 6,073</t>
        </r>
      </text>
    </comment>
    <comment ref="K296" authorId="0">
      <text>
        <r>
          <rPr>
            <sz val="9"/>
            <color rgb="FF000000"/>
            <rFont val="Arial"/>
            <family val="2"/>
          </rPr>
          <t>t-4q2025exhibit994.htm (8-K 28-Jan-2026, recast segments) | Segment Operating Income (Advanced Connectivity) | 5,276</t>
        </r>
      </text>
    </comment>
    <comment ref="L296" authorId="0">
      <text>
        <r>
          <rPr>
            <sz val="9"/>
            <color rgb="FF000000"/>
            <rFont val="Arial"/>
            <family val="2"/>
          </rPr>
          <t>t-4q2025exhibit994.htm (8-K 28-Jan-2026, recast segments) | Segment Operating Income (Advanced Connectivity) | 22,844</t>
        </r>
      </text>
    </comment>
    <comment ref="M296" authorId="0">
      <text>
        <r>
          <rPr>
            <sz val="9"/>
            <color rgb="FF000000"/>
            <rFont val="Arial"/>
            <family val="2"/>
          </rPr>
          <t>t-1q2026exhibit992.htm / t-1q20268xk801exhibit991.htm (8-K 22-Apr-2026) | Segment Operating Income (Advanced Connectivity) | 5,972</t>
        </r>
      </text>
    </comment>
    <comment ref="N296" authorId="0">
      <text>
        <r>
          <rPr>
            <sz val="9"/>
            <color rgb="FF000000"/>
            <rFont val="Arial"/>
            <family val="2"/>
          </rPr>
          <t>t-2q2026exhibit992.htm (8-K 22-Jul-2026) | Segment Operating Income (Advanced Connectivity) | 6,106</t>
        </r>
      </text>
    </comment>
    <comment ref="E296" authorId="0">
      <text>
        <r>
          <rPr>
            <sz val="9"/>
            <color rgb="FF000000"/>
            <rFont val="Arial"/>
            <family val="2"/>
          </rPr>
          <t>t-4q2025exhibit994.htm (8-K 28-Jan-2026, recast segments) | Segment Operating Income (Advanced Connectivity) | 24,588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9" authorId="0">
      <text>
        <r>
          <rPr>
            <sz val="9"/>
            <color rgb="FF000000"/>
            <rFont val="Arial"/>
            <family val="2"/>
          </rPr>
          <t>t-4q2025exhibit994.htm (8-K 28-Jan-2026, recast segments) | Legacy segment operating revenues | 2,013</t>
        </r>
      </text>
    </comment>
    <comment ref="D9" authorId="0">
      <text>
        <r>
          <rPr>
            <sz val="9"/>
            <color rgb="FF000000"/>
            <rFont val="Arial"/>
            <family val="2"/>
          </rPr>
          <t>t-4q2025exhibit994.htm (8-K 28-Jan-2026, recast segments) | Legacy segment operating revenues | 1,889</t>
        </r>
      </text>
    </comment>
    <comment ref="F9" authorId="0">
      <text>
        <r>
          <rPr>
            <sz val="9"/>
            <color rgb="FF000000"/>
            <rFont val="Arial"/>
            <family val="2"/>
          </rPr>
          <t>t-1q2026exhibit992.htm / t-1q20268xk801exhibit991.htm (8-K 22-Apr-2026) | Legacy segment operating revenues | 1,768</t>
        </r>
      </text>
    </comment>
    <comment ref="G9" authorId="0">
      <text>
        <r>
          <rPr>
            <sz val="9"/>
            <color rgb="FF000000"/>
            <rFont val="Arial"/>
            <family val="2"/>
          </rPr>
          <t>t-2q2026exhibit992.htm (8-K 22-Jul-2026) | Legacy segment operating revenues | 1,632</t>
        </r>
      </text>
    </comment>
    <comment ref="J9" authorId="0">
      <text>
        <r>
          <rPr>
            <sz val="9"/>
            <color rgb="FF000000"/>
            <rFont val="Arial"/>
            <family val="2"/>
          </rPr>
          <t>t-4q2025exhibit994.htm (8-K 28-Jan-2026, recast segments) | Legacy segment operating revenues | 2,577</t>
        </r>
      </text>
    </comment>
    <comment ref="K9" authorId="0">
      <text>
        <r>
          <rPr>
            <sz val="9"/>
            <color rgb="FF000000"/>
            <rFont val="Arial"/>
            <family val="2"/>
          </rPr>
          <t>t-4q2025exhibit994.htm (8-K 28-Jan-2026, recast segments) | Legacy segment operating revenues | 2,434</t>
        </r>
      </text>
    </comment>
    <comment ref="L9" authorId="0">
      <text>
        <r>
          <rPr>
            <sz val="9"/>
            <color rgb="FF000000"/>
            <rFont val="Arial"/>
            <family val="2"/>
          </rPr>
          <t>t-4q2025exhibit994.htm (8-K 28-Jan-2026, recast segments) | Legacy segment operating revenues | 10,568</t>
        </r>
      </text>
    </comment>
    <comment ref="M9" authorId="0">
      <text>
        <r>
          <rPr>
            <sz val="9"/>
            <color rgb="FF000000"/>
            <rFont val="Arial"/>
            <family val="2"/>
          </rPr>
          <t>t-1q2026exhibit992.htm / t-1q20268xk801exhibit991.htm (8-K 22-Apr-2026) | Legacy segment operating revenues | 2,368</t>
        </r>
      </text>
    </comment>
    <comment ref="N9" authorId="0">
      <text>
        <r>
          <rPr>
            <sz val="9"/>
            <color rgb="FF000000"/>
            <rFont val="Arial"/>
            <family val="2"/>
          </rPr>
          <t>t-2q2026exhibit992.htm (8-K 22-Jul-2026) | Legacy segment operating revenues | 2,202</t>
        </r>
      </text>
    </comment>
    <comment ref="C17" authorId="0">
      <text>
        <r>
          <rPr>
            <sz val="9"/>
            <color rgb="FF000000"/>
            <rFont val="Arial"/>
            <family val="2"/>
          </rPr>
          <t>t-4q2025exhibit994.htm (8-K 28-Jan-2026, recast segments) | Operations and support (Legacy) | 1,334</t>
        </r>
      </text>
    </comment>
    <comment ref="D17" authorId="0">
      <text>
        <r>
          <rPr>
            <sz val="9"/>
            <color rgb="FF000000"/>
            <rFont val="Arial"/>
            <family val="2"/>
          </rPr>
          <t>t-4q2025exhibit994.htm (8-K 28-Jan-2026, recast segments) | Operations and support (Legacy) | 1,207</t>
        </r>
      </text>
    </comment>
    <comment ref="F17" authorId="0">
      <text>
        <r>
          <rPr>
            <sz val="9"/>
            <color rgb="FF000000"/>
            <rFont val="Arial"/>
            <family val="2"/>
          </rPr>
          <t>t-1q2026exhibit992.htm / t-1q20268xk801exhibit991.htm (8-K 22-Apr-2026) | Operations and support (Legacy) | 1,156</t>
        </r>
      </text>
    </comment>
    <comment ref="G17" authorId="0">
      <text>
        <r>
          <rPr>
            <sz val="9"/>
            <color rgb="FF000000"/>
            <rFont val="Arial"/>
            <family val="2"/>
          </rPr>
          <t>t-2q2026exhibit992.htm (8-K 22-Jul-2026) | Operations and support (Legacy) | 1,109</t>
        </r>
      </text>
    </comment>
    <comment ref="J17" authorId="0">
      <text>
        <r>
          <rPr>
            <sz val="9"/>
            <color rgb="FF000000"/>
            <rFont val="Arial"/>
            <family val="2"/>
          </rPr>
          <t>t-4q2025exhibit994.htm (8-K 28-Jan-2026, recast segments) | Operations and support (Legacy) | 1,494</t>
        </r>
      </text>
    </comment>
    <comment ref="K17" authorId="0">
      <text>
        <r>
          <rPr>
            <sz val="9"/>
            <color rgb="FF000000"/>
            <rFont val="Arial"/>
            <family val="2"/>
          </rPr>
          <t>t-4q2025exhibit994.htm (8-K 28-Jan-2026, recast segments) | Operations and support (Legacy) | 1,521</t>
        </r>
      </text>
    </comment>
    <comment ref="L17" authorId="0">
      <text>
        <r>
          <rPr>
            <sz val="9"/>
            <color rgb="FF000000"/>
            <rFont val="Arial"/>
            <family val="2"/>
          </rPr>
          <t>t-4q2025exhibit994.htm (8-K 28-Jan-2026, recast segments) | Operations and support (Legacy) | 6,317</t>
        </r>
      </text>
    </comment>
    <comment ref="M17" authorId="0">
      <text>
        <r>
          <rPr>
            <sz val="9"/>
            <color rgb="FF000000"/>
            <rFont val="Arial"/>
            <family val="2"/>
          </rPr>
          <t>t-1q2026exhibit992.htm / t-1q20268xk801exhibit991.htm (8-K 22-Apr-2026) | Operations and support (Legacy) | 1,349</t>
        </r>
      </text>
    </comment>
    <comment ref="N17" authorId="0">
      <text>
        <r>
          <rPr>
            <sz val="9"/>
            <color rgb="FF000000"/>
            <rFont val="Arial"/>
            <family val="2"/>
          </rPr>
          <t>t-2q2026exhibit992.htm (8-K 22-Jul-2026) | Operations and support (Legacy) | 1,243</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11" authorId="0">
      <text>
        <r>
          <rPr>
            <sz val="9"/>
            <color rgb="FF000000"/>
            <rFont val="Arial"/>
            <family val="2"/>
          </rPr>
          <t>t-3q2025exhibit992.htm (8-K 22-Oct-2025) | Mexico Wireless Net Additions - Postpaid | 243</t>
        </r>
      </text>
    </comment>
    <comment ref="D11" authorId="0">
      <text>
        <r>
          <rPr>
            <sz val="9"/>
            <color rgb="FF000000"/>
            <rFont val="Arial"/>
            <family val="2"/>
          </rPr>
          <t>t-4q2025exhibit992.htm (8-K 28-Jan-2026) | Mexico Wireless Net Additions - Postpaid | 328</t>
        </r>
      </text>
    </comment>
    <comment ref="F11" authorId="0">
      <text>
        <r>
          <rPr>
            <sz val="9"/>
            <color rgb="FF000000"/>
            <rFont val="Arial"/>
            <family val="2"/>
          </rPr>
          <t>t-1q2026exhibit992.htm / t-1q20268xk801exhibit991.htm (8-K 22-Apr-2026) | Mexico Wireless Net Additions - Postpaid | 337</t>
        </r>
      </text>
    </comment>
    <comment ref="G11" authorId="0">
      <text>
        <r>
          <rPr>
            <sz val="9"/>
            <color rgb="FF000000"/>
            <rFont val="Arial"/>
            <family val="2"/>
          </rPr>
          <t>t-2q2026exhibit992.htm (8-K 22-Jul-2026) | Mexico Wireless Net Additions - Postpaid | 369</t>
        </r>
      </text>
    </comment>
    <comment ref="J11" authorId="0">
      <text>
        <r>
          <rPr>
            <sz val="9"/>
            <color rgb="FF000000"/>
            <rFont val="Arial"/>
            <family val="2"/>
          </rPr>
          <t>t-3q2025exhibit992.htm (8-K 22-Oct-2025) | Mexico Wireless Net Additions - Postpaid | 139</t>
        </r>
      </text>
    </comment>
    <comment ref="K11" authorId="0">
      <text>
        <r>
          <rPr>
            <sz val="9"/>
            <color rgb="FF000000"/>
            <rFont val="Arial"/>
            <family val="2"/>
          </rPr>
          <t>t-4q2025exhibit992.htm (8-K 28-Jan-2026) | Mexico Wireless Net Additions - Postpaid | 204</t>
        </r>
      </text>
    </comment>
    <comment ref="L11" authorId="0">
      <text>
        <r>
          <rPr>
            <sz val="9"/>
            <color rgb="FF000000"/>
            <rFont val="Arial"/>
            <family val="2"/>
          </rPr>
          <t>t-4q2025exhibit992.htm (8-K 28-Jan-2026) | Mexico Wireless Net Additions - Postpaid | 601</t>
        </r>
      </text>
    </comment>
    <comment ref="M11" authorId="0">
      <text>
        <r>
          <rPr>
            <sz val="9"/>
            <color rgb="FF000000"/>
            <rFont val="Arial"/>
            <family val="2"/>
          </rPr>
          <t>t-1q2026exhibit992.htm / t-1q20268xk801exhibit991.htm (8-K 22-Apr-2026) | Mexico Wireless Net Additions - Postpaid | 160</t>
        </r>
      </text>
    </comment>
    <comment ref="N11" authorId="0">
      <text>
        <r>
          <rPr>
            <sz val="9"/>
            <color rgb="FF000000"/>
            <rFont val="Arial"/>
            <family val="2"/>
          </rPr>
          <t>t-2q2026exhibit992.htm (8-K 22-Jul-2026) | Mexico Wireless Net Additions - Postpaid | 183</t>
        </r>
      </text>
    </comment>
    <comment ref="C15" authorId="0">
      <text>
        <r>
          <rPr>
            <sz val="9"/>
            <color rgb="FF000000"/>
            <rFont val="Arial"/>
            <family val="2"/>
          </rPr>
          <t>t-3q2025exhibit992.htm (8-K 22-Oct-2025) | Mexico Wireless Subscribers - Postpaid | 6,423</t>
        </r>
      </text>
    </comment>
    <comment ref="D15" authorId="0">
      <text>
        <r>
          <rPr>
            <sz val="9"/>
            <color rgb="FF000000"/>
            <rFont val="Arial"/>
            <family val="2"/>
          </rPr>
          <t>t-4q2025exhibit992.htm (8-K 28-Jan-2026) | Mexico Wireless Subscribers - Postpaid | 6,751</t>
        </r>
      </text>
    </comment>
    <comment ref="F15" authorId="0">
      <text>
        <r>
          <rPr>
            <sz val="9"/>
            <color rgb="FF000000"/>
            <rFont val="Arial"/>
            <family val="2"/>
          </rPr>
          <t>t-1q2026exhibit992.htm / t-1q20268xk801exhibit991.htm (8-K 22-Apr-2026) | Mexico Wireless Subscribers - Postpaid | 7,088</t>
        </r>
      </text>
    </comment>
    <comment ref="G15" authorId="0">
      <text>
        <r>
          <rPr>
            <sz val="9"/>
            <color rgb="FF000000"/>
            <rFont val="Arial"/>
            <family val="2"/>
          </rPr>
          <t>t-2q2026exhibit992.htm (8-K 22-Jul-2026) | Mexico Wireless Subscribers - Postpaid | 7,457</t>
        </r>
      </text>
    </comment>
    <comment ref="J15" authorId="0">
      <text>
        <r>
          <rPr>
            <sz val="9"/>
            <color rgb="FF000000"/>
            <rFont val="Arial"/>
            <family val="2"/>
          </rPr>
          <t>t-3q2025exhibit992.htm (8-K 22-Oct-2025) | Mexico Wireless Subscribers - Postpaid | 5,633</t>
        </r>
      </text>
    </comment>
    <comment ref="K15" authorId="0">
      <text>
        <r>
          <rPr>
            <sz val="9"/>
            <color rgb="FF000000"/>
            <rFont val="Arial"/>
            <family val="2"/>
          </rPr>
          <t>t-4q2025exhibit992.htm (8-K 28-Jan-2026) | Mexico Wireless Subscribers - Postpaid | 5,837</t>
        </r>
      </text>
    </comment>
    <comment ref="M15" authorId="0">
      <text>
        <r>
          <rPr>
            <sz val="9"/>
            <color rgb="FF000000"/>
            <rFont val="Arial"/>
            <family val="2"/>
          </rPr>
          <t>t-1q2026exhibit992.htm / t-1q20268xk801exhibit991.htm (8-K 22-Apr-2026) | Mexico Wireless Subscribers - Postpaid | 5,997</t>
        </r>
      </text>
    </comment>
    <comment ref="N15" authorId="0">
      <text>
        <r>
          <rPr>
            <sz val="9"/>
            <color rgb="FF000000"/>
            <rFont val="Arial"/>
            <family val="2"/>
          </rPr>
          <t>t-2q2026exhibit992.htm (8-K 22-Jul-2026) | Mexico Wireless Subscribers - Postpaid | 6,180</t>
        </r>
      </text>
    </comment>
    <comment ref="C20" authorId="0">
      <text>
        <r>
          <rPr>
            <sz val="9"/>
            <color rgb="FF000000"/>
            <rFont val="Arial"/>
            <family val="2"/>
          </rPr>
          <t>t-3q2025exhibit992.htm (8-K 22-Oct-2025) | Mexico Wireless Net Additions - Prepaid | 68</t>
        </r>
      </text>
    </comment>
    <comment ref="D20" authorId="0">
      <text>
        <r>
          <rPr>
            <sz val="9"/>
            <color rgb="FF000000"/>
            <rFont val="Arial"/>
            <family val="2"/>
          </rPr>
          <t>t-4q2025exhibit992.htm (8-K 28-Jan-2026) | Mexico Wireless Net Additions - Prepaid | 222</t>
        </r>
      </text>
    </comment>
    <comment ref="F20" authorId="0">
      <text>
        <r>
          <rPr>
            <sz val="9"/>
            <color rgb="FF000000"/>
            <rFont val="Arial"/>
            <family val="2"/>
          </rPr>
          <t>t-1q2026exhibit992.htm / t-1q20268xk801exhibit991.htm (8-K 22-Apr-2026) | Mexico Wireless Net Additions - Prepaid | (895)</t>
        </r>
      </text>
    </comment>
    <comment ref="G20" authorId="0">
      <text>
        <r>
          <rPr>
            <sz val="9"/>
            <color rgb="FF000000"/>
            <rFont val="Arial"/>
            <family val="2"/>
          </rPr>
          <t>t-2q2026exhibit992.htm (8-K 22-Jul-2026) | Mexico Wireless Net Additions - Prepaid | (1,006)</t>
        </r>
      </text>
    </comment>
    <comment ref="J20" authorId="0">
      <text>
        <r>
          <rPr>
            <sz val="9"/>
            <color rgb="FF000000"/>
            <rFont val="Arial"/>
            <family val="2"/>
          </rPr>
          <t>t-3q2025exhibit992.htm (8-K 22-Oct-2025) | Mexico Wireless Net Additions - Prepaid | 187</t>
        </r>
      </text>
    </comment>
    <comment ref="K20" authorId="0">
      <text>
        <r>
          <rPr>
            <sz val="9"/>
            <color rgb="FF000000"/>
            <rFont val="Arial"/>
            <family val="2"/>
          </rPr>
          <t>t-4q2025exhibit992.htm (8-K 28-Jan-2026) | Mexico Wireless Net Additions - Prepaid | 490</t>
        </r>
      </text>
    </comment>
    <comment ref="L20" authorId="0">
      <text>
        <r>
          <rPr>
            <sz val="9"/>
            <color rgb="FF000000"/>
            <rFont val="Arial"/>
            <family val="2"/>
          </rPr>
          <t>t-4q2025exhibit992.htm (8-K 28-Jan-2026) | Mexico Wireless Net Additions - Prepaid | 823</t>
        </r>
      </text>
    </comment>
    <comment ref="M20" authorId="0">
      <text>
        <r>
          <rPr>
            <sz val="9"/>
            <color rgb="FF000000"/>
            <rFont val="Arial"/>
            <family val="2"/>
          </rPr>
          <t>t-1q2026exhibit992.htm / t-1q20268xk801exhibit991.htm (8-K 22-Apr-2026) | Mexico Wireless Net Additions - Prepaid | (110)</t>
        </r>
      </text>
    </comment>
    <comment ref="N20" authorId="0">
      <text>
        <r>
          <rPr>
            <sz val="9"/>
            <color rgb="FF000000"/>
            <rFont val="Arial"/>
            <family val="2"/>
          </rPr>
          <t>t-2q2026exhibit992.htm (8-K 22-Jul-2026) | Mexico Wireless Net Additions - Prepaid | 64</t>
        </r>
      </text>
    </comment>
    <comment ref="C24" authorId="0">
      <text>
        <r>
          <rPr>
            <sz val="9"/>
            <color rgb="FF000000"/>
            <rFont val="Arial"/>
            <family val="2"/>
          </rPr>
          <t>t-3q2025exhibit992.htm (8-K 22-Oct-2025) | Mexico Wireless Subscribers - Prepaid | 17,508</t>
        </r>
      </text>
    </comment>
    <comment ref="D24" authorId="0">
      <text>
        <r>
          <rPr>
            <sz val="9"/>
            <color rgb="FF000000"/>
            <rFont val="Arial"/>
            <family val="2"/>
          </rPr>
          <t>t-4q2025exhibit992.htm (8-K 28-Jan-2026) | Mexico Wireless Subscribers - Prepaid | 17,730</t>
        </r>
      </text>
    </comment>
    <comment ref="F24" authorId="0">
      <text>
        <r>
          <rPr>
            <sz val="9"/>
            <color rgb="FF000000"/>
            <rFont val="Arial"/>
            <family val="2"/>
          </rPr>
          <t>t-1q2026exhibit992.htm / t-1q20268xk801exhibit991.htm (8-K 22-Apr-2026) | Mexico Wireless Subscribers - Prepaid | 16,835</t>
        </r>
      </text>
    </comment>
    <comment ref="G24" authorId="0">
      <text>
        <r>
          <rPr>
            <sz val="9"/>
            <color rgb="FF000000"/>
            <rFont val="Arial"/>
            <family val="2"/>
          </rPr>
          <t>t-2q2026exhibit992.htm (8-K 22-Jul-2026) | Mexico Wireless Subscribers - Prepaid | 15,829</t>
        </r>
      </text>
    </comment>
    <comment ref="J24" authorId="0">
      <text>
        <r>
          <rPr>
            <sz val="9"/>
            <color rgb="FF000000"/>
            <rFont val="Arial"/>
            <family val="2"/>
          </rPr>
          <t>t-3q2025exhibit992.htm (8-K 22-Oct-2025) | Mexico Wireless Subscribers - Prepaid | 16,996</t>
        </r>
      </text>
    </comment>
    <comment ref="K24" authorId="0">
      <text>
        <r>
          <rPr>
            <sz val="9"/>
            <color rgb="FF000000"/>
            <rFont val="Arial"/>
            <family val="2"/>
          </rPr>
          <t>t-4q2025exhibit992.htm (8-K 28-Jan-2026) | Mexico Wireless Subscribers - Prepaid | 17,486</t>
        </r>
      </text>
    </comment>
    <comment ref="M24" authorId="0">
      <text>
        <r>
          <rPr>
            <sz val="9"/>
            <color rgb="FF000000"/>
            <rFont val="Arial"/>
            <family val="2"/>
          </rPr>
          <t>t-1q2026exhibit992.htm / t-1q20268xk801exhibit991.htm (8-K 22-Apr-2026) | Mexico Wireless Subscribers - Prepaid | 17,376</t>
        </r>
      </text>
    </comment>
    <comment ref="N24" authorId="0">
      <text>
        <r>
          <rPr>
            <sz val="9"/>
            <color rgb="FF000000"/>
            <rFont val="Arial"/>
            <family val="2"/>
          </rPr>
          <t>t-2q2026exhibit992.htm (8-K 22-Jul-2026) | Mexico Wireless Subscribers - Prepaid | 17,440</t>
        </r>
      </text>
    </comment>
    <comment ref="C29" authorId="0">
      <text>
        <r>
          <rPr>
            <sz val="9"/>
            <color rgb="FF000000"/>
            <rFont val="Arial"/>
            <family val="2"/>
          </rPr>
          <t>t-3q2025exhibit992.htm (8-K 22-Oct-2025) | Mexico Wireless Net Additions - Reseller | (5)</t>
        </r>
      </text>
    </comment>
    <comment ref="D29" authorId="0">
      <text>
        <r>
          <rPr>
            <sz val="9"/>
            <color rgb="FF000000"/>
            <rFont val="Arial"/>
            <family val="2"/>
          </rPr>
          <t>t-4q2025exhibit992.htm (8-K 28-Jan-2026) | Mexico Wireless Net Additions - Reseller | (19)</t>
        </r>
      </text>
    </comment>
    <comment ref="F29" authorId="0">
      <text>
        <r>
          <rPr>
            <sz val="9"/>
            <color rgb="FF000000"/>
            <rFont val="Arial"/>
            <family val="2"/>
          </rPr>
          <t>t-1q2026exhibit992.htm / t-1q20268xk801exhibit991.htm (8-K 22-Apr-2026) | Mexico Wireless Net Additions - Reseller | (19)</t>
        </r>
      </text>
    </comment>
    <comment ref="G29" authorId="0">
      <text>
        <r>
          <rPr>
            <sz val="9"/>
            <color rgb="FF000000"/>
            <rFont val="Arial"/>
            <family val="2"/>
          </rPr>
          <t>t-2q2026exhibit992.htm (8-K 22-Jul-2026) | Mexico Wireless Net Additions - Reseller | (31)</t>
        </r>
      </text>
    </comment>
    <comment ref="J29" authorId="0">
      <text>
        <r>
          <rPr>
            <sz val="9"/>
            <color rgb="FF000000"/>
            <rFont val="Arial"/>
            <family val="2"/>
          </rPr>
          <t>t-3q2025exhibit992.htm (8-K 22-Oct-2025) | Mexico Wireless Net Additions - Reseller | (51)</t>
        </r>
      </text>
    </comment>
    <comment ref="K29" authorId="0">
      <text>
        <r>
          <rPr>
            <sz val="9"/>
            <color rgb="FF000000"/>
            <rFont val="Arial"/>
            <family val="2"/>
          </rPr>
          <t>t-4q2025exhibit992.htm (8-K 28-Jan-2026) | Mexico Wireless Net Additions - Reseller | (29)</t>
        </r>
      </text>
    </comment>
    <comment ref="L29" authorId="0">
      <text>
        <r>
          <rPr>
            <sz val="9"/>
            <color rgb="FF000000"/>
            <rFont val="Arial"/>
            <family val="2"/>
          </rPr>
          <t>t-4q2025exhibit992.htm (8-K 28-Jan-2026) | Mexico Wireless Net Additions - Reseller | (164)</t>
        </r>
      </text>
    </comment>
    <comment ref="M29" authorId="0">
      <text>
        <r>
          <rPr>
            <sz val="9"/>
            <color rgb="FF000000"/>
            <rFont val="Arial"/>
            <family val="2"/>
          </rPr>
          <t>t-1q2026exhibit992.htm / t-1q20268xk801exhibit991.htm (8-K 22-Apr-2026) | Mexico Wireless Net Additions - Reseller | (18)</t>
        </r>
      </text>
    </comment>
    <comment ref="N29" authorId="0">
      <text>
        <r>
          <rPr>
            <sz val="9"/>
            <color rgb="FF000000"/>
            <rFont val="Arial"/>
            <family val="2"/>
          </rPr>
          <t>t-2q2026exhibit992.htm (8-K 22-Jul-2026) | Mexico Wireless Net Additions - Reseller | (12)</t>
        </r>
      </text>
    </comment>
    <comment ref="C33" authorId="0">
      <text>
        <r>
          <rPr>
            <sz val="9"/>
            <color rgb="FF000000"/>
            <rFont val="Arial"/>
            <family val="2"/>
          </rPr>
          <t>t-3q2025exhibit992.htm (8-K 22-Oct-2025) | Mexico Wireless Subscribers - Reseller | 218</t>
        </r>
      </text>
    </comment>
    <comment ref="D33" authorId="0">
      <text>
        <r>
          <rPr>
            <sz val="9"/>
            <color rgb="FF000000"/>
            <rFont val="Arial"/>
            <family val="2"/>
          </rPr>
          <t>t-4q2025exhibit992.htm (8-K 28-Jan-2026) | Mexico Wireless Subscribers - Reseller | 199</t>
        </r>
      </text>
    </comment>
    <comment ref="F33" authorId="0">
      <text>
        <r>
          <rPr>
            <sz val="9"/>
            <color rgb="FF000000"/>
            <rFont val="Arial"/>
            <family val="2"/>
          </rPr>
          <t>t-1q2026exhibit992.htm / t-1q20268xk801exhibit991.htm (8-K 22-Apr-2026) | Mexico Wireless Subscribers - Reseller | 180</t>
        </r>
      </text>
    </comment>
    <comment ref="G33" authorId="0">
      <text>
        <r>
          <rPr>
            <sz val="9"/>
            <color rgb="FF000000"/>
            <rFont val="Arial"/>
            <family val="2"/>
          </rPr>
          <t>t-2q2026exhibit992.htm (8-K 22-Jul-2026) | Mexico Wireless Subscribers - Reseller | 149</t>
        </r>
      </text>
    </comment>
    <comment ref="J33" authorId="0">
      <text>
        <r>
          <rPr>
            <sz val="9"/>
            <color rgb="FF000000"/>
            <rFont val="Arial"/>
            <family val="2"/>
          </rPr>
          <t>t-3q2025exhibit992.htm (8-K 22-Oct-2025) | Mexico Wireless Subscribers - Reseller | 282</t>
        </r>
      </text>
    </comment>
    <comment ref="K33" authorId="0">
      <text>
        <r>
          <rPr>
            <sz val="9"/>
            <color rgb="FF000000"/>
            <rFont val="Arial"/>
            <family val="2"/>
          </rPr>
          <t>t-4q2025exhibit992.htm (8-K 28-Jan-2026) | Mexico Wireless Subscribers - Reseller | 253</t>
        </r>
      </text>
    </comment>
    <comment ref="M33" authorId="0">
      <text>
        <r>
          <rPr>
            <sz val="9"/>
            <color rgb="FF000000"/>
            <rFont val="Arial"/>
            <family val="2"/>
          </rPr>
          <t>t-1q2026exhibit992.htm / t-1q20268xk801exhibit991.htm (8-K 22-Apr-2026) | Mexico Wireless Subscribers - Reseller | 235</t>
        </r>
      </text>
    </comment>
    <comment ref="N33" authorId="0">
      <text>
        <r>
          <rPr>
            <sz val="9"/>
            <color rgb="FF000000"/>
            <rFont val="Arial"/>
            <family val="2"/>
          </rPr>
          <t>t-2q2026exhibit992.htm (8-K 22-Jul-2026) | Mexico Wireless Subscribers - Reseller | 223</t>
        </r>
      </text>
    </comment>
    <comment ref="C50" authorId="0">
      <text>
        <r>
          <rPr>
            <sz val="9"/>
            <color rgb="FF000000"/>
            <rFont val="Arial"/>
            <family val="2"/>
          </rPr>
          <t>fred.stlouisfed.org/data/EXMXUS (G.5 monthly avg) | 2025-07 18.6886 / 2025-08 18.7063 / 2025-09 18.4789 | 18.6246</t>
        </r>
      </text>
    </comment>
    <comment ref="D50" authorId="0">
      <text>
        <r>
          <rPr>
            <sz val="9"/>
            <color rgb="FF000000"/>
            <rFont val="Arial"/>
            <family val="2"/>
          </rPr>
          <t>fred.stlouisfed.org/data/EXMXUS (G.5 monthly avg) | 2025-10 18.4246 / 2025-11 18.4193 / 2025-12 18.0708 | 18.3049</t>
        </r>
      </text>
    </comment>
    <comment ref="F50" authorId="0">
      <text>
        <r>
          <rPr>
            <sz val="9"/>
            <color rgb="FF000000"/>
            <rFont val="Arial"/>
            <family val="2"/>
          </rPr>
          <t>fred.stlouisfed.org/data/EXMXUS (G.5 monthly avg) | 2026-01 17.6446 / 2026-02 17.228 / 2026-03 17.77 | 17.5475</t>
        </r>
      </text>
    </comment>
    <comment ref="G50" authorId="0">
      <text>
        <r>
          <rPr>
            <sz val="9"/>
            <color rgb="FF000000"/>
            <rFont val="Arial"/>
            <family val="2"/>
          </rPr>
          <t>fred.stlouisfed.org/data/EXMXUS (G.5 monthly avg) | 2026-04 17.4544 / 2026-05 17.3102 / 2026-06 17.3792 | 17.3813</t>
        </r>
      </text>
    </comment>
    <comment ref="H50" authorId="0">
      <text>
        <r>
          <rPr>
            <sz val="9"/>
            <color rgb="FF000000"/>
            <rFont val="Arial"/>
            <family val="2"/>
          </rPr>
          <t>fred.stlouisfed.org/data/EXMXUS (G.5 monthly avg) | 2026-07 17.4557 / 2026-08 17.0609 / 2026-09 17.2695 | 17.2620</t>
        </r>
      </text>
    </comment>
    <comment ref="J50" authorId="0">
      <text>
        <r>
          <rPr>
            <sz val="9"/>
            <color rgb="FF000000"/>
            <rFont val="Arial"/>
            <family val="2"/>
          </rPr>
          <t>fred.stlouisfed.org/data/EXMXUS (G.5 monthly avg) | 2024-07 18.1002 / 2024-08 19.1382 / 2024-09 19.5963 | 18.9449</t>
        </r>
      </text>
    </comment>
    <comment ref="K50" authorId="0">
      <text>
        <r>
          <rPr>
            <sz val="9"/>
            <color rgb="FF000000"/>
            <rFont val="Arial"/>
            <family val="2"/>
          </rPr>
          <t>fred.stlouisfed.org/data/EXMXUS (G.5 monthly avg) | 2024-10 19.7183 / 2024-11 20.3381 / 2024-12 20.2616 | 20.1060</t>
        </r>
      </text>
    </comment>
    <comment ref="M50" authorId="0">
      <text>
        <r>
          <rPr>
            <sz val="9"/>
            <color rgb="FF000000"/>
            <rFont val="Arial"/>
            <family val="2"/>
          </rPr>
          <t>fred.stlouisfed.org/data/EXMXUS (G.5 monthly avg) | 2025-01 20.5367 / 2025-02 20.4728 / 2025-03 20.2235 | 20.4110</t>
        </r>
      </text>
    </comment>
    <comment ref="N50" authorId="0">
      <text>
        <r>
          <rPr>
            <sz val="9"/>
            <color rgb="FF000000"/>
            <rFont val="Arial"/>
            <family val="2"/>
          </rPr>
          <t>fred.stlouisfed.org/data/EXMXUS (G.5 monthly avg) | 2025-04 20.0387 / 2025-05 19.4573 / 2025-06 19.0203 | 19.5054</t>
        </r>
      </text>
    </comment>
    <comment ref="E50" authorId="0">
      <text>
        <r>
          <rPr>
            <sz val="9"/>
            <color rgb="FF000000"/>
            <rFont val="Arial"/>
            <family val="2"/>
          </rPr>
          <t>fred.stlouisfed.org/data/EXMXUS (G.5 monthly avg) | 2025 monthly average | 19.2115</t>
        </r>
      </text>
    </comment>
    <comment ref="L50" authorId="0">
      <text>
        <r>
          <rPr>
            <sz val="9"/>
            <color rgb="FF000000"/>
            <rFont val="Arial"/>
            <family val="2"/>
          </rPr>
          <t>fred.stlouisfed.org/data/EXMXUS (G.5 monthly avg) | 2024 monthly average | 18.3256</t>
        </r>
      </text>
    </comment>
    <comment ref="C58" authorId="0">
      <text>
        <r>
          <rPr>
            <sz val="9"/>
            <color rgb="FF000000"/>
            <rFont val="Arial"/>
            <family val="2"/>
          </rPr>
          <t>t-3q2025exhibit992.htm (8-K 22-Oct-2025) | Wireless service (Latin America) | 696</t>
        </r>
      </text>
    </comment>
    <comment ref="D58" authorId="0">
      <text>
        <r>
          <rPr>
            <sz val="9"/>
            <color rgb="FF000000"/>
            <rFont val="Arial"/>
            <family val="2"/>
          </rPr>
          <t>t-4q2025exhibit992.htm (8-K 28-Jan-2026) | Wireless service (Latin America) | 742</t>
        </r>
      </text>
    </comment>
    <comment ref="F58" authorId="0">
      <text>
        <r>
          <rPr>
            <sz val="9"/>
            <color rgb="FF000000"/>
            <rFont val="Arial"/>
            <family val="2"/>
          </rPr>
          <t>t-1q2026exhibit992.htm / t-1q20268xk801exhibit991.htm (8-K 22-Apr-2026) | Wireless service (Latin America) | 753</t>
        </r>
      </text>
    </comment>
    <comment ref="G58" authorId="0">
      <text>
        <r>
          <rPr>
            <sz val="9"/>
            <color rgb="FF000000"/>
            <rFont val="Arial"/>
            <family val="2"/>
          </rPr>
          <t>t-2q2026exhibit992.htm (8-K 22-Jul-2026) | Wireless service (Latin America) | 780</t>
        </r>
      </text>
    </comment>
    <comment ref="J58" authorId="0">
      <text>
        <r>
          <rPr>
            <sz val="9"/>
            <color rgb="FF000000"/>
            <rFont val="Arial"/>
            <family val="2"/>
          </rPr>
          <t>t-3q2025exhibit992.htm (8-K 22-Oct-2025) | Wireless service (Latin America) | 645</t>
        </r>
      </text>
    </comment>
    <comment ref="K58" authorId="0">
      <text>
        <r>
          <rPr>
            <sz val="9"/>
            <color rgb="FF000000"/>
            <rFont val="Arial"/>
            <family val="2"/>
          </rPr>
          <t>t-4q2025exhibit992.htm (8-K 28-Jan-2026) | Wireless service (Latin America) | 634</t>
        </r>
      </text>
    </comment>
    <comment ref="L58" authorId="0">
      <text>
        <r>
          <rPr>
            <sz val="9"/>
            <color rgb="FF000000"/>
            <rFont val="Arial"/>
            <family val="2"/>
          </rPr>
          <t>t-4q2025exhibit992.htm (8-K 28-Jan-2026) | Wireless service (Latin America) | 2,668</t>
        </r>
      </text>
    </comment>
    <comment ref="M58" authorId="0">
      <text>
        <r>
          <rPr>
            <sz val="9"/>
            <color rgb="FF000000"/>
            <rFont val="Arial"/>
            <family val="2"/>
          </rPr>
          <t>t-1q2026exhibit992.htm / t-1q20268xk801exhibit991.htm (8-K 22-Apr-2026) | Wireless service (Latin America) | 615</t>
        </r>
      </text>
    </comment>
    <comment ref="N58" authorId="0">
      <text>
        <r>
          <rPr>
            <sz val="9"/>
            <color rgb="FF000000"/>
            <rFont val="Arial"/>
            <family val="2"/>
          </rPr>
          <t>t-2q2026exhibit992.htm (8-K 22-Jul-2026) | Wireless service (Latin America) | 662</t>
        </r>
      </text>
    </comment>
    <comment ref="C66" authorId="0">
      <text>
        <r>
          <rPr>
            <sz val="9"/>
            <color rgb="FF000000"/>
            <rFont val="Arial"/>
            <family val="2"/>
          </rPr>
          <t>t-3q2025exhibit992.htm (8-K 22-Oct-2025) | Wireless equipment (Latin America) | 399</t>
        </r>
      </text>
    </comment>
    <comment ref="D66" authorId="0">
      <text>
        <r>
          <rPr>
            <sz val="9"/>
            <color rgb="FF000000"/>
            <rFont val="Arial"/>
            <family val="2"/>
          </rPr>
          <t>t-4q2025exhibit992.htm (8-K 28-Jan-2026) | Wireless equipment (Latin America) | 517</t>
        </r>
      </text>
    </comment>
    <comment ref="F66" authorId="0">
      <text>
        <r>
          <rPr>
            <sz val="9"/>
            <color rgb="FF000000"/>
            <rFont val="Arial"/>
            <family val="2"/>
          </rPr>
          <t>t-1q2026exhibit992.htm / t-1q20268xk801exhibit991.htm (8-K 22-Apr-2026) | Wireless equipment (Latin America) | 420</t>
        </r>
      </text>
    </comment>
    <comment ref="G66" authorId="0">
      <text>
        <r>
          <rPr>
            <sz val="9"/>
            <color rgb="FF000000"/>
            <rFont val="Arial"/>
            <family val="2"/>
          </rPr>
          <t>t-2q2026exhibit992.htm (8-K 22-Jul-2026) | Wireless equipment (Latin America) | 444</t>
        </r>
      </text>
    </comment>
    <comment ref="J66" authorId="0">
      <text>
        <r>
          <rPr>
            <sz val="9"/>
            <color rgb="FF000000"/>
            <rFont val="Arial"/>
            <family val="2"/>
          </rPr>
          <t>t-3q2025exhibit992.htm (8-K 22-Oct-2025) | Wireless equipment (Latin America) | 377</t>
        </r>
      </text>
    </comment>
    <comment ref="K66" authorId="0">
      <text>
        <r>
          <rPr>
            <sz val="9"/>
            <color rgb="FF000000"/>
            <rFont val="Arial"/>
            <family val="2"/>
          </rPr>
          <t>t-4q2025exhibit992.htm (8-K 28-Jan-2026) | Wireless equipment (Latin America) | 410</t>
        </r>
      </text>
    </comment>
    <comment ref="L66" authorId="0">
      <text>
        <r>
          <rPr>
            <sz val="9"/>
            <color rgb="FF000000"/>
            <rFont val="Arial"/>
            <family val="2"/>
          </rPr>
          <t>t-4q2025exhibit992.htm (8-K 28-Jan-2026) | Wireless equipment (Latin America) | 1,564</t>
        </r>
      </text>
    </comment>
    <comment ref="M66" authorId="0">
      <text>
        <r>
          <rPr>
            <sz val="9"/>
            <color rgb="FF000000"/>
            <rFont val="Arial"/>
            <family val="2"/>
          </rPr>
          <t>t-1q2026exhibit992.htm / t-1q20268xk801exhibit991.htm (8-K 22-Apr-2026) | Wireless equipment (Latin America) | 356</t>
        </r>
      </text>
    </comment>
    <comment ref="N66" authorId="0">
      <text>
        <r>
          <rPr>
            <sz val="9"/>
            <color rgb="FF000000"/>
            <rFont val="Arial"/>
            <family val="2"/>
          </rPr>
          <t>t-2q2026exhibit992.htm (8-K 22-Jul-2026) | Wireless equipment (Latin America) | 392</t>
        </r>
      </text>
    </comment>
    <comment ref="C82" authorId="0">
      <text>
        <r>
          <rPr>
            <sz val="9"/>
            <color rgb="FF000000"/>
            <rFont val="Arial"/>
            <family val="2"/>
          </rPr>
          <t>t-3q2025exhibit992.htm (8-K 22-Oct-2025) | Operations and support (Latin America) | 896</t>
        </r>
      </text>
    </comment>
    <comment ref="D82" authorId="0">
      <text>
        <r>
          <rPr>
            <sz val="9"/>
            <color rgb="FF000000"/>
            <rFont val="Arial"/>
            <family val="2"/>
          </rPr>
          <t>t-4q2025exhibit992.htm (8-K 28-Jan-2026) | Operations and support (Latin America) | 1,036</t>
        </r>
      </text>
    </comment>
    <comment ref="F82" authorId="0">
      <text>
        <r>
          <rPr>
            <sz val="9"/>
            <color rgb="FF000000"/>
            <rFont val="Arial"/>
            <family val="2"/>
          </rPr>
          <t>t-1q2026exhibit992.htm / t-1q20268xk801exhibit991.htm (8-K 22-Apr-2026) | Operations and support (Latin America) | 953</t>
        </r>
      </text>
    </comment>
    <comment ref="G82" authorId="0">
      <text>
        <r>
          <rPr>
            <sz val="9"/>
            <color rgb="FF000000"/>
            <rFont val="Arial"/>
            <family val="2"/>
          </rPr>
          <t>t-2q2026exhibit992.htm (8-K 22-Jul-2026) | Operations and support (Latin America) | 997</t>
        </r>
      </text>
    </comment>
    <comment ref="J82" authorId="0">
      <text>
        <r>
          <rPr>
            <sz val="9"/>
            <color rgb="FF000000"/>
            <rFont val="Arial"/>
            <family val="2"/>
          </rPr>
          <t>t-3q2025exhibit992.htm (8-K 22-Oct-2025) | Operations and support (Latin America) | 854</t>
        </r>
      </text>
    </comment>
    <comment ref="K82" authorId="0">
      <text>
        <r>
          <rPr>
            <sz val="9"/>
            <color rgb="FF000000"/>
            <rFont val="Arial"/>
            <family val="2"/>
          </rPr>
          <t>t-4q2025exhibit992.htm (8-K 28-Jan-2026) | Operations and support (Latin America) | 873</t>
        </r>
      </text>
    </comment>
    <comment ref="L82" authorId="0">
      <text>
        <r>
          <rPr>
            <sz val="9"/>
            <color rgb="FF000000"/>
            <rFont val="Arial"/>
            <family val="2"/>
          </rPr>
          <t>t-4q2025exhibit992.htm (8-K 28-Jan-2026) | Operations and support (Latin America) | 3,535</t>
        </r>
      </text>
    </comment>
    <comment ref="M82" authorId="0">
      <text>
        <r>
          <rPr>
            <sz val="9"/>
            <color rgb="FF000000"/>
            <rFont val="Arial"/>
            <family val="2"/>
          </rPr>
          <t>t-1q2026exhibit992.htm / t-1q20268xk801exhibit991.htm (8-K 22-Apr-2026) | Operations and support (Latin America) | 778</t>
        </r>
      </text>
    </comment>
    <comment ref="N82" authorId="0">
      <text>
        <r>
          <rPr>
            <sz val="9"/>
            <color rgb="FF000000"/>
            <rFont val="Arial"/>
            <family val="2"/>
          </rPr>
          <t>t-2q2026exhibit992.htm (8-K 22-Jul-2026) | Operations and support (Latin America) | 853</t>
        </r>
      </text>
    </comment>
    <comment ref="C91" authorId="0">
      <text>
        <r>
          <rPr>
            <sz val="9"/>
            <color rgb="FF000000"/>
            <rFont val="Arial"/>
            <family val="2"/>
          </rPr>
          <t>t-3q2025exhibit992.htm (8-K 22-Oct-2025) | Depreciation and amortization (Latin America) | 177</t>
        </r>
      </text>
    </comment>
    <comment ref="D91" authorId="0">
      <text>
        <r>
          <rPr>
            <sz val="9"/>
            <color rgb="FF000000"/>
            <rFont val="Arial"/>
            <family val="2"/>
          </rPr>
          <t>t-4q2025exhibit992.htm (8-K 28-Jan-2026) | Depreciation and amortization (Latin America) | 189</t>
        </r>
      </text>
    </comment>
    <comment ref="F91" authorId="0">
      <text>
        <r>
          <rPr>
            <sz val="9"/>
            <color rgb="FF000000"/>
            <rFont val="Arial"/>
            <family val="2"/>
          </rPr>
          <t>t-1q2026exhibit992.htm / t-1q20268xk801exhibit991.htm (8-K 22-Apr-2026) | Depreciation and amortization (Latin America) | 200</t>
        </r>
      </text>
    </comment>
    <comment ref="G91" authorId="0">
      <text>
        <r>
          <rPr>
            <sz val="9"/>
            <color rgb="FF000000"/>
            <rFont val="Arial"/>
            <family val="2"/>
          </rPr>
          <t>t-2q2026exhibit992.htm (8-K 22-Jul-2026) | Depreciation and amortization (Latin America) | 189</t>
        </r>
      </text>
    </comment>
    <comment ref="J91" authorId="0">
      <text>
        <r>
          <rPr>
            <sz val="9"/>
            <color rgb="FF000000"/>
            <rFont val="Arial"/>
            <family val="2"/>
          </rPr>
          <t>t-3q2025exhibit992.htm (8-K 22-Oct-2025) | Depreciation and amortization (Latin America) | 158</t>
        </r>
      </text>
    </comment>
    <comment ref="K91" authorId="0">
      <text>
        <r>
          <rPr>
            <sz val="9"/>
            <color rgb="FF000000"/>
            <rFont val="Arial"/>
            <family val="2"/>
          </rPr>
          <t>t-4q2025exhibit992.htm (8-K 28-Jan-2026) | Depreciation and amortization (Latin America) | 150</t>
        </r>
      </text>
    </comment>
    <comment ref="L91" authorId="0">
      <text>
        <r>
          <rPr>
            <sz val="9"/>
            <color rgb="FF000000"/>
            <rFont val="Arial"/>
            <family val="2"/>
          </rPr>
          <t>t-4q2025exhibit992.htm (8-K 28-Jan-2026) | Depreciation and amortization (Latin America) | 657</t>
        </r>
      </text>
    </comment>
    <comment ref="M91" authorId="0">
      <text>
        <r>
          <rPr>
            <sz val="9"/>
            <color rgb="FF000000"/>
            <rFont val="Arial"/>
            <family val="2"/>
          </rPr>
          <t>t-1q2026exhibit992.htm / t-1q20268xk801exhibit991.htm (8-K 22-Apr-2026) | Depreciation and amortization (Latin America) | 150</t>
        </r>
      </text>
    </comment>
    <comment ref="N91" authorId="0">
      <text>
        <r>
          <rPr>
            <sz val="9"/>
            <color rgb="FF000000"/>
            <rFont val="Arial"/>
            <family val="2"/>
          </rPr>
          <t>t-2q2026exhibit992.htm (8-K 22-Jul-2026) | Depreciation and amortization (Latin America) | 155</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15" authorId="0">
      <text>
        <r>
          <rPr>
            <sz val="9"/>
            <color rgb="FF000000"/>
            <rFont val="Arial"/>
            <family val="2"/>
          </rPr>
          <t>t-3q2025exhibit992.htm (8-K 22-Oct-2025) | Cost of revenues - Equipment | 5,468</t>
        </r>
      </text>
    </comment>
    <comment ref="D15" authorId="0">
      <text>
        <r>
          <rPr>
            <sz val="9"/>
            <color rgb="FF000000"/>
            <rFont val="Arial"/>
            <family val="2"/>
          </rPr>
          <t>t-4q2025exhibit992.htm (8-K 28-Jan-2026) | Cost of revenues - Equipment | 8,496</t>
        </r>
      </text>
    </comment>
    <comment ref="F15" authorId="0">
      <text>
        <r>
          <rPr>
            <sz val="9"/>
            <color rgb="FF000000"/>
            <rFont val="Arial"/>
            <family val="2"/>
          </rPr>
          <t>t-1q2026exhibit992.htm / t-1q20268xk801exhibit991.htm (8-K 22-Apr-2026) | Cost of revenues - Equipment | 6,305</t>
        </r>
      </text>
    </comment>
    <comment ref="G15" authorId="0">
      <text>
        <r>
          <rPr>
            <sz val="9"/>
            <color rgb="FF000000"/>
            <rFont val="Arial"/>
            <family val="2"/>
          </rPr>
          <t>t-2q2026exhibit992.htm (8-K 22-Jul-2026) | Cost of revenues - Equipment | 5,741</t>
        </r>
      </text>
    </comment>
    <comment ref="J15" authorId="0">
      <text>
        <r>
          <rPr>
            <sz val="9"/>
            <color rgb="FF000000"/>
            <rFont val="Arial"/>
            <family val="2"/>
          </rPr>
          <t>t-3q2025exhibit992.htm (8-K 22-Oct-2025) | Cost of revenues - Equipment | 4,933</t>
        </r>
      </text>
    </comment>
    <comment ref="K15" authorId="0">
      <text>
        <r>
          <rPr>
            <sz val="9"/>
            <color rgb="FF000000"/>
            <rFont val="Arial"/>
            <family val="2"/>
          </rPr>
          <t>t-4q2025exhibit992.htm (8-K 28-Jan-2026) | Cost of revenues - Equipment | 7,358</t>
        </r>
      </text>
    </comment>
    <comment ref="L15" authorId="0">
      <text>
        <r>
          <rPr>
            <sz val="9"/>
            <color rgb="FF000000"/>
            <rFont val="Arial"/>
            <family val="2"/>
          </rPr>
          <t>t-4q2025exhibit992.htm (8-K 28-Jan-2026) | Cost of revenues - Equipment | 22,249</t>
        </r>
      </text>
    </comment>
    <comment ref="M15" authorId="0">
      <text>
        <r>
          <rPr>
            <sz val="9"/>
            <color rgb="FF000000"/>
            <rFont val="Arial"/>
            <family val="2"/>
          </rPr>
          <t>t-1q2026exhibit992.htm / t-1q20268xk801exhibit991.htm (8-K 22-Apr-2026) | Cost of revenues - Equipment | 5,694</t>
        </r>
      </text>
    </comment>
    <comment ref="N15" authorId="0">
      <text>
        <r>
          <rPr>
            <sz val="9"/>
            <color rgb="FF000000"/>
            <rFont val="Arial"/>
            <family val="2"/>
          </rPr>
          <t>t-2q2026exhibit992.htm (8-K 22-Jul-2026) | Cost of revenues - Equipment | 5,738</t>
        </r>
      </text>
    </comment>
    <comment ref="C21" authorId="0">
      <text>
        <r>
          <rPr>
            <sz val="9"/>
            <color rgb="FF000000"/>
            <rFont val="Arial"/>
            <family val="2"/>
          </rPr>
          <t>t-3q2025exhibit992.htm (8-K 22-Oct-2025) | Other cost of revenues | 6,351</t>
        </r>
      </text>
    </comment>
    <comment ref="D21" authorId="0">
      <text>
        <r>
          <rPr>
            <sz val="9"/>
            <color rgb="FF000000"/>
            <rFont val="Arial"/>
            <family val="2"/>
          </rPr>
          <t>t-4q2025exhibit992.htm (8-K 28-Jan-2026) | Other cost of revenues | 6,322</t>
        </r>
      </text>
    </comment>
    <comment ref="F21" authorId="0">
      <text>
        <r>
          <rPr>
            <sz val="9"/>
            <color rgb="FF000000"/>
            <rFont val="Arial"/>
            <family val="2"/>
          </rPr>
          <t>t-1q2026exhibit992.htm / t-1q20268xk801exhibit991.htm (8-K 22-Apr-2026) | Other cost of revenues | 6,261</t>
        </r>
      </text>
    </comment>
    <comment ref="G21" authorId="0">
      <text>
        <r>
          <rPr>
            <sz val="9"/>
            <color rgb="FF000000"/>
            <rFont val="Arial"/>
            <family val="2"/>
          </rPr>
          <t>t-2q2026exhibit992.htm (8-K 22-Jul-2026) | Other cost of revenues | 6,306</t>
        </r>
      </text>
    </comment>
    <comment ref="J21" authorId="0">
      <text>
        <r>
          <rPr>
            <sz val="9"/>
            <color rgb="FF000000"/>
            <rFont val="Arial"/>
            <family val="2"/>
          </rPr>
          <t>t-3q2025exhibit992.htm (8-K 22-Oct-2025) | Other cost of revenues | 6,697</t>
        </r>
      </text>
    </comment>
    <comment ref="K21" authorId="0">
      <text>
        <r>
          <rPr>
            <sz val="9"/>
            <color rgb="FF000000"/>
            <rFont val="Arial"/>
            <family val="2"/>
          </rPr>
          <t>t-4q2025exhibit992.htm (8-K 28-Jan-2026) | Other cost of revenues | 6,837</t>
        </r>
      </text>
    </comment>
    <comment ref="L21" authorId="0">
      <text>
        <r>
          <rPr>
            <sz val="9"/>
            <color rgb="FF000000"/>
            <rFont val="Arial"/>
            <family val="2"/>
          </rPr>
          <t>t-4q2025exhibit992.htm (8-K 28-Jan-2026) | Other cost of revenues | 26,972</t>
        </r>
      </text>
    </comment>
    <comment ref="M21" authorId="0">
      <text>
        <r>
          <rPr>
            <sz val="9"/>
            <color rgb="FF000000"/>
            <rFont val="Arial"/>
            <family val="2"/>
          </rPr>
          <t>t-1q2026exhibit992.htm / t-1q20268xk801exhibit991.htm (8-K 22-Apr-2026) | Other cost of revenues | 6,339</t>
        </r>
      </text>
    </comment>
    <comment ref="N21" authorId="0">
      <text>
        <r>
          <rPr>
            <sz val="9"/>
            <color rgb="FF000000"/>
            <rFont val="Arial"/>
            <family val="2"/>
          </rPr>
          <t>t-2q2026exhibit992.htm (8-K 22-Jul-2026) | Other cost of revenues | 6,412</t>
        </r>
      </text>
    </comment>
    <comment ref="C24" authorId="0">
      <text>
        <r>
          <rPr>
            <sz val="9"/>
            <color rgb="FF000000"/>
            <rFont val="Arial"/>
            <family val="2"/>
          </rPr>
          <t>t-3q2025exhibit992.htm (8-K 22-Oct-2025) | Selling, general and administrative | 7,454</t>
        </r>
      </text>
    </comment>
    <comment ref="D24" authorId="0">
      <text>
        <r>
          <rPr>
            <sz val="9"/>
            <color rgb="FF000000"/>
            <rFont val="Arial"/>
            <family val="2"/>
          </rPr>
          <t>t-4q2025exhibit992.htm (8-K 28-Jan-2026) | Selling, general and administrative | 7,398</t>
        </r>
      </text>
    </comment>
    <comment ref="F24" authorId="0">
      <text>
        <r>
          <rPr>
            <sz val="9"/>
            <color rgb="FF000000"/>
            <rFont val="Arial"/>
            <family val="2"/>
          </rPr>
          <t>t-1q2026exhibit992.htm / t-1q20268xk801exhibit991.htm (8-K 22-Apr-2026) | Selling, general and administrative | 7,316</t>
        </r>
      </text>
    </comment>
    <comment ref="G24" authorId="0">
      <text>
        <r>
          <rPr>
            <sz val="9"/>
            <color rgb="FF000000"/>
            <rFont val="Arial"/>
            <family val="2"/>
          </rPr>
          <t>t-2q2026exhibit992.htm (8-K 22-Jul-2026) | Selling, general and administrative | 7,221</t>
        </r>
      </text>
    </comment>
    <comment ref="J24" authorId="0">
      <text>
        <r>
          <rPr>
            <sz val="9"/>
            <color rgb="FF000000"/>
            <rFont val="Arial"/>
            <family val="2"/>
          </rPr>
          <t>t-3q2025exhibit992.htm (8-K 22-Oct-2025) | Selling, general and administrative | 6,958</t>
        </r>
      </text>
    </comment>
    <comment ref="K24" authorId="0">
      <text>
        <r>
          <rPr>
            <sz val="9"/>
            <color rgb="FF000000"/>
            <rFont val="Arial"/>
            <family val="2"/>
          </rPr>
          <t>t-4q2025exhibit992.htm (8-K 28-Jan-2026) | Selling, general and administrative | 7,389</t>
        </r>
      </text>
    </comment>
    <comment ref="L24" authorId="0">
      <text>
        <r>
          <rPr>
            <sz val="9"/>
            <color rgb="FF000000"/>
            <rFont val="Arial"/>
            <family val="2"/>
          </rPr>
          <t>t-4q2025exhibit992.htm (8-K 28-Jan-2026) | Selling, general and administrative | 28,411</t>
        </r>
      </text>
    </comment>
    <comment ref="M24" authorId="0">
      <text>
        <r>
          <rPr>
            <sz val="9"/>
            <color rgb="FF000000"/>
            <rFont val="Arial"/>
            <family val="2"/>
          </rPr>
          <t>t-1q2026exhibit992.htm / t-1q20268xk801exhibit991.htm (8-K 22-Apr-2026) | Selling, general and administrative | 7,145</t>
        </r>
      </text>
    </comment>
    <comment ref="N24" authorId="0">
      <text>
        <r>
          <rPr>
            <sz val="9"/>
            <color rgb="FF000000"/>
            <rFont val="Arial"/>
            <family val="2"/>
          </rPr>
          <t>t-2q2026exhibit992.htm (8-K 22-Jul-2026) | Selling, general and administrative | 6,945</t>
        </r>
      </text>
    </comment>
    <comment ref="C27" authorId="0">
      <text>
        <r>
          <rPr>
            <sz val="9"/>
            <color rgb="FF000000"/>
            <rFont val="Arial"/>
            <family val="2"/>
          </rPr>
          <t>t-3q2025exhibit992.htm (8-K 22-Oct-2025) | Asset impairments and abandonments and restructuring | 0</t>
        </r>
      </text>
    </comment>
    <comment ref="D27" authorId="0">
      <text>
        <r>
          <rPr>
            <sz val="9"/>
            <color rgb="FF000000"/>
            <rFont val="Arial"/>
            <family val="2"/>
          </rPr>
          <t>t-4q2025exhibit992.htm (8-K 28-Jan-2026) | Asset impairments and abandonments and restructuring | 334</t>
        </r>
      </text>
    </comment>
    <comment ref="F27" authorId="0">
      <text>
        <r>
          <rPr>
            <sz val="9"/>
            <color rgb="FF000000"/>
            <rFont val="Arial"/>
            <family val="2"/>
          </rPr>
          <t>t-1q2026exhibit992.htm / t-1q20268xk801exhibit991.htm (8-K 22-Apr-2026) | Asset impairments and abandonments and restructuring | 0</t>
        </r>
      </text>
    </comment>
    <comment ref="G27" authorId="0">
      <text>
        <r>
          <rPr>
            <sz val="9"/>
            <color rgb="FF000000"/>
            <rFont val="Arial"/>
            <family val="2"/>
          </rPr>
          <t>t-2q2026exhibit992.htm (8-K 22-Jul-2026) | Asset impairments and abandonments and restructuring | 286</t>
        </r>
      </text>
    </comment>
    <comment ref="J27" authorId="0">
      <text>
        <r>
          <rPr>
            <sz val="9"/>
            <color rgb="FF000000"/>
            <rFont val="Arial"/>
            <family val="2"/>
          </rPr>
          <t>t-3q2025exhibit992.htm (8-K 22-Oct-2025) | Asset impairments and abandonments and restructuring | 4,422</t>
        </r>
      </text>
    </comment>
    <comment ref="K27" authorId="0">
      <text>
        <r>
          <rPr>
            <sz val="9"/>
            <color rgb="FF000000"/>
            <rFont val="Arial"/>
            <family val="2"/>
          </rPr>
          <t>t-4q2025exhibit992.htm (8-K 28-Jan-2026) | Asset impairments and abandonments and restructuring | 14</t>
        </r>
      </text>
    </comment>
    <comment ref="L27" authorId="0">
      <text>
        <r>
          <rPr>
            <sz val="9"/>
            <color rgb="FF000000"/>
            <rFont val="Arial"/>
            <family val="2"/>
          </rPr>
          <t>t-4q2025exhibit992.htm (8-K 28-Jan-2026) | Asset impairments and abandonments and restructuring | 5,075</t>
        </r>
      </text>
    </comment>
    <comment ref="M27" authorId="0">
      <text>
        <r>
          <rPr>
            <sz val="9"/>
            <color rgb="FF000000"/>
            <rFont val="Arial"/>
            <family val="2"/>
          </rPr>
          <t>t-1q2026exhibit992.htm / t-1q20268xk801exhibit991.htm (8-K 22-Apr-2026) | Asset impairments and abandonments and restructuring | 504</t>
        </r>
      </text>
    </comment>
    <comment ref="N27" authorId="0">
      <text>
        <r>
          <rPr>
            <sz val="9"/>
            <color rgb="FF000000"/>
            <rFont val="Arial"/>
            <family val="2"/>
          </rPr>
          <t>t-2q2026exhibit992.htm (8-K 22-Jul-2026) | Asset impairments and abandonments and restructuring | 0</t>
        </r>
      </text>
    </comment>
    <comment ref="C29" authorId="0">
      <text>
        <r>
          <rPr>
            <sz val="9"/>
            <color rgb="FF000000"/>
            <rFont val="Arial"/>
            <family val="2"/>
          </rPr>
          <t>t-3q2025exhibit992.htm (8-K 22-Oct-2025) | Depreciation and amortization | 5,317</t>
        </r>
      </text>
    </comment>
    <comment ref="D29" authorId="0">
      <text>
        <r>
          <rPr>
            <sz val="9"/>
            <color rgb="FF000000"/>
            <rFont val="Arial"/>
            <family val="2"/>
          </rPr>
          <t>t-4q2025exhibit992.htm (8-K 28-Jan-2026) | Depreciation and amortization | 5,128</t>
        </r>
      </text>
    </comment>
    <comment ref="F29" authorId="0">
      <text>
        <r>
          <rPr>
            <sz val="9"/>
            <color rgb="FF000000"/>
            <rFont val="Arial"/>
            <family val="2"/>
          </rPr>
          <t>t-1q2026exhibit992.htm / t-1q20268xk801exhibit991.htm (8-K 22-Apr-2026) | Depreciation and amortization | 4,966</t>
        </r>
      </text>
    </comment>
    <comment ref="G29" authorId="0">
      <text>
        <r>
          <rPr>
            <sz val="9"/>
            <color rgb="FF000000"/>
            <rFont val="Arial"/>
            <family val="2"/>
          </rPr>
          <t>t-2q2026exhibit992.htm (8-K 22-Jul-2026) | Depreciation and amortization | 4,966</t>
        </r>
      </text>
    </comment>
    <comment ref="J29" authorId="0">
      <text>
        <r>
          <rPr>
            <sz val="9"/>
            <color rgb="FF000000"/>
            <rFont val="Arial"/>
            <family val="2"/>
          </rPr>
          <t>t-3q2025exhibit992.htm (8-K 22-Oct-2025) | Depreciation and amortization | 5,087</t>
        </r>
      </text>
    </comment>
    <comment ref="K29" authorId="0">
      <text>
        <r>
          <rPr>
            <sz val="9"/>
            <color rgb="FF000000"/>
            <rFont val="Arial"/>
            <family val="2"/>
          </rPr>
          <t>t-4q2025exhibit992.htm (8-K 28-Jan-2026) | Depreciation and amortization | 5,374</t>
        </r>
      </text>
    </comment>
    <comment ref="L29" authorId="0">
      <text>
        <r>
          <rPr>
            <sz val="9"/>
            <color rgb="FF000000"/>
            <rFont val="Arial"/>
            <family val="2"/>
          </rPr>
          <t>t-4q2025exhibit992.htm (8-K 28-Jan-2026) | Depreciation and amortization | 20,580</t>
        </r>
      </text>
    </comment>
    <comment ref="M29" authorId="0">
      <text>
        <r>
          <rPr>
            <sz val="9"/>
            <color rgb="FF000000"/>
            <rFont val="Arial"/>
            <family val="2"/>
          </rPr>
          <t>t-1q2026exhibit992.htm / t-1q20268xk801exhibit991.htm (8-K 22-Apr-2026) | Depreciation and amortization | 5,190</t>
        </r>
      </text>
    </comment>
    <comment ref="N29" authorId="0">
      <text>
        <r>
          <rPr>
            <sz val="9"/>
            <color rgb="FF000000"/>
            <rFont val="Arial"/>
            <family val="2"/>
          </rPr>
          <t>t-2q2026exhibit992.htm (8-K 22-Jul-2026) | Depreciation and amortization | 5,251</t>
        </r>
      </text>
    </comment>
    <comment ref="C40" authorId="0">
      <text>
        <r>
          <rPr>
            <sz val="9"/>
            <color rgb="FF000000"/>
            <rFont val="Arial"/>
            <family val="2"/>
          </rPr>
          <t>t-3q2025exhibit992.htm (8-K 22-Oct-2025) | Interest Expense | 1,700</t>
        </r>
      </text>
    </comment>
    <comment ref="D40" authorId="0">
      <text>
        <r>
          <rPr>
            <sz val="9"/>
            <color rgb="FF000000"/>
            <rFont val="Arial"/>
            <family val="2"/>
          </rPr>
          <t>t-4q2025exhibit992.htm (8-K 28-Jan-2026) | Interest Expense | 1,791</t>
        </r>
      </text>
    </comment>
    <comment ref="F40" authorId="0">
      <text>
        <r>
          <rPr>
            <sz val="9"/>
            <color rgb="FF000000"/>
            <rFont val="Arial"/>
            <family val="2"/>
          </rPr>
          <t>t-1q2026exhibit992.htm / t-1q20268xk801exhibit991.htm (8-K 22-Apr-2026) | Interest Expense | 1,813</t>
        </r>
      </text>
    </comment>
    <comment ref="G40" authorId="0">
      <text>
        <r>
          <rPr>
            <sz val="9"/>
            <color rgb="FF000000"/>
            <rFont val="Arial"/>
            <family val="2"/>
          </rPr>
          <t>t-2q2026exhibit992.htm (8-K 22-Jul-2026) | Interest Expense | 1,883</t>
        </r>
      </text>
    </comment>
    <comment ref="J40" authorId="0">
      <text>
        <r>
          <rPr>
            <sz val="9"/>
            <color rgb="FF000000"/>
            <rFont val="Arial"/>
            <family val="2"/>
          </rPr>
          <t>t-3q2025exhibit992.htm (8-K 22-Oct-2025) | Interest Expense | 1,675</t>
        </r>
      </text>
    </comment>
    <comment ref="K40" authorId="0">
      <text>
        <r>
          <rPr>
            <sz val="9"/>
            <color rgb="FF000000"/>
            <rFont val="Arial"/>
            <family val="2"/>
          </rPr>
          <t>t-4q2025exhibit992.htm (8-K 28-Jan-2026) | Interest Expense | 1,661</t>
        </r>
      </text>
    </comment>
    <comment ref="L40" authorId="0">
      <text>
        <r>
          <rPr>
            <sz val="9"/>
            <color rgb="FF000000"/>
            <rFont val="Arial"/>
            <family val="2"/>
          </rPr>
          <t>t-4q2025exhibit992.htm (8-K 28-Jan-2026) | Interest Expense | 6,759</t>
        </r>
      </text>
    </comment>
    <comment ref="M40" authorId="0">
      <text>
        <r>
          <rPr>
            <sz val="9"/>
            <color rgb="FF000000"/>
            <rFont val="Arial"/>
            <family val="2"/>
          </rPr>
          <t>t-1q2026exhibit992.htm / t-1q20268xk801exhibit991.htm (8-K 22-Apr-2026) | Interest Expense | 1,658</t>
        </r>
      </text>
    </comment>
    <comment ref="N40" authorId="0">
      <text>
        <r>
          <rPr>
            <sz val="9"/>
            <color rgb="FF000000"/>
            <rFont val="Arial"/>
            <family val="2"/>
          </rPr>
          <t>t-2q2026exhibit992.htm (8-K 22-Jul-2026) | Interest Expense | 1,655</t>
        </r>
      </text>
    </comment>
    <comment ref="C41" authorId="0">
      <text>
        <r>
          <rPr>
            <sz val="9"/>
            <color rgb="FF000000"/>
            <rFont val="Arial"/>
            <family val="2"/>
          </rPr>
          <t>t-3q2025exhibit992.htm (8-K 22-Oct-2025) | Equity in Net Income (Loss) of Affiliates | (20)</t>
        </r>
      </text>
    </comment>
    <comment ref="D41" authorId="0">
      <text>
        <r>
          <rPr>
            <sz val="9"/>
            <color rgb="FF000000"/>
            <rFont val="Arial"/>
            <family val="2"/>
          </rPr>
          <t>t-4q2025exhibit992.htm (8-K 28-Jan-2026) | Equity in Net Income (Loss) of Affiliates | (10)</t>
        </r>
      </text>
    </comment>
    <comment ref="F41" authorId="0">
      <text>
        <r>
          <rPr>
            <sz val="9"/>
            <color rgb="FF000000"/>
            <rFont val="Arial"/>
            <family val="2"/>
          </rPr>
          <t>t-1q2026exhibit992.htm / t-1q20268xk801exhibit991.htm (8-K 22-Apr-2026) | Equity in Net Income (Loss) of Affiliates | (41)</t>
        </r>
      </text>
    </comment>
    <comment ref="G41" authorId="0">
      <text>
        <r>
          <rPr>
            <sz val="9"/>
            <color rgb="FF000000"/>
            <rFont val="Arial"/>
            <family val="2"/>
          </rPr>
          <t>t-2q2026exhibit992.htm (8-K 22-Jul-2026) | Equity in Net Income (Loss) of Affiliates | (29)</t>
        </r>
      </text>
    </comment>
    <comment ref="J41" authorId="0">
      <text>
        <r>
          <rPr>
            <sz val="9"/>
            <color rgb="FF000000"/>
            <rFont val="Arial"/>
            <family val="2"/>
          </rPr>
          <t>t-3q2025exhibit992.htm (8-K 22-Oct-2025) | Equity in Net Income (Loss) of Affiliates | 272</t>
        </r>
      </text>
    </comment>
    <comment ref="K41" authorId="0">
      <text>
        <r>
          <rPr>
            <sz val="9"/>
            <color rgb="FF000000"/>
            <rFont val="Arial"/>
            <family val="2"/>
          </rPr>
          <t>t-4q2025exhibit992.htm (8-K 28-Jan-2026) | Equity in Net Income (Loss) of Affiliates | 1,074</t>
        </r>
      </text>
    </comment>
    <comment ref="L41" authorId="0">
      <text>
        <r>
          <rPr>
            <sz val="9"/>
            <color rgb="FF000000"/>
            <rFont val="Arial"/>
            <family val="2"/>
          </rPr>
          <t>t-4q2025exhibit992.htm (8-K 28-Jan-2026) | Equity in Net Income (Loss) of Affiliates | 1,989</t>
        </r>
      </text>
    </comment>
    <comment ref="M41" authorId="0">
      <text>
        <r>
          <rPr>
            <sz val="9"/>
            <color rgb="FF000000"/>
            <rFont val="Arial"/>
            <family val="2"/>
          </rPr>
          <t>t-1q2026exhibit992.htm / t-1q20268xk801exhibit991.htm (8-K 22-Apr-2026) | Equity in Net Income (Loss) of Affiliates | 1,440</t>
        </r>
      </text>
    </comment>
    <comment ref="N41" authorId="0">
      <text>
        <r>
          <rPr>
            <sz val="9"/>
            <color rgb="FF000000"/>
            <rFont val="Arial"/>
            <family val="2"/>
          </rPr>
          <t>t-2q2026exhibit992.htm (8-K 22-Jul-2026) | Equity in Net Income (Loss) of Affiliates | 485</t>
        </r>
      </text>
    </comment>
    <comment ref="C42" authorId="0">
      <text>
        <r>
          <rPr>
            <sz val="9"/>
            <color rgb="FF000000"/>
            <rFont val="Arial"/>
            <family val="2"/>
          </rPr>
          <t>t-3q2025exhibit992.htm (8-K 22-Oct-2025) | Other Income (Expense) - Net | 6,254</t>
        </r>
      </text>
    </comment>
    <comment ref="D42" authorId="0">
      <text>
        <r>
          <rPr>
            <sz val="9"/>
            <color rgb="FF000000"/>
            <rFont val="Arial"/>
            <family val="2"/>
          </rPr>
          <t>t-4q2025exhibit992.htm (8-K 28-Jan-2026) | Other Income (Expense) - Net | 278</t>
        </r>
      </text>
    </comment>
    <comment ref="F42" authorId="0">
      <text>
        <r>
          <rPr>
            <sz val="9"/>
            <color rgb="FF000000"/>
            <rFont val="Arial"/>
            <family val="2"/>
          </rPr>
          <t>t-1q2026exhibit992.htm / t-1q20268xk801exhibit991.htm (8-K 22-Apr-2026) | Other Income (Expense) - Net | 594</t>
        </r>
      </text>
    </comment>
    <comment ref="G42" authorId="0">
      <text>
        <r>
          <rPr>
            <sz val="9"/>
            <color rgb="FF000000"/>
            <rFont val="Arial"/>
            <family val="2"/>
          </rPr>
          <t>t-2q2026exhibit992.htm (8-K 22-Jul-2026) | Other Income (Expense) - Net | 696</t>
        </r>
      </text>
    </comment>
    <comment ref="J42" authorId="0">
      <text>
        <r>
          <rPr>
            <sz val="9"/>
            <color rgb="FF000000"/>
            <rFont val="Arial"/>
            <family val="2"/>
          </rPr>
          <t>t-3q2025exhibit992.htm (8-K 22-Oct-2025) | Other Income (Expense) - Net | 717</t>
        </r>
      </text>
    </comment>
    <comment ref="K42" authorId="0">
      <text>
        <r>
          <rPr>
            <sz val="9"/>
            <color rgb="FF000000"/>
            <rFont val="Arial"/>
            <family val="2"/>
          </rPr>
          <t>t-4q2025exhibit992.htm (8-K 28-Jan-2026) | Other Income (Expense) - Net | 569</t>
        </r>
      </text>
    </comment>
    <comment ref="L42" authorId="0">
      <text>
        <r>
          <rPr>
            <sz val="9"/>
            <color rgb="FF000000"/>
            <rFont val="Arial"/>
            <family val="2"/>
          </rPr>
          <t>t-4q2025exhibit992.htm (8-K 28-Jan-2026) | Other Income (Expense) - Net | 2,419</t>
        </r>
      </text>
    </comment>
    <comment ref="M42" authorId="0">
      <text>
        <r>
          <rPr>
            <sz val="9"/>
            <color rgb="FF000000"/>
            <rFont val="Arial"/>
            <family val="2"/>
          </rPr>
          <t>t-1q2026exhibit992.htm / t-1q20268xk801exhibit991.htm (8-K 22-Apr-2026) | Other Income (Expense) - Net | 455</t>
        </r>
      </text>
    </comment>
    <comment ref="N42" authorId="0">
      <text>
        <r>
          <rPr>
            <sz val="9"/>
            <color rgb="FF000000"/>
            <rFont val="Arial"/>
            <family val="2"/>
          </rPr>
          <t>t-2q2026exhibit992.htm (8-K 22-Jul-2026) | Other Income (Expense) - Net | 767</t>
        </r>
      </text>
    </comment>
    <comment ref="C46" authorId="0">
      <text>
        <r>
          <rPr>
            <sz val="9"/>
            <color rgb="FF000000"/>
            <rFont val="Arial"/>
            <family val="2"/>
          </rPr>
          <t>t-3q2025exhibit992.htm (8-K 22-Oct-2025) | Income tax expense | 976</t>
        </r>
      </text>
    </comment>
    <comment ref="D46" authorId="0">
      <text>
        <r>
          <rPr>
            <sz val="9"/>
            <color rgb="FF000000"/>
            <rFont val="Arial"/>
            <family val="2"/>
          </rPr>
          <t>t-4q2025exhibit992.htm (8-K 28-Jan-2026) | Income tax expense | 109</t>
        </r>
      </text>
    </comment>
    <comment ref="F46" authorId="0">
      <text>
        <r>
          <rPr>
            <sz val="9"/>
            <color rgb="FF000000"/>
            <rFont val="Arial"/>
            <family val="2"/>
          </rPr>
          <t>t-1q2026exhibit992.htm / t-1q20268xk801exhibit991.htm (8-K 22-Apr-2026) | Income tax expense | 1,179</t>
        </r>
      </text>
    </comment>
    <comment ref="G46" authorId="0">
      <text>
        <r>
          <rPr>
            <sz val="9"/>
            <color rgb="FF000000"/>
            <rFont val="Arial"/>
            <family val="2"/>
          </rPr>
          <t>t-2q2026exhibit992.htm (8-K 22-Jul-2026) | Income tax expense | 784</t>
        </r>
      </text>
    </comment>
    <comment ref="J46" authorId="0">
      <text>
        <r>
          <rPr>
            <sz val="9"/>
            <color rgb="FF000000"/>
            <rFont val="Arial"/>
            <family val="2"/>
          </rPr>
          <t>t-3q2025exhibit992.htm (8-K 22-Oct-2025) | Income tax expense | 1,285</t>
        </r>
      </text>
    </comment>
    <comment ref="K46" authorId="0">
      <text>
        <r>
          <rPr>
            <sz val="9"/>
            <color rgb="FF000000"/>
            <rFont val="Arial"/>
            <family val="2"/>
          </rPr>
          <t>t-4q2025exhibit992.htm (8-K 28-Jan-2026) | Income tax expense | 900</t>
        </r>
      </text>
    </comment>
    <comment ref="L46" authorId="0">
      <text>
        <r>
          <rPr>
            <sz val="9"/>
            <color rgb="FF000000"/>
            <rFont val="Arial"/>
            <family val="2"/>
          </rPr>
          <t>t-4q2025exhibit992.htm (8-K 28-Jan-2026) | Income tax expense | 4,445</t>
        </r>
      </text>
    </comment>
    <comment ref="M46" authorId="0">
      <text>
        <r>
          <rPr>
            <sz val="9"/>
            <color rgb="FF000000"/>
            <rFont val="Arial"/>
            <family val="2"/>
          </rPr>
          <t>t-1q2026exhibit992.htm / t-1q20268xk801exhibit991.htm (8-K 22-Apr-2026) | Income tax expense | 1,299</t>
        </r>
      </text>
    </comment>
    <comment ref="N46" authorId="0">
      <text>
        <r>
          <rPr>
            <sz val="9"/>
            <color rgb="FF000000"/>
            <rFont val="Arial"/>
            <family val="2"/>
          </rPr>
          <t>t-2q2026exhibit992.htm (8-K 22-Jul-2026) | Income tax expense | 1,237</t>
        </r>
      </text>
    </comment>
    <comment ref="C51" authorId="0">
      <text>
        <r>
          <rPr>
            <sz val="9"/>
            <color rgb="FF000000"/>
            <rFont val="Arial"/>
            <family val="2"/>
          </rPr>
          <t>t-3q2025exhibit992.htm (8-K 22-Oct-2025) | Loss from discontinued operations, net of tax | 0</t>
        </r>
      </text>
    </comment>
    <comment ref="D51" authorId="0">
      <text>
        <r>
          <rPr>
            <sz val="9"/>
            <color rgb="FF000000"/>
            <rFont val="Arial"/>
            <family val="2"/>
          </rPr>
          <t>t-4q2025exhibit992.htm (8-K 28-Jan-2026) | Loss from discontinued operations, net of tax | 0</t>
        </r>
      </text>
    </comment>
    <comment ref="F51" authorId="0">
      <text>
        <r>
          <rPr>
            <sz val="9"/>
            <color rgb="FF000000"/>
            <rFont val="Arial"/>
            <family val="2"/>
          </rPr>
          <t>t-1q2026exhibit992.htm / t-1q20268xk801exhibit991.htm (8-K 22-Apr-2026) | Loss from discontinued operations, net of tax | (38)</t>
        </r>
      </text>
    </comment>
    <comment ref="G51" authorId="0">
      <text>
        <r>
          <rPr>
            <sz val="9"/>
            <color rgb="FF000000"/>
            <rFont val="Arial"/>
            <family val="2"/>
          </rPr>
          <t>t-2q2026exhibit992.htm (8-K 22-Jul-2026) | Loss from discontinued operations, net of tax | (28)</t>
        </r>
      </text>
    </comment>
    <comment ref="J51" authorId="0">
      <text>
        <r>
          <rPr>
            <sz val="9"/>
            <color rgb="FF000000"/>
            <rFont val="Arial"/>
            <family val="2"/>
          </rPr>
          <t>t-3q2025exhibit992.htm (8-K 22-Oct-2025) | Loss from discontinued operations, net of tax | 0</t>
        </r>
      </text>
    </comment>
    <comment ref="K51" authorId="0">
      <text>
        <r>
          <rPr>
            <sz val="9"/>
            <color rgb="FF000000"/>
            <rFont val="Arial"/>
            <family val="2"/>
          </rPr>
          <t>t-4q2025exhibit992.htm (8-K 28-Jan-2026) | Loss from discontinued operations, net of tax | 0</t>
        </r>
      </text>
    </comment>
    <comment ref="L51" authorId="0">
      <text>
        <r>
          <rPr>
            <sz val="9"/>
            <color rgb="FF000000"/>
            <rFont val="Arial"/>
            <family val="2"/>
          </rPr>
          <t>t-4q2025exhibit992.htm (8-K 28-Jan-2026) | Loss from discontinued operations, net of tax | 0</t>
        </r>
      </text>
    </comment>
    <comment ref="M51" authorId="0">
      <text>
        <r>
          <rPr>
            <sz val="9"/>
            <color rgb="FF000000"/>
            <rFont val="Arial"/>
            <family val="2"/>
          </rPr>
          <t>t-1q2026exhibit992.htm / t-1q20268xk801exhibit991.htm (8-K 22-Apr-2026) | Loss from discontinued operations, net of tax | 0</t>
        </r>
      </text>
    </comment>
    <comment ref="N51" authorId="0">
      <text>
        <r>
          <rPr>
            <sz val="9"/>
            <color rgb="FF000000"/>
            <rFont val="Arial"/>
            <family val="2"/>
          </rPr>
          <t>t-2q2026exhibit992.htm (8-K 22-Jul-2026) | Loss from discontinued operations, net of tax | 0</t>
        </r>
      </text>
    </comment>
    <comment ref="C53" authorId="0">
      <text>
        <r>
          <rPr>
            <sz val="9"/>
            <color rgb="FF000000"/>
            <rFont val="Arial"/>
            <family val="2"/>
          </rPr>
          <t>t-3q2025exhibit992.htm (8-K 22-Oct-2025) | Net Income Attributable to Noncontrolling Interest | 363</t>
        </r>
      </text>
    </comment>
    <comment ref="D53" authorId="0">
      <text>
        <r>
          <rPr>
            <sz val="9"/>
            <color rgb="FF000000"/>
            <rFont val="Arial"/>
            <family val="2"/>
          </rPr>
          <t>t-4q2025exhibit992.htm (8-K 28-Jan-2026) | Net Income Attributable to Noncontrolling Interest | 368</t>
        </r>
      </text>
    </comment>
    <comment ref="F53" authorId="0">
      <text>
        <r>
          <rPr>
            <sz val="9"/>
            <color rgb="FF000000"/>
            <rFont val="Arial"/>
            <family val="2"/>
          </rPr>
          <t>t-1q2026exhibit992.htm / t-1q20268xk801exhibit991.htm (8-K 22-Apr-2026) | Net Income Attributable to Noncontrolling Interest | 352</t>
        </r>
      </text>
    </comment>
    <comment ref="G53" authorId="0">
      <text>
        <r>
          <rPr>
            <sz val="9"/>
            <color rgb="FF000000"/>
            <rFont val="Arial"/>
            <family val="2"/>
          </rPr>
          <t>t-2q2026exhibit992.htm (8-K 22-Jul-2026) | Net Income Attributable to Noncontrolling Interest | 383</t>
        </r>
      </text>
    </comment>
    <comment ref="J53" authorId="0">
      <text>
        <r>
          <rPr>
            <sz val="9"/>
            <color rgb="FF000000"/>
            <rFont val="Arial"/>
            <family val="2"/>
          </rPr>
          <t>t-3q2025exhibit992.htm (8-K 22-Oct-2025) | Net Income Attributable to Noncontrolling Interest | 319</t>
        </r>
      </text>
    </comment>
    <comment ref="K53" authorId="0">
      <text>
        <r>
          <rPr>
            <sz val="9"/>
            <color rgb="FF000000"/>
            <rFont val="Arial"/>
            <family val="2"/>
          </rPr>
          <t>t-4q2025exhibit992.htm (8-K 28-Jan-2026) | Net Income Attributable to Noncontrolling Interest | 328</t>
        </r>
      </text>
    </comment>
    <comment ref="L53" authorId="0">
      <text>
        <r>
          <rPr>
            <sz val="9"/>
            <color rgb="FF000000"/>
            <rFont val="Arial"/>
            <family val="2"/>
          </rPr>
          <t>t-4q2025exhibit992.htm (8-K 28-Jan-2026) | Net Income Attributable to Noncontrolling Interest | 1,305</t>
        </r>
      </text>
    </comment>
    <comment ref="M53" authorId="0">
      <text>
        <r>
          <rPr>
            <sz val="9"/>
            <color rgb="FF000000"/>
            <rFont val="Arial"/>
            <family val="2"/>
          </rPr>
          <t>t-1q2026exhibit992.htm / t-1q20268xk801exhibit991.htm (8-K 22-Apr-2026) | Net Income Attributable to Noncontrolling Interest | 341</t>
        </r>
      </text>
    </comment>
    <comment ref="N53" authorId="0">
      <text>
        <r>
          <rPr>
            <sz val="9"/>
            <color rgb="FF000000"/>
            <rFont val="Arial"/>
            <family val="2"/>
          </rPr>
          <t>t-2q2026exhibit992.htm (8-K 22-Jul-2026) | Net Income Attributable to Noncontrolling Interest | 361</t>
        </r>
      </text>
    </comment>
    <comment ref="C55" authorId="0">
      <text>
        <r>
          <rPr>
            <sz val="9"/>
            <color rgb="FF000000"/>
            <rFont val="Arial"/>
            <family val="2"/>
          </rPr>
          <t>t-3q2025exhibit992.htm (8-K 22-Oct-2025) | Preferred Stock Dividends and Redemption Gain | 36</t>
        </r>
      </text>
    </comment>
    <comment ref="D55" authorId="0">
      <text>
        <r>
          <rPr>
            <sz val="9"/>
            <color rgb="FF000000"/>
            <rFont val="Arial"/>
            <family val="2"/>
          </rPr>
          <t>t-4q2025exhibit992.htm (8-K 28-Jan-2026) | Preferred Stock Dividends and Redemption Gain | 36</t>
        </r>
      </text>
    </comment>
    <comment ref="F55" authorId="0">
      <text>
        <r>
          <rPr>
            <sz val="9"/>
            <color rgb="FF000000"/>
            <rFont val="Arial"/>
            <family val="2"/>
          </rPr>
          <t>t-1q2026exhibit992.htm / t-1q20268xk801exhibit991.htm (8-K 22-Apr-2026) | Preferred Stock Dividends and Redemption Gain | 36</t>
        </r>
      </text>
    </comment>
    <comment ref="G55" authorId="0">
      <text>
        <r>
          <rPr>
            <sz val="9"/>
            <color rgb="FF000000"/>
            <rFont val="Arial"/>
            <family val="2"/>
          </rPr>
          <t>t-2q2026exhibit992.htm (8-K 22-Jul-2026) | Preferred Stock Dividends and Redemption Gain | 36</t>
        </r>
      </text>
    </comment>
    <comment ref="J55" authorId="0">
      <text>
        <r>
          <rPr>
            <sz val="9"/>
            <color rgb="FF000000"/>
            <rFont val="Arial"/>
            <family val="2"/>
          </rPr>
          <t>t-3q2025exhibit992.htm (8-K 22-Oct-2025) | Preferred Stock Dividends and Redemption Gain | 52</t>
        </r>
      </text>
    </comment>
    <comment ref="K55" authorId="0">
      <text>
        <r>
          <rPr>
            <sz val="9"/>
            <color rgb="FF000000"/>
            <rFont val="Arial"/>
            <family val="2"/>
          </rPr>
          <t>t-4q2025exhibit992.htm (8-K 28-Jan-2026) | Preferred Stock Dividends and Redemption Gain | 49</t>
        </r>
      </text>
    </comment>
    <comment ref="L55" authorId="0">
      <text>
        <r>
          <rPr>
            <sz val="9"/>
            <color rgb="FF000000"/>
            <rFont val="Arial"/>
            <family val="2"/>
          </rPr>
          <t>t-4q2025exhibit992.htm (8-K 28-Jan-2026) | Preferred Stock Dividends and Redemption Gain | 202</t>
        </r>
      </text>
    </comment>
    <comment ref="M55" authorId="0">
      <text>
        <r>
          <rPr>
            <sz val="9"/>
            <color rgb="FF000000"/>
            <rFont val="Arial"/>
            <family val="2"/>
          </rPr>
          <t>t-1q2026exhibit992.htm / t-1q20268xk801exhibit991.htm (8-K 22-Apr-2026) | Preferred Stock Dividends and Redemption Gain | (44)</t>
        </r>
      </text>
    </comment>
    <comment ref="N55" authorId="0">
      <text>
        <r>
          <rPr>
            <sz val="9"/>
            <color rgb="FF000000"/>
            <rFont val="Arial"/>
            <family val="2"/>
          </rPr>
          <t>t-2q2026exhibit992.htm (8-K 22-Jul-2026) | Preferred Stock Dividends and Redemption Gain | 36</t>
        </r>
      </text>
    </comment>
    <comment ref="J68" authorId="0">
      <text>
        <r>
          <rPr>
            <sz val="9"/>
            <color rgb="FF000000"/>
            <rFont val="Arial"/>
            <family val="2"/>
          </rPr>
          <t>t-3q2025exhibit992.htm (8-K 22-Oct-2025) | Diluted Earnings Per Share Attributable to Common Stock | $(0.03)</t>
        </r>
      </text>
    </comment>
    <comment ref="K68" authorId="0">
      <text>
        <r>
          <rPr>
            <sz val="9"/>
            <color rgb="FF000000"/>
            <rFont val="Arial"/>
            <family val="2"/>
          </rPr>
          <t>t-4q2025exhibit992.htm (8-K 28-Jan-2026) | Diluted Earnings Per Share Attributable to Common Stock | $0.56</t>
        </r>
      </text>
    </comment>
    <comment ref="L68" authorId="0">
      <text>
        <r>
          <rPr>
            <sz val="9"/>
            <color rgb="FF000000"/>
            <rFont val="Arial"/>
            <family val="2"/>
          </rPr>
          <t>t-4q2025exhibit992.htm (8-K 28-Jan-2026) | Diluted Earnings Per Share Attributable to Common Stock | $1.49</t>
        </r>
      </text>
    </comment>
    <comment ref="E68" authorId="0">
      <text>
        <r>
          <rPr>
            <sz val="9"/>
            <color rgb="FF000000"/>
            <rFont val="Arial"/>
            <family val="2"/>
          </rPr>
          <t>t-4q2025exhibit992.htm (8-K 28-Jan-2026) | Diluted Earnings Per Share Attributable to Common Stock | $3.04</t>
        </r>
      </text>
    </comment>
    <comment ref="C91" authorId="0">
      <text>
        <r>
          <rPr>
            <sz val="9"/>
            <color rgb="FF000000"/>
            <rFont val="Arial"/>
            <family val="2"/>
          </rPr>
          <t>t-3q2025exhibit993.htm (8-K 22-Oct-2025) | Adjusted EBITDA | 11,861</t>
        </r>
      </text>
    </comment>
    <comment ref="D91" authorId="0">
      <text>
        <r>
          <rPr>
            <sz val="9"/>
            <color rgb="FF000000"/>
            <rFont val="Arial"/>
            <family val="2"/>
          </rPr>
          <t>t-4q2025exhibit993.htm (8-K 28-Jan-2026) | Adjusted EBITDA | 11,236</t>
        </r>
      </text>
    </comment>
    <comment ref="F91" authorId="0">
      <text>
        <r>
          <rPr>
            <sz val="9"/>
            <color rgb="FF000000"/>
            <rFont val="Arial"/>
            <family val="2"/>
          </rPr>
          <t>t-1q2026exhibit993.htm (8-K 22-Apr-2026) | Adjusted EBITDA | 11,795</t>
        </r>
      </text>
    </comment>
    <comment ref="G91" authorId="0">
      <text>
        <r>
          <rPr>
            <sz val="9"/>
            <color rgb="FF000000"/>
            <rFont val="Arial"/>
            <family val="2"/>
          </rPr>
          <t>t-2q2026exhibit993.htm (8-K 22-Jul-2026) | Adjusted EBITDA | 12,338</t>
        </r>
      </text>
    </comment>
    <comment ref="J91" authorId="0">
      <text>
        <r>
          <rPr>
            <sz val="9"/>
            <color rgb="FF000000"/>
            <rFont val="Arial"/>
            <family val="2"/>
          </rPr>
          <t>t-3q2025exhibit993.htm (8-K 22-Oct-2025) | Adjusted EBITDA | 11,586</t>
        </r>
      </text>
    </comment>
    <comment ref="K91" authorId="0">
      <text>
        <r>
          <rPr>
            <sz val="9"/>
            <color rgb="FF000000"/>
            <rFont val="Arial"/>
            <family val="2"/>
          </rPr>
          <t>t-4q2025exhibit993.htm (8-K 28-Jan-2026) | Adjusted EBITDA | 10,791</t>
        </r>
      </text>
    </comment>
    <comment ref="L91" authorId="0">
      <text>
        <r>
          <rPr>
            <sz val="9"/>
            <color rgb="FF000000"/>
            <rFont val="Arial"/>
            <family val="2"/>
          </rPr>
          <t>t-4q2025exhibit993.htm (8-K 28-Jan-2026) | Adjusted EBITDA | 44,760</t>
        </r>
      </text>
    </comment>
    <comment ref="M91" authorId="0">
      <text>
        <r>
          <rPr>
            <sz val="9"/>
            <color rgb="FF000000"/>
            <rFont val="Arial"/>
            <family val="2"/>
          </rPr>
          <t>t-1q2026exhibit993.htm (8-K 22-Apr-2026) | Adjusted EBITDA | 11,533</t>
        </r>
      </text>
    </comment>
    <comment ref="N91" authorId="0">
      <text>
        <r>
          <rPr>
            <sz val="9"/>
            <color rgb="FF000000"/>
            <rFont val="Arial"/>
            <family val="2"/>
          </rPr>
          <t>t-2q2026exhibit993.htm (8-K 22-Jul-2026) | Adjusted EBITDA | 11,731</t>
        </r>
      </text>
    </comment>
    <comment ref="E91" authorId="0">
      <text>
        <r>
          <rPr>
            <sz val="9"/>
            <color rgb="FF000000"/>
            <rFont val="Arial"/>
            <family val="2"/>
          </rPr>
          <t>t-4q2025exhibit993.htm (8-K 28-Jan-2026) | Adjusted EBITDA | 46,361</t>
        </r>
      </text>
    </comment>
    <comment ref="C101" authorId="0">
      <text>
        <r>
          <rPr>
            <sz val="9"/>
            <color rgb="FF000000"/>
            <rFont val="Arial"/>
            <family val="2"/>
          </rPr>
          <t>t-3q2025exhibit993.htm (8-K 22-Oct-2025) | Transaction, legal and other costs | 487</t>
        </r>
      </text>
    </comment>
    <comment ref="D101" authorId="0">
      <text>
        <r>
          <rPr>
            <sz val="9"/>
            <color rgb="FF000000"/>
            <rFont val="Arial"/>
            <family val="2"/>
          </rPr>
          <t>t-4q2025exhibit993.htm (8-K 28-Jan-2026) | Transaction, legal and other costs | 12</t>
        </r>
      </text>
    </comment>
    <comment ref="F101" authorId="0">
      <text>
        <r>
          <rPr>
            <sz val="9"/>
            <color rgb="FF000000"/>
            <rFont val="Arial"/>
            <family val="2"/>
          </rPr>
          <t>t-1q2026exhibit993.htm (8-K 22-Apr-2026) | Transaction, legal and other costs | 146</t>
        </r>
      </text>
    </comment>
    <comment ref="G101" authorId="0">
      <text>
        <r>
          <rPr>
            <sz val="9"/>
            <color rgb="FF000000"/>
            <rFont val="Arial"/>
            <family val="2"/>
          </rPr>
          <t>t-2q2026exhibit993.htm (8-K 22-Jul-2026) | Transaction, legal and other costs | 149</t>
        </r>
      </text>
    </comment>
    <comment ref="J101" authorId="0">
      <text>
        <r>
          <rPr>
            <sz val="9"/>
            <color rgb="FF000000"/>
            <rFont val="Arial"/>
            <family val="2"/>
          </rPr>
          <t>t-3q2025exhibit993.htm (8-K 22-Oct-2025) | Transaction, legal and other costs | 34</t>
        </r>
      </text>
    </comment>
    <comment ref="K101" authorId="0">
      <text>
        <r>
          <rPr>
            <sz val="9"/>
            <color rgb="FF000000"/>
            <rFont val="Arial"/>
            <family val="2"/>
          </rPr>
          <t>t-4q2025exhibit993.htm (8-K 28-Jan-2026) | Transaction, legal and other costs | 22</t>
        </r>
      </text>
    </comment>
    <comment ref="L101" authorId="0">
      <text>
        <r>
          <rPr>
            <sz val="9"/>
            <color rgb="FF000000"/>
            <rFont val="Arial"/>
            <family val="2"/>
          </rPr>
          <t>t-4q2025exhibit993.htm (8-K 28-Jan-2026) | Transaction, legal and other costs | 123</t>
        </r>
      </text>
    </comment>
    <comment ref="M101" authorId="0">
      <text>
        <r>
          <rPr>
            <sz val="9"/>
            <color rgb="FF000000"/>
            <rFont val="Arial"/>
            <family val="2"/>
          </rPr>
          <t>t-1q2026exhibit993.htm (8-K 22-Apr-2026) | Transaction, legal and other costs | 79</t>
        </r>
      </text>
    </comment>
    <comment ref="N101" authorId="0">
      <text>
        <r>
          <rPr>
            <sz val="9"/>
            <color rgb="FF000000"/>
            <rFont val="Arial"/>
            <family val="2"/>
          </rPr>
          <t>t-2q2026exhibit993.htm (8-K 22-Jul-2026) | Transaction, legal and other costs | 49</t>
        </r>
      </text>
    </comment>
    <comment ref="C102" authorId="0">
      <text>
        <r>
          <rPr>
            <sz val="9"/>
            <color rgb="FF000000"/>
            <rFont val="Arial"/>
            <family val="2"/>
          </rPr>
          <t>t-3q2025exhibit993.htm (8-K 22-Oct-2025) | Benefit-related (gain) loss (operating) | (62)</t>
        </r>
      </text>
    </comment>
    <comment ref="D102" authorId="0">
      <text>
        <r>
          <rPr>
            <sz val="9"/>
            <color rgb="FF000000"/>
            <rFont val="Arial"/>
            <family val="2"/>
          </rPr>
          <t>t-4q2025exhibit993.htm (8-K 28-Jan-2026) | Benefit-related (gain) loss (operating) | (26)</t>
        </r>
      </text>
    </comment>
    <comment ref="F102" authorId="0">
      <text>
        <r>
          <rPr>
            <sz val="9"/>
            <color rgb="FF000000"/>
            <rFont val="Arial"/>
            <family val="2"/>
          </rPr>
          <t>t-1q2026exhibit993.htm (8-K 22-Apr-2026) | Benefit-related (gain) loss (operating) | 25</t>
        </r>
      </text>
    </comment>
    <comment ref="G102" authorId="0">
      <text>
        <r>
          <rPr>
            <sz val="9"/>
            <color rgb="FF000000"/>
            <rFont val="Arial"/>
            <family val="2"/>
          </rPr>
          <t>t-2q2026exhibit993.htm (8-K 22-Jul-2026) | Benefit-related (gain) loss (operating) | (101)</t>
        </r>
      </text>
    </comment>
    <comment ref="J102" authorId="0">
      <text>
        <r>
          <rPr>
            <sz val="9"/>
            <color rgb="FF000000"/>
            <rFont val="Arial"/>
            <family val="2"/>
          </rPr>
          <t>t-3q2025exhibit993.htm (8-K 22-Oct-2025) | Benefit-related (gain) loss (operating) | (73)</t>
        </r>
      </text>
    </comment>
    <comment ref="K102" authorId="0">
      <text>
        <r>
          <rPr>
            <sz val="9"/>
            <color rgb="FF000000"/>
            <rFont val="Arial"/>
            <family val="2"/>
          </rPr>
          <t>t-4q2025exhibit993.htm (8-K 28-Jan-2026) | Benefit-related (gain) loss (operating) | 55</t>
        </r>
      </text>
    </comment>
    <comment ref="L102" authorId="0">
      <text>
        <r>
          <rPr>
            <sz val="9"/>
            <color rgb="FF000000"/>
            <rFont val="Arial"/>
            <family val="2"/>
          </rPr>
          <t>t-4q2025exhibit993.htm (8-K 28-Jan-2026) | Benefit-related (gain) loss (operating) | (67)</t>
        </r>
      </text>
    </comment>
    <comment ref="M102" authorId="0">
      <text>
        <r>
          <rPr>
            <sz val="9"/>
            <color rgb="FF000000"/>
            <rFont val="Arial"/>
            <family val="2"/>
          </rPr>
          <t>t-1q2026exhibit993.htm (8-K 22-Apr-2026) | Benefit-related (gain) loss (operating) | 6</t>
        </r>
      </text>
    </comment>
    <comment ref="N102" authorId="0">
      <text>
        <r>
          <rPr>
            <sz val="9"/>
            <color rgb="FF000000"/>
            <rFont val="Arial"/>
            <family val="2"/>
          </rPr>
          <t>t-2q2026exhibit993.htm (8-K 22-Jul-2026) | Benefit-related (gain) loss (operating) | (70)</t>
        </r>
      </text>
    </comment>
    <comment ref="C104" authorId="0">
      <text>
        <r>
          <rPr>
            <sz val="9"/>
            <color rgb="FF000000"/>
            <rFont val="Arial"/>
            <family val="2"/>
          </rPr>
          <t>t-3q2025exhibit993.htm (8-K 22-Oct-2025) | Amortization of acquired intangible assets | 10</t>
        </r>
      </text>
    </comment>
    <comment ref="D104" authorId="0">
      <text>
        <r>
          <rPr>
            <sz val="9"/>
            <color rgb="FF000000"/>
            <rFont val="Arial"/>
            <family val="2"/>
          </rPr>
          <t>t-4q2025exhibit993.htm (8-K 28-Jan-2026) | Amortization of acquired intangible assets | 10</t>
        </r>
      </text>
    </comment>
    <comment ref="F104" authorId="0">
      <text>
        <r>
          <rPr>
            <sz val="9"/>
            <color rgb="FF000000"/>
            <rFont val="Arial"/>
            <family val="2"/>
          </rPr>
          <t>t-1q2026exhibit993.htm (8-K 22-Apr-2026) | Amortization of acquired intangible assets | 57</t>
        </r>
      </text>
    </comment>
    <comment ref="G104" authorId="0">
      <text>
        <r>
          <rPr>
            <sz val="9"/>
            <color rgb="FF000000"/>
            <rFont val="Arial"/>
            <family val="2"/>
          </rPr>
          <t>t-2q2026exhibit993.htm (8-K 22-Jul-2026) | Amortization of acquired intangible assets | 84</t>
        </r>
      </text>
    </comment>
    <comment ref="J104" authorId="0">
      <text>
        <r>
          <rPr>
            <sz val="9"/>
            <color rgb="FF000000"/>
            <rFont val="Arial"/>
            <family val="2"/>
          </rPr>
          <t>t-3q2025exhibit993.htm (8-K 22-Oct-2025) | Amortization of acquired intangible assets | 13</t>
        </r>
      </text>
    </comment>
    <comment ref="K104" authorId="0">
      <text>
        <r>
          <rPr>
            <sz val="9"/>
            <color rgb="FF000000"/>
            <rFont val="Arial"/>
            <family val="2"/>
          </rPr>
          <t>t-4q2025exhibit993.htm (8-K 28-Jan-2026) | Amortization of acquired intangible assets | 10</t>
        </r>
      </text>
    </comment>
    <comment ref="L104" authorId="0">
      <text>
        <r>
          <rPr>
            <sz val="9"/>
            <color rgb="FF000000"/>
            <rFont val="Arial"/>
            <family val="2"/>
          </rPr>
          <t>t-4q2025exhibit993.htm (8-K 28-Jan-2026) | Amortization of acquired intangible assets | 53</t>
        </r>
      </text>
    </comment>
    <comment ref="M104" authorId="0">
      <text>
        <r>
          <rPr>
            <sz val="9"/>
            <color rgb="FF000000"/>
            <rFont val="Arial"/>
            <family val="2"/>
          </rPr>
          <t>t-1q2026exhibit993.htm (8-K 22-Apr-2026) | Amortization of acquired intangible assets | 9</t>
        </r>
      </text>
    </comment>
    <comment ref="N104" authorId="0">
      <text>
        <r>
          <rPr>
            <sz val="9"/>
            <color rgb="FF000000"/>
            <rFont val="Arial"/>
            <family val="2"/>
          </rPr>
          <t>t-2q2026exhibit993.htm (8-K 22-Jul-2026) | Amortization of acquired intangible assets | 9</t>
        </r>
      </text>
    </comment>
    <comment ref="C105" authorId="0">
      <text>
        <r>
          <rPr>
            <sz val="9"/>
            <color rgb="FF000000"/>
            <rFont val="Arial"/>
            <family val="2"/>
          </rPr>
          <t>t-3q2025exhibit993.htm (8-K 22-Oct-2025) | Equity in net income of DIRECTV | 0</t>
        </r>
      </text>
    </comment>
    <comment ref="D105" authorId="0">
      <text>
        <r>
          <rPr>
            <sz val="9"/>
            <color rgb="FF000000"/>
            <rFont val="Arial"/>
            <family val="2"/>
          </rPr>
          <t>t-4q2025exhibit993.htm (8-K 28-Jan-2026) | Equity in net income of DIRECTV | 0</t>
        </r>
      </text>
    </comment>
    <comment ref="F105" authorId="0">
      <text>
        <r>
          <rPr>
            <sz val="9"/>
            <color rgb="FF000000"/>
            <rFont val="Arial"/>
            <family val="2"/>
          </rPr>
          <t>t-1q2026exhibit993.htm (8-K 22-Apr-2026) | Equity in net income of DIRECTV | 0</t>
        </r>
      </text>
    </comment>
    <comment ref="G105" authorId="0">
      <text>
        <r>
          <rPr>
            <sz val="9"/>
            <color rgb="FF000000"/>
            <rFont val="Arial"/>
            <family val="2"/>
          </rPr>
          <t>t-2q2026exhibit993.htm (8-K 22-Jul-2026) | Equity in net income of DIRECTV | 0</t>
        </r>
      </text>
    </comment>
    <comment ref="J105" authorId="0">
      <text>
        <r>
          <rPr>
            <sz val="9"/>
            <color rgb="FF000000"/>
            <rFont val="Arial"/>
            <family val="2"/>
          </rPr>
          <t>t-3q2025exhibit993.htm (8-K 22-Oct-2025) | Equity in net income of DIRECTV | (281)</t>
        </r>
      </text>
    </comment>
    <comment ref="K105" authorId="0">
      <text>
        <r>
          <rPr>
            <sz val="9"/>
            <color rgb="FF000000"/>
            <rFont val="Arial"/>
            <family val="2"/>
          </rPr>
          <t>t-4q2025exhibit993.htm (8-K 28-Jan-2026) | Equity in net income of DIRECTV | (1,072)</t>
        </r>
      </text>
    </comment>
    <comment ref="L105" authorId="0">
      <text>
        <r>
          <rPr>
            <sz val="9"/>
            <color rgb="FF000000"/>
            <rFont val="Arial"/>
            <family val="2"/>
          </rPr>
          <t>t-4q2025exhibit993.htm (8-K 28-Jan-2026) | Equity in net income of DIRECTV | (2,027)</t>
        </r>
      </text>
    </comment>
    <comment ref="M105" authorId="0">
      <text>
        <r>
          <rPr>
            <sz val="9"/>
            <color rgb="FF000000"/>
            <rFont val="Arial"/>
            <family val="2"/>
          </rPr>
          <t>t-1q2026exhibit993.htm (8-K 22-Apr-2026) | Equity in net income of DIRECTV | (1,423)</t>
        </r>
      </text>
    </comment>
    <comment ref="N105" authorId="0">
      <text>
        <r>
          <rPr>
            <sz val="9"/>
            <color rgb="FF000000"/>
            <rFont val="Arial"/>
            <family val="2"/>
          </rPr>
          <t>t-2q2026exhibit993.htm (8-K 22-Jul-2026) | Equity in net income of DIRECTV | (503)</t>
        </r>
      </text>
    </comment>
    <comment ref="C106" authorId="0">
      <text>
        <r>
          <rPr>
            <sz val="9"/>
            <color rgb="FF000000"/>
            <rFont val="Arial"/>
            <family val="2"/>
          </rPr>
          <t>t-3q2025exhibit993.htm (8-K 22-Oct-2025) | Gain on sale of DIRECTV | (5,479)</t>
        </r>
      </text>
    </comment>
    <comment ref="D106" authorId="0">
      <text>
        <r>
          <rPr>
            <sz val="9"/>
            <color rgb="FF000000"/>
            <rFont val="Arial"/>
            <family val="2"/>
          </rPr>
          <t>t-4q2025exhibit993.htm (8-K 28-Jan-2026) | Gain on sale of DIRECTV | (101)</t>
        </r>
      </text>
    </comment>
    <comment ref="F106" authorId="0">
      <text>
        <r>
          <rPr>
            <sz val="9"/>
            <color rgb="FF000000"/>
            <rFont val="Arial"/>
            <family val="2"/>
          </rPr>
          <t>t-1q2026exhibit993.htm (8-K 22-Apr-2026) | Gain on sale of DIRECTV | 0</t>
        </r>
      </text>
    </comment>
    <comment ref="G106" authorId="0">
      <text>
        <r>
          <rPr>
            <sz val="9"/>
            <color rgb="FF000000"/>
            <rFont val="Arial"/>
            <family val="2"/>
          </rPr>
          <t>t-2q2026exhibit993.htm (8-K 22-Jul-2026) | Gain on sale of DIRECTV | 0</t>
        </r>
      </text>
    </comment>
    <comment ref="J106" authorId="0">
      <text>
        <r>
          <rPr>
            <sz val="9"/>
            <color rgb="FF000000"/>
            <rFont val="Arial"/>
            <family val="2"/>
          </rPr>
          <t>t-3q2025exhibit993.htm (8-K 22-Oct-2025) | Gain on sale of DIRECTV | 0</t>
        </r>
      </text>
    </comment>
    <comment ref="K106" authorId="0">
      <text>
        <r>
          <rPr>
            <sz val="9"/>
            <color rgb="FF000000"/>
            <rFont val="Arial"/>
            <family val="2"/>
          </rPr>
          <t>t-4q2025exhibit993.htm (8-K 28-Jan-2026) | Gain on sale of DIRECTV | 0</t>
        </r>
      </text>
    </comment>
    <comment ref="L106" authorId="0">
      <text>
        <r>
          <rPr>
            <sz val="9"/>
            <color rgb="FF000000"/>
            <rFont val="Arial"/>
            <family val="2"/>
          </rPr>
          <t>t-4q2025exhibit993.htm (8-K 28-Jan-2026) | Gain on sale of DIRECTV | 0</t>
        </r>
      </text>
    </comment>
    <comment ref="M106" authorId="0">
      <text>
        <r>
          <rPr>
            <sz val="9"/>
            <color rgb="FF000000"/>
            <rFont val="Arial"/>
            <family val="2"/>
          </rPr>
          <t>t-1q2026exhibit993.htm (8-K 22-Apr-2026) | Gain on sale of DIRECTV | 0</t>
        </r>
      </text>
    </comment>
    <comment ref="N106" authorId="0">
      <text>
        <r>
          <rPr>
            <sz val="9"/>
            <color rgb="FF000000"/>
            <rFont val="Arial"/>
            <family val="2"/>
          </rPr>
          <t>t-2q2026exhibit993.htm (8-K 22-Jul-2026) | Gain on sale of DIRECTV | 0</t>
        </r>
      </text>
    </comment>
    <comment ref="C107" authorId="0">
      <text>
        <r>
          <rPr>
            <sz val="9"/>
            <color rgb="FF000000"/>
            <rFont val="Arial"/>
            <family val="2"/>
          </rPr>
          <t>t-3q2025exhibit993.htm (8-K 22-Oct-2025) | Benefit-related (gain) loss, impairments of investments and other | (99)</t>
        </r>
      </text>
    </comment>
    <comment ref="D107" authorId="0">
      <text>
        <r>
          <rPr>
            <sz val="9"/>
            <color rgb="FF000000"/>
            <rFont val="Arial"/>
            <family val="2"/>
          </rPr>
          <t>t-4q2025exhibit993.htm (8-K 28-Jan-2026) | Benefit-related (gain) loss, impairments of investments and other | (22)</t>
        </r>
      </text>
    </comment>
    <comment ref="F107" authorId="0">
      <text>
        <r>
          <rPr>
            <sz val="9"/>
            <color rgb="FF000000"/>
            <rFont val="Arial"/>
            <family val="2"/>
          </rPr>
          <t>t-1q2026exhibit993.htm (8-K 22-Apr-2026) | Benefit-related (gain) loss, impairments of investments and other | 28</t>
        </r>
      </text>
    </comment>
    <comment ref="G107" authorId="0">
      <text>
        <r>
          <rPr>
            <sz val="9"/>
            <color rgb="FF000000"/>
            <rFont val="Arial"/>
            <family val="2"/>
          </rPr>
          <t>t-2q2026exhibit993.htm (8-K 22-Jul-2026) | Benefit-related (gain) loss, impairments of investments and other | (89)</t>
        </r>
      </text>
    </comment>
    <comment ref="J107" authorId="0">
      <text>
        <r>
          <rPr>
            <sz val="9"/>
            <color rgb="FF000000"/>
            <rFont val="Arial"/>
            <family val="2"/>
          </rPr>
          <t>t-3q2025exhibit993.htm (8-K 22-Oct-2025) | Benefit-related (gain) loss, impairments of investments and other | (92)</t>
        </r>
      </text>
    </comment>
    <comment ref="K107" authorId="0">
      <text>
        <r>
          <rPr>
            <sz val="9"/>
            <color rgb="FF000000"/>
            <rFont val="Arial"/>
            <family val="2"/>
          </rPr>
          <t>t-4q2025exhibit993.htm (8-K 28-Jan-2026) | Benefit-related (gain) loss, impairments of investments and other | 10</t>
        </r>
      </text>
    </comment>
    <comment ref="L107" authorId="0">
      <text>
        <r>
          <rPr>
            <sz val="9"/>
            <color rgb="FF000000"/>
            <rFont val="Arial"/>
            <family val="2"/>
          </rPr>
          <t>t-4q2025exhibit993.htm (8-K 28-Jan-2026) | Benefit-related (gain) loss, impairments of investments and other | 156</t>
        </r>
      </text>
    </comment>
    <comment ref="M107" authorId="0">
      <text>
        <r>
          <rPr>
            <sz val="9"/>
            <color rgb="FF000000"/>
            <rFont val="Arial"/>
            <family val="2"/>
          </rPr>
          <t>t-1q2026exhibit993.htm (8-K 22-Apr-2026) | Benefit-related (gain) loss, impairments of investments and other | 64</t>
        </r>
      </text>
    </comment>
    <comment ref="N107" authorId="0">
      <text>
        <r>
          <rPr>
            <sz val="9"/>
            <color rgb="FF000000"/>
            <rFont val="Arial"/>
            <family val="2"/>
          </rPr>
          <t>t-2q2026exhibit993.htm (8-K 22-Jul-2026) | Benefit-related (gain) loss, impairments of investments and other | (189)</t>
        </r>
      </text>
    </comment>
    <comment ref="C108" authorId="0">
      <text>
        <r>
          <rPr>
            <sz val="9"/>
            <color rgb="FF000000"/>
            <rFont val="Arial"/>
            <family val="2"/>
          </rPr>
          <t>t-3q2025exhibit993.htm (8-K 22-Oct-2025) | Actuarial (gain) loss - net | 0</t>
        </r>
      </text>
    </comment>
    <comment ref="D108" authorId="0">
      <text>
        <r>
          <rPr>
            <sz val="9"/>
            <color rgb="FF000000"/>
            <rFont val="Arial"/>
            <family val="2"/>
          </rPr>
          <t>t-4q2025exhibit993.htm (8-K 28-Jan-2026) | Actuarial (gain) loss - net | 519</t>
        </r>
      </text>
    </comment>
    <comment ref="F108" authorId="0">
      <text>
        <r>
          <rPr>
            <sz val="9"/>
            <color rgb="FF000000"/>
            <rFont val="Arial"/>
            <family val="2"/>
          </rPr>
          <t>t-1q2026exhibit993.htm (8-K 22-Apr-2026) | Actuarial (gain) loss - net | 0</t>
        </r>
      </text>
    </comment>
    <comment ref="G108" authorId="0">
      <text>
        <r>
          <rPr>
            <sz val="9"/>
            <color rgb="FF000000"/>
            <rFont val="Arial"/>
            <family val="2"/>
          </rPr>
          <t>t-2q2026exhibit993.htm (8-K 22-Jul-2026) | Actuarial (gain) loss - net | 0</t>
        </r>
      </text>
    </comment>
    <comment ref="J108" authorId="0">
      <text>
        <r>
          <rPr>
            <sz val="9"/>
            <color rgb="FF000000"/>
            <rFont val="Arial"/>
            <family val="2"/>
          </rPr>
          <t>t-3q2025exhibit993.htm (8-K 22-Oct-2025) | Actuarial (gain) loss - net | 0</t>
        </r>
      </text>
    </comment>
    <comment ref="K108" authorId="0">
      <text>
        <r>
          <rPr>
            <sz val="9"/>
            <color rgb="FF000000"/>
            <rFont val="Arial"/>
            <family val="2"/>
          </rPr>
          <t>t-4q2025exhibit993.htm (8-K 28-Jan-2026) | Actuarial (gain) loss - net | 56</t>
        </r>
      </text>
    </comment>
    <comment ref="L108" authorId="0">
      <text>
        <r>
          <rPr>
            <sz val="9"/>
            <color rgb="FF000000"/>
            <rFont val="Arial"/>
            <family val="2"/>
          </rPr>
          <t>t-4q2025exhibit993.htm (8-K 28-Jan-2026) | Actuarial (gain) loss - net | 56</t>
        </r>
      </text>
    </comment>
    <comment ref="M108" authorId="0">
      <text>
        <r>
          <rPr>
            <sz val="9"/>
            <color rgb="FF000000"/>
            <rFont val="Arial"/>
            <family val="2"/>
          </rPr>
          <t>t-1q2026exhibit993.htm (8-K 22-Apr-2026) | Actuarial (gain) loss - net | 0</t>
        </r>
      </text>
    </comment>
    <comment ref="N108" authorId="0">
      <text>
        <r>
          <rPr>
            <sz val="9"/>
            <color rgb="FF000000"/>
            <rFont val="Arial"/>
            <family val="2"/>
          </rPr>
          <t>t-2q2026exhibit993.htm (8-K 22-Jul-2026) | Actuarial (gain) loss - net | 0</t>
        </r>
      </text>
    </comment>
    <comment ref="C110" authorId="0">
      <text>
        <r>
          <rPr>
            <sz val="9"/>
            <color rgb="FF000000"/>
            <rFont val="Arial"/>
            <family val="2"/>
          </rPr>
          <t>t-3q2025exhibit993.htm (8-K 22-Oct-2025) | Tax impact of adjustments | 67</t>
        </r>
      </text>
    </comment>
    <comment ref="D110" authorId="0">
      <text>
        <r>
          <rPr>
            <sz val="9"/>
            <color rgb="FF000000"/>
            <rFont val="Arial"/>
            <family val="2"/>
          </rPr>
          <t>t-4q2025exhibit993.htm (8-K 28-Jan-2026) | Tax impact of adjustments | 193</t>
        </r>
      </text>
    </comment>
    <comment ref="F110" authorId="0">
      <text>
        <r>
          <rPr>
            <sz val="9"/>
            <color rgb="FF000000"/>
            <rFont val="Arial"/>
            <family val="2"/>
          </rPr>
          <t>t-1q2026exhibit993.htm (8-K 22-Apr-2026) | Tax impact of adjustments | 59</t>
        </r>
      </text>
    </comment>
    <comment ref="G110" authorId="0">
      <text>
        <r>
          <rPr>
            <sz val="9"/>
            <color rgb="FF000000"/>
            <rFont val="Arial"/>
            <family val="2"/>
          </rPr>
          <t>t-2q2026exhibit993.htm (8-K 22-Jul-2026) | Tax impact of adjustments | 81</t>
        </r>
      </text>
    </comment>
    <comment ref="J110" authorId="0">
      <text>
        <r>
          <rPr>
            <sz val="9"/>
            <color rgb="FF000000"/>
            <rFont val="Arial"/>
            <family val="2"/>
          </rPr>
          <t>t-3q2025exhibit993.htm (8-K 22-Oct-2025) | Tax impact of adjustments | (88)</t>
        </r>
      </text>
    </comment>
    <comment ref="K110" authorId="0">
      <text>
        <r>
          <rPr>
            <sz val="9"/>
            <color rgb="FF000000"/>
            <rFont val="Arial"/>
            <family val="2"/>
          </rPr>
          <t>t-4q2025exhibit993.htm (8-K 28-Jan-2026) | Tax impact of adjustments | (190)</t>
        </r>
      </text>
    </comment>
    <comment ref="L110" authorId="0">
      <text>
        <r>
          <rPr>
            <sz val="9"/>
            <color rgb="FF000000"/>
            <rFont val="Arial"/>
            <family val="2"/>
          </rPr>
          <t>t-4q2025exhibit993.htm (8-K 28-Jan-2026) | Tax impact of adjustments | (221)</t>
        </r>
      </text>
    </comment>
    <comment ref="M110" authorId="0">
      <text>
        <r>
          <rPr>
            <sz val="9"/>
            <color rgb="FF000000"/>
            <rFont val="Arial"/>
            <family val="2"/>
          </rPr>
          <t>t-1q2026exhibit993.htm (8-K 22-Apr-2026) | Tax impact of adjustments | (165)</t>
        </r>
      </text>
    </comment>
    <comment ref="N110" authorId="0">
      <text>
        <r>
          <rPr>
            <sz val="9"/>
            <color rgb="FF000000"/>
            <rFont val="Arial"/>
            <family val="2"/>
          </rPr>
          <t>t-2q2026exhibit993.htm (8-K 22-Jul-2026) | Tax impact of adjustments | (168)</t>
        </r>
      </text>
    </comment>
    <comment ref="C111" authorId="0">
      <text>
        <r>
          <rPr>
            <sz val="9"/>
            <color rgb="FF000000"/>
            <rFont val="Arial"/>
            <family val="2"/>
          </rPr>
          <t>t-3q2025exhibit993.htm (8-K 22-Oct-2025) | Tax-related items | 177</t>
        </r>
      </text>
    </comment>
    <comment ref="D111" authorId="0">
      <text>
        <r>
          <rPr>
            <sz val="9"/>
            <color rgb="FF000000"/>
            <rFont val="Arial"/>
            <family val="2"/>
          </rPr>
          <t>t-4q2025exhibit993.htm (8-K 28-Jan-2026) | Tax-related items | 592</t>
        </r>
      </text>
    </comment>
    <comment ref="F111" authorId="0">
      <text>
        <r>
          <rPr>
            <sz val="9"/>
            <color rgb="FF000000"/>
            <rFont val="Arial"/>
            <family val="2"/>
          </rPr>
          <t>t-1q2026exhibit993.htm (8-K 22-Apr-2026) | Tax-related items | 0</t>
        </r>
      </text>
    </comment>
    <comment ref="G111" authorId="0">
      <text>
        <r>
          <rPr>
            <sz val="9"/>
            <color rgb="FF000000"/>
            <rFont val="Arial"/>
            <family val="2"/>
          </rPr>
          <t>t-2q2026exhibit993.htm (8-K 22-Jul-2026) | Tax-related items | 365</t>
        </r>
      </text>
    </comment>
    <comment ref="J111" authorId="0">
      <text>
        <r>
          <rPr>
            <sz val="9"/>
            <color rgb="FF000000"/>
            <rFont val="Arial"/>
            <family val="2"/>
          </rPr>
          <t>t-3q2025exhibit993.htm (8-K 22-Oct-2025) | Tax-related items | 0</t>
        </r>
      </text>
    </comment>
    <comment ref="K111" authorId="0">
      <text>
        <r>
          <rPr>
            <sz val="9"/>
            <color rgb="FF000000"/>
            <rFont val="Arial"/>
            <family val="2"/>
          </rPr>
          <t>t-4q2025exhibit993.htm (8-K 28-Jan-2026) | Tax-related items | 222</t>
        </r>
      </text>
    </comment>
    <comment ref="L111" authorId="0">
      <text>
        <r>
          <rPr>
            <sz val="9"/>
            <color rgb="FF000000"/>
            <rFont val="Arial"/>
            <family val="2"/>
          </rPr>
          <t>t-4q2025exhibit993.htm (8-K 28-Jan-2026) | Tax-related items | 222</t>
        </r>
      </text>
    </comment>
    <comment ref="M111" authorId="0">
      <text>
        <r>
          <rPr>
            <sz val="9"/>
            <color rgb="FF000000"/>
            <rFont val="Arial"/>
            <family val="2"/>
          </rPr>
          <t>t-1q2026exhibit993.htm (8-K 22-Apr-2026) | Tax-related items | 0</t>
        </r>
      </text>
    </comment>
    <comment ref="N111" authorId="0">
      <text>
        <r>
          <rPr>
            <sz val="9"/>
            <color rgb="FF000000"/>
            <rFont val="Arial"/>
            <family val="2"/>
          </rPr>
          <t>t-2q2026exhibit993.htm (8-K 22-Jul-2026) | Tax-related items | 0</t>
        </r>
      </text>
    </comment>
    <comment ref="C113" authorId="0">
      <text>
        <r>
          <rPr>
            <sz val="9"/>
            <color rgb="FF000000"/>
            <rFont val="Arial"/>
            <family val="2"/>
          </rPr>
          <t>t-3q2025exhibit993.htm (8-K 22-Oct-2025) | Preferred stock redemption gain | 0</t>
        </r>
      </text>
    </comment>
    <comment ref="D113" authorId="0">
      <text>
        <r>
          <rPr>
            <sz val="9"/>
            <color rgb="FF000000"/>
            <rFont val="Arial"/>
            <family val="2"/>
          </rPr>
          <t>t-4q2025exhibit993.htm (8-K 28-Jan-2026) | Preferred stock redemption gain | 0</t>
        </r>
      </text>
    </comment>
    <comment ref="F113" authorId="0">
      <text>
        <r>
          <rPr>
            <sz val="9"/>
            <color rgb="FF000000"/>
            <rFont val="Arial"/>
            <family val="2"/>
          </rPr>
          <t>t-1q2026exhibit993.htm (8-K 22-Apr-2026) | Preferred stock redemption gain | 0</t>
        </r>
      </text>
    </comment>
    <comment ref="G113" authorId="0">
      <text>
        <r>
          <rPr>
            <sz val="9"/>
            <color rgb="FF000000"/>
            <rFont val="Arial"/>
            <family val="2"/>
          </rPr>
          <t>t-2q2026exhibit993.htm (8-K 22-Jul-2026) | Preferred stock redemption gain | 0</t>
        </r>
      </text>
    </comment>
    <comment ref="J113" authorId="0">
      <text>
        <r>
          <rPr>
            <sz val="9"/>
            <color rgb="FF000000"/>
            <rFont val="Arial"/>
            <family val="2"/>
          </rPr>
          <t>t-3q2025exhibit993.htm (8-K 22-Oct-2025) | Preferred stock redemption gain | 0</t>
        </r>
      </text>
    </comment>
    <comment ref="K113" authorId="0">
      <text>
        <r>
          <rPr>
            <sz val="9"/>
            <color rgb="FF000000"/>
            <rFont val="Arial"/>
            <family val="2"/>
          </rPr>
          <t>t-4q2025exhibit993.htm (8-K 28-Jan-2026) | Preferred stock redemption gain | 0</t>
        </r>
      </text>
    </comment>
    <comment ref="L113" authorId="0">
      <text>
        <r>
          <rPr>
            <sz val="9"/>
            <color rgb="FF000000"/>
            <rFont val="Arial"/>
            <family val="2"/>
          </rPr>
          <t>t-4q2025exhibit993.htm (8-K 28-Jan-2026) | Preferred stock redemption gain | 0</t>
        </r>
      </text>
    </comment>
    <comment ref="M113" authorId="0">
      <text>
        <r>
          <rPr>
            <sz val="9"/>
            <color rgb="FF000000"/>
            <rFont val="Arial"/>
            <family val="2"/>
          </rPr>
          <t>t-1q2026exhibit993.htm (8-K 22-Apr-2026) | Preferred stock redemption gain | (90)</t>
        </r>
      </text>
    </comment>
    <comment ref="N113" authorId="0">
      <text>
        <r>
          <rPr>
            <sz val="9"/>
            <color rgb="FF000000"/>
            <rFont val="Arial"/>
            <family val="2"/>
          </rPr>
          <t>t-2q2026exhibit993.htm (8-K 22-Jul-2026) | Preferred stock redemption gain | 0</t>
        </r>
      </text>
    </comment>
    <comment ref="J132" authorId="0">
      <text>
        <r>
          <rPr>
            <sz val="9"/>
            <color rgb="FF000000"/>
            <rFont val="Arial"/>
            <family val="2"/>
          </rPr>
          <t>t-3q2025exhibit993.htm (8-K 22-Oct-2025) | Adjusted EPS | $0.54</t>
        </r>
      </text>
    </comment>
    <comment ref="K132" authorId="0">
      <text>
        <r>
          <rPr>
            <sz val="9"/>
            <color rgb="FF000000"/>
            <rFont val="Arial"/>
            <family val="2"/>
          </rPr>
          <t>t-4q2025exhibit993.htm (8-K 28-Jan-2026) | Adjusted EPS | $0.43</t>
        </r>
      </text>
    </comment>
    <comment ref="L132" authorId="0">
      <text>
        <r>
          <rPr>
            <sz val="9"/>
            <color rgb="FF000000"/>
            <rFont val="Arial"/>
            <family val="2"/>
          </rPr>
          <t>t-4q2025exhibit993.htm (8-K 28-Jan-2026) | Adjusted EPS | $1.95</t>
        </r>
      </text>
    </comment>
    <comment ref="E132" authorId="0">
      <text>
        <r>
          <rPr>
            <sz val="9"/>
            <color rgb="FF000000"/>
            <rFont val="Arial"/>
            <family val="2"/>
          </rPr>
          <t>t-4q2025exhibit993.htm (8-K 28-Jan-2026) | Adjusted EPS | $2.12</t>
        </r>
      </text>
    </comment>
    <comment ref="C152" authorId="0">
      <text>
        <r>
          <rPr>
            <sz val="9"/>
            <color rgb="FF000000"/>
            <rFont val="Arial"/>
            <family val="2"/>
          </rPr>
          <t>t-3q2025exhibit993.htm (8-K 22-Oct-2025) | Less: Distributions from DIRECTV / cash taxes | —</t>
        </r>
      </text>
    </comment>
    <comment ref="D152" authorId="0">
      <text>
        <r>
          <rPr>
            <sz val="9"/>
            <color rgb="FF000000"/>
            <rFont val="Arial"/>
            <family val="2"/>
          </rPr>
          <t>t-4q2025exhibit993.htm (8-K 28-Jan-2026) | Less: Distributions from DIRECTV / cash taxes | —</t>
        </r>
      </text>
    </comment>
    <comment ref="F152" authorId="0">
      <text>
        <r>
          <rPr>
            <sz val="9"/>
            <color rgb="FF000000"/>
            <rFont val="Arial"/>
            <family val="2"/>
          </rPr>
          <t>t-1q2026exhibit993.htm (8-K 22-Apr-2026) | Less: Distributions from DIRECTV / cash taxes | —</t>
        </r>
      </text>
    </comment>
    <comment ref="G152" authorId="0">
      <text>
        <r>
          <rPr>
            <sz val="9"/>
            <color rgb="FF000000"/>
            <rFont val="Arial"/>
            <family val="2"/>
          </rPr>
          <t>t-2q2026exhibit993.htm (8-K 22-Jul-2026) | Less: Distributions from DIRECTV / cash taxes | —</t>
        </r>
      </text>
    </comment>
    <comment ref="E152" authorId="0">
      <text>
        <r>
          <rPr>
            <sz val="9"/>
            <color rgb="FF000000"/>
            <rFont val="Arial"/>
            <family val="2"/>
          </rPr>
          <t>t-4q2025exhibit993.htm (8-K 28-Jan-2026) | Less: Distributions from DIRECTV (1,926) + cash taxes paid on DIRECTV 251 (Year Ended 2025) | (1,675)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9" authorId="0">
      <text>
        <r>
          <rPr>
            <sz val="9"/>
            <color rgb="FF000000"/>
            <rFont val="Arial"/>
            <family val="2"/>
          </rPr>
          <t>t-3q2025exhibit992.htm (8-K 22-Oct-2025) | Consolidated Balance Sheets - Cash and cash equivalents | 20,272</t>
        </r>
      </text>
    </comment>
    <comment ref="D9" authorId="0">
      <text>
        <r>
          <rPr>
            <sz val="9"/>
            <color rgb="FF000000"/>
            <rFont val="Arial"/>
            <family val="2"/>
          </rPr>
          <t>t-4q2025exhibit992.htm (8-K 28-Jan-2026) | Consolidated Balance Sheets - Cash and cash equivalents | 18,234</t>
        </r>
      </text>
    </comment>
    <comment ref="F9" authorId="0">
      <text>
        <r>
          <rPr>
            <sz val="9"/>
            <color rgb="FF000000"/>
            <rFont val="Arial"/>
            <family val="2"/>
          </rPr>
          <t>t-1q2026exhibit992.htm / t-1q20268xk801exhibit991.htm (8-K 22-Apr-2026) | Consolidated Balance Sheets - Cash and cash equivalents | 11,964</t>
        </r>
      </text>
    </comment>
    <comment ref="G9" authorId="0">
      <text>
        <r>
          <rPr>
            <sz val="9"/>
            <color rgb="FF000000"/>
            <rFont val="Arial"/>
            <family val="2"/>
          </rPr>
          <t>t-2q2026exhibit992.htm (8-K 22-Jul-2026) | Consolidated Balance Sheets - Cash and cash equivalents | 17,570</t>
        </r>
      </text>
    </comment>
    <comment ref="C10" authorId="0">
      <text>
        <r>
          <rPr>
            <sz val="9"/>
            <color rgb="FF000000"/>
            <rFont val="Arial"/>
            <family val="2"/>
          </rPr>
          <t>t-3q2025exhibit992.htm (8-K 22-Oct-2025) | Consolidated Balance Sheets - Accounts receivable - net | 8,936</t>
        </r>
      </text>
    </comment>
    <comment ref="D10" authorId="0">
      <text>
        <r>
          <rPr>
            <sz val="9"/>
            <color rgb="FF000000"/>
            <rFont val="Arial"/>
            <family val="2"/>
          </rPr>
          <t>t-4q2025exhibit992.htm (8-K 28-Jan-2026) | Consolidated Balance Sheets - Accounts receivable - net | 8,843</t>
        </r>
      </text>
    </comment>
    <comment ref="F10" authorId="0">
      <text>
        <r>
          <rPr>
            <sz val="9"/>
            <color rgb="FF000000"/>
            <rFont val="Arial"/>
            <family val="2"/>
          </rPr>
          <t>t-1q2026exhibit992.htm / t-1q20268xk801exhibit991.htm (8-K 22-Apr-2026) | Consolidated Balance Sheets - Accounts receivable - net | 8,335</t>
        </r>
      </text>
    </comment>
    <comment ref="G10" authorId="0">
      <text>
        <r>
          <rPr>
            <sz val="9"/>
            <color rgb="FF000000"/>
            <rFont val="Arial"/>
            <family val="2"/>
          </rPr>
          <t>t-2q2026exhibit992.htm (8-K 22-Jul-2026) | Consolidated Balance Sheets - Accounts receivable - net | 8,521</t>
        </r>
      </text>
    </comment>
    <comment ref="C11" authorId="0">
      <text>
        <r>
          <rPr>
            <sz val="9"/>
            <color rgb="FF000000"/>
            <rFont val="Arial"/>
            <family val="2"/>
          </rPr>
          <t>t-3q2025exhibit992.htm (8-K 22-Oct-2025) | Consolidated Balance Sheets - Inventories | 2,886</t>
        </r>
      </text>
    </comment>
    <comment ref="D11" authorId="0">
      <text>
        <r>
          <rPr>
            <sz val="9"/>
            <color rgb="FF000000"/>
            <rFont val="Arial"/>
            <family val="2"/>
          </rPr>
          <t>t-4q2025exhibit992.htm (8-K 28-Jan-2026) | Consolidated Balance Sheets - Inventories | 2,420</t>
        </r>
      </text>
    </comment>
    <comment ref="F11" authorId="0">
      <text>
        <r>
          <rPr>
            <sz val="9"/>
            <color rgb="FF000000"/>
            <rFont val="Arial"/>
            <family val="2"/>
          </rPr>
          <t>t-1q2026exhibit992.htm / t-1q20268xk801exhibit991.htm (8-K 22-Apr-2026) | Consolidated Balance Sheets - Inventories | 2,451</t>
        </r>
      </text>
    </comment>
    <comment ref="G11" authorId="0">
      <text>
        <r>
          <rPr>
            <sz val="9"/>
            <color rgb="FF000000"/>
            <rFont val="Arial"/>
            <family val="2"/>
          </rPr>
          <t>t-2q2026exhibit992.htm (8-K 22-Jul-2026) | Consolidated Balance Sheets - Inventories | 2,368</t>
        </r>
      </text>
    </comment>
    <comment ref="C12" authorId="0">
      <text>
        <r>
          <rPr>
            <sz val="9"/>
            <color rgb="FF000000"/>
            <rFont val="Arial"/>
            <family val="2"/>
          </rPr>
          <t>t-3q2025exhibit992.htm (8-K 22-Oct-2025) | Consolidated Balance Sheets - Prepaid and other current assets | 22,485</t>
        </r>
      </text>
    </comment>
    <comment ref="D12" authorId="0">
      <text>
        <r>
          <rPr>
            <sz val="9"/>
            <color rgb="FF000000"/>
            <rFont val="Arial"/>
            <family val="2"/>
          </rPr>
          <t>t-4q2025exhibit992.htm (8-K 28-Jan-2026) | Consolidated Balance Sheets - Prepaid and other current assets | 19,235</t>
        </r>
      </text>
    </comment>
    <comment ref="F12" authorId="0">
      <text>
        <r>
          <rPr>
            <sz val="9"/>
            <color rgb="FF000000"/>
            <rFont val="Arial"/>
            <family val="2"/>
          </rPr>
          <t>t-1q2026exhibit992.htm / t-1q20268xk801exhibit991.htm (8-K 22-Apr-2026) | Consolidated Balance Sheets - Prepaid and other current assets | 23,532</t>
        </r>
      </text>
    </comment>
    <comment ref="G12" authorId="0">
      <text>
        <r>
          <rPr>
            <sz val="9"/>
            <color rgb="FF000000"/>
            <rFont val="Arial"/>
            <family val="2"/>
          </rPr>
          <t>t-2q2026exhibit992.htm (8-K 22-Jul-2026) | Consolidated Balance Sheets - Prepaid and other current assets | 23,375</t>
        </r>
      </text>
    </comment>
    <comment ref="C14" authorId="0">
      <text>
        <r>
          <rPr>
            <sz val="9"/>
            <color rgb="FF000000"/>
            <rFont val="Arial"/>
            <family val="2"/>
          </rPr>
          <t>t-3q2025exhibit992.htm (8-K 22-Oct-2025) | Consolidated Balance Sheets - Property, plant and equipment - net | 129,922</t>
        </r>
      </text>
    </comment>
    <comment ref="D14" authorId="0">
      <text>
        <r>
          <rPr>
            <sz val="9"/>
            <color rgb="FF000000"/>
            <rFont val="Arial"/>
            <family val="2"/>
          </rPr>
          <t>t-4q2025exhibit992.htm (8-K 28-Jan-2026) | Consolidated Balance Sheets - Property, plant and equipment - net | 131,559</t>
        </r>
      </text>
    </comment>
    <comment ref="F14" authorId="0">
      <text>
        <r>
          <rPr>
            <sz val="9"/>
            <color rgb="FF000000"/>
            <rFont val="Arial"/>
            <family val="2"/>
          </rPr>
          <t>t-1q2026exhibit992.htm / t-1q20268xk801exhibit991.htm (8-K 22-Apr-2026) | Consolidated Balance Sheets - Property, plant and equipment - net | 133,124</t>
        </r>
      </text>
    </comment>
    <comment ref="G14" authorId="0">
      <text>
        <r>
          <rPr>
            <sz val="9"/>
            <color rgb="FF000000"/>
            <rFont val="Arial"/>
            <family val="2"/>
          </rPr>
          <t>t-2q2026exhibit992.htm (8-K 22-Jul-2026) | Consolidated Balance Sheets - Property, plant and equipment - net | 134,215</t>
        </r>
      </text>
    </comment>
    <comment ref="C15" authorId="0">
      <text>
        <r>
          <rPr>
            <sz val="9"/>
            <color rgb="FF000000"/>
            <rFont val="Arial"/>
            <family val="2"/>
          </rPr>
          <t>t-3q2025exhibit992.htm (8-K 22-Oct-2025) | Consolidated Balance Sheets - Goodwill - net | 63,425</t>
        </r>
      </text>
    </comment>
    <comment ref="D15" authorId="0">
      <text>
        <r>
          <rPr>
            <sz val="9"/>
            <color rgb="FF000000"/>
            <rFont val="Arial"/>
            <family val="2"/>
          </rPr>
          <t>t-4q2025exhibit992.htm (8-K 28-Jan-2026) | Consolidated Balance Sheets - Goodwill - net | 63,425</t>
        </r>
      </text>
    </comment>
    <comment ref="F15" authorId="0">
      <text>
        <r>
          <rPr>
            <sz val="9"/>
            <color rgb="FF000000"/>
            <rFont val="Arial"/>
            <family val="2"/>
          </rPr>
          <t>t-1q2026exhibit992.htm / t-1q20268xk801exhibit991.htm (8-K 22-Apr-2026) | Consolidated Balance Sheets - Goodwill - net | 63,838</t>
        </r>
      </text>
    </comment>
    <comment ref="G15" authorId="0">
      <text>
        <r>
          <rPr>
            <sz val="9"/>
            <color rgb="FF000000"/>
            <rFont val="Arial"/>
            <family val="2"/>
          </rPr>
          <t>t-2q2026exhibit992.htm (8-K 22-Jul-2026) | Consolidated Balance Sheets - Goodwill - net | 63,865</t>
        </r>
      </text>
    </comment>
    <comment ref="C16" authorId="0">
      <text>
        <r>
          <rPr>
            <sz val="9"/>
            <color rgb="FF000000"/>
            <rFont val="Arial"/>
            <family val="2"/>
          </rPr>
          <t>t-3q2025exhibit992.htm (8-K 22-Oct-2025) | Consolidated Balance Sheets - Licenses - net | 127,771</t>
        </r>
      </text>
    </comment>
    <comment ref="D16" authorId="0">
      <text>
        <r>
          <rPr>
            <sz val="9"/>
            <color rgb="FF000000"/>
            <rFont val="Arial"/>
            <family val="2"/>
          </rPr>
          <t>t-4q2025exhibit992.htm (8-K 28-Jan-2026) | Consolidated Balance Sheets - Licenses - net | 128,148</t>
        </r>
      </text>
    </comment>
    <comment ref="F16" authorId="0">
      <text>
        <r>
          <rPr>
            <sz val="9"/>
            <color rgb="FF000000"/>
            <rFont val="Arial"/>
            <family val="2"/>
          </rPr>
          <t>t-1q2026exhibit992.htm / t-1q20268xk801exhibit991.htm (8-K 22-Apr-2026) | Consolidated Balance Sheets - Licenses - net | 129,144</t>
        </r>
      </text>
    </comment>
    <comment ref="G16" authorId="0">
      <text>
        <r>
          <rPr>
            <sz val="9"/>
            <color rgb="FF000000"/>
            <rFont val="Arial"/>
            <family val="2"/>
          </rPr>
          <t>t-2q2026exhibit992.htm (8-K 22-Jul-2026) | Consolidated Balance Sheets - Licenses - net | 129,123</t>
        </r>
      </text>
    </comment>
    <comment ref="C17" authorId="0">
      <text>
        <r>
          <rPr>
            <sz val="9"/>
            <color rgb="FF000000"/>
            <rFont val="Arial"/>
            <family val="2"/>
          </rPr>
          <t>t-3q2025exhibit992.htm (8-K 22-Oct-2025) | Consolidated Balance Sheets - Other intangible assets - net | 5,254</t>
        </r>
      </text>
    </comment>
    <comment ref="D17" authorId="0">
      <text>
        <r>
          <rPr>
            <sz val="9"/>
            <color rgb="FF000000"/>
            <rFont val="Arial"/>
            <family val="2"/>
          </rPr>
          <t>t-4q2025exhibit992.htm (8-K 28-Jan-2026) | Consolidated Balance Sheets - Other intangible assets - net | 5,254</t>
        </r>
      </text>
    </comment>
    <comment ref="F17" authorId="0">
      <text>
        <r>
          <rPr>
            <sz val="9"/>
            <color rgb="FF000000"/>
            <rFont val="Arial"/>
            <family val="2"/>
          </rPr>
          <t>t-1q2026exhibit992.htm / t-1q20268xk801exhibit991.htm (8-K 22-Apr-2026) | Consolidated Balance Sheets - Other intangible assets - net | 6,135</t>
        </r>
      </text>
    </comment>
    <comment ref="G17" authorId="0">
      <text>
        <r>
          <rPr>
            <sz val="9"/>
            <color rgb="FF000000"/>
            <rFont val="Arial"/>
            <family val="2"/>
          </rPr>
          <t>t-2q2026exhibit992.htm (8-K 22-Jul-2026) | Consolidated Balance Sheets - Other intangible assets - net | 6,063</t>
        </r>
      </text>
    </comment>
    <comment ref="C18" authorId="0">
      <text>
        <r>
          <rPr>
            <sz val="9"/>
            <color rgb="FF000000"/>
            <rFont val="Arial"/>
            <family val="2"/>
          </rPr>
          <t>t-3q2025exhibit992.htm (8-K 22-Oct-2025) | Consolidated Balance Sheets - Investments in and advances to equity affiliates | 1,056</t>
        </r>
      </text>
    </comment>
    <comment ref="D18" authorId="0">
      <text>
        <r>
          <rPr>
            <sz val="9"/>
            <color rgb="FF000000"/>
            <rFont val="Arial"/>
            <family val="2"/>
          </rPr>
          <t>t-4q2025exhibit992.htm (8-K 28-Jan-2026) | Consolidated Balance Sheets - Investments in and advances to equity affiliates | 1,106</t>
        </r>
      </text>
    </comment>
    <comment ref="F18" authorId="0">
      <text>
        <r>
          <rPr>
            <sz val="9"/>
            <color rgb="FF000000"/>
            <rFont val="Arial"/>
            <family val="2"/>
          </rPr>
          <t>t-1q2026exhibit992.htm / t-1q20268xk801exhibit991.htm (8-K 22-Apr-2026) | Consolidated Balance Sheets - Investments in and advances to equity affiliates | 1,108</t>
        </r>
      </text>
    </comment>
    <comment ref="G18" authorId="0">
      <text>
        <r>
          <rPr>
            <sz val="9"/>
            <color rgb="FF000000"/>
            <rFont val="Arial"/>
            <family val="2"/>
          </rPr>
          <t>t-2q2026exhibit992.htm (8-K 22-Jul-2026) | Consolidated Balance Sheets - Investments in and advances to equity affiliates | 1,130</t>
        </r>
      </text>
    </comment>
    <comment ref="C19" authorId="0">
      <text>
        <r>
          <rPr>
            <sz val="9"/>
            <color rgb="FF000000"/>
            <rFont val="Arial"/>
            <family val="2"/>
          </rPr>
          <t>t-3q2025exhibit992.htm (8-K 22-Oct-2025) | Consolidated Balance Sheets - Operating lease right-of-use assets | 22,654</t>
        </r>
      </text>
    </comment>
    <comment ref="D19" authorId="0">
      <text>
        <r>
          <rPr>
            <sz val="9"/>
            <color rgb="FF000000"/>
            <rFont val="Arial"/>
            <family val="2"/>
          </rPr>
          <t>t-4q2025exhibit992.htm (8-K 28-Jan-2026) | Consolidated Balance Sheets - Operating lease right-of-use assets | 22,642</t>
        </r>
      </text>
    </comment>
    <comment ref="F19" authorId="0">
      <text>
        <r>
          <rPr>
            <sz val="9"/>
            <color rgb="FF000000"/>
            <rFont val="Arial"/>
            <family val="2"/>
          </rPr>
          <t>t-1q2026exhibit992.htm / t-1q20268xk801exhibit991.htm (8-K 22-Apr-2026) | Consolidated Balance Sheets - Operating lease right-of-use assets | 22,756</t>
        </r>
      </text>
    </comment>
    <comment ref="G19" authorId="0">
      <text>
        <r>
          <rPr>
            <sz val="9"/>
            <color rgb="FF000000"/>
            <rFont val="Arial"/>
            <family val="2"/>
          </rPr>
          <t>t-2q2026exhibit992.htm (8-K 22-Jul-2026) | Consolidated Balance Sheets - Operating lease right-of-use assets | 22,781</t>
        </r>
      </text>
    </comment>
    <comment ref="C20" authorId="0">
      <text>
        <r>
          <rPr>
            <sz val="9"/>
            <color rgb="FF000000"/>
            <rFont val="Arial"/>
            <family val="2"/>
          </rPr>
          <t>t-3q2025exhibit992.htm (8-K 22-Oct-2025) | Consolidated Balance Sheets - Other assets | 18,552</t>
        </r>
      </text>
    </comment>
    <comment ref="D20" authorId="0">
      <text>
        <r>
          <rPr>
            <sz val="9"/>
            <color rgb="FF000000"/>
            <rFont val="Arial"/>
            <family val="2"/>
          </rPr>
          <t>t-4q2025exhibit992.htm (8-K 28-Jan-2026) | Consolidated Balance Sheets - Other assets | 19,332</t>
        </r>
      </text>
    </comment>
    <comment ref="F20" authorId="0">
      <text>
        <r>
          <rPr>
            <sz val="9"/>
            <color rgb="FF000000"/>
            <rFont val="Arial"/>
            <family val="2"/>
          </rPr>
          <t>t-1q2026exhibit992.htm / t-1q20268xk801exhibit991.htm (8-K 22-Apr-2026) | Consolidated Balance Sheets - Other assets | 18,801</t>
        </r>
      </text>
    </comment>
    <comment ref="G20" authorId="0">
      <text>
        <r>
          <rPr>
            <sz val="9"/>
            <color rgb="FF000000"/>
            <rFont val="Arial"/>
            <family val="2"/>
          </rPr>
          <t>t-2q2026exhibit992.htm (8-K 22-Jul-2026) | Consolidated Balance Sheets - Other assets | 19,348</t>
        </r>
      </text>
    </comment>
    <comment ref="C23" authorId="0">
      <text>
        <r>
          <rPr>
            <sz val="9"/>
            <color rgb="FF000000"/>
            <rFont val="Arial"/>
            <family val="2"/>
          </rPr>
          <t>t-3q2025exhibit992.htm (8-K 22-Oct-2025) | Consolidated Balance Sheets - Debt maturing within one year | 11,378</t>
        </r>
      </text>
    </comment>
    <comment ref="D23" authorId="0">
      <text>
        <r>
          <rPr>
            <sz val="9"/>
            <color rgb="FF000000"/>
            <rFont val="Arial"/>
            <family val="2"/>
          </rPr>
          <t>t-4q2025exhibit992.htm (8-K 28-Jan-2026) | Consolidated Balance Sheets - Debt maturing within one year | 9,011</t>
        </r>
      </text>
    </comment>
    <comment ref="F23" authorId="0">
      <text>
        <r>
          <rPr>
            <sz val="9"/>
            <color rgb="FF000000"/>
            <rFont val="Arial"/>
            <family val="2"/>
          </rPr>
          <t>t-1q2026exhibit992.htm / t-1q20268xk801exhibit991.htm (8-K 22-Apr-2026) | Consolidated Balance Sheets - Debt maturing within one year | 6,818</t>
        </r>
      </text>
    </comment>
    <comment ref="G23" authorId="0">
      <text>
        <r>
          <rPr>
            <sz val="9"/>
            <color rgb="FF000000"/>
            <rFont val="Arial"/>
            <family val="2"/>
          </rPr>
          <t>t-2q2026exhibit992.htm (8-K 22-Jul-2026) | Consolidated Balance Sheets - Debt maturing within one year | 9,323</t>
        </r>
      </text>
    </comment>
    <comment ref="C24" authorId="0">
      <text>
        <r>
          <rPr>
            <sz val="9"/>
            <color rgb="FF000000"/>
            <rFont val="Arial"/>
            <family val="2"/>
          </rPr>
          <t>t-3q2025exhibit992.htm (8-K 22-Oct-2025) | Consolidated Balance Sheets - Accounts payable and accrued liabilities | 36,592</t>
        </r>
      </text>
    </comment>
    <comment ref="D24" authorId="0">
      <text>
        <r>
          <rPr>
            <sz val="9"/>
            <color rgb="FF000000"/>
            <rFont val="Arial"/>
            <family val="2"/>
          </rPr>
          <t>t-4q2025exhibit992.htm (8-K 28-Jan-2026) | Consolidated Balance Sheets - Accounts payable and accrued liabilities | 38,514</t>
        </r>
      </text>
    </comment>
    <comment ref="F24" authorId="0">
      <text>
        <r>
          <rPr>
            <sz val="9"/>
            <color rgb="FF000000"/>
            <rFont val="Arial"/>
            <family val="2"/>
          </rPr>
          <t>t-1q2026exhibit992.htm / t-1q20268xk801exhibit991.htm (8-K 22-Apr-2026) | Consolidated Balance Sheets - Accounts payable and accrued liabilities | 37,304</t>
        </r>
      </text>
    </comment>
    <comment ref="G24" authorId="0">
      <text>
        <r>
          <rPr>
            <sz val="9"/>
            <color rgb="FF000000"/>
            <rFont val="Arial"/>
            <family val="2"/>
          </rPr>
          <t>t-2q2026exhibit992.htm (8-K 22-Jul-2026) | Consolidated Balance Sheets - Accounts payable and accrued liabilities | 38,049</t>
        </r>
      </text>
    </comment>
    <comment ref="C25" authorId="0">
      <text>
        <r>
          <rPr>
            <sz val="9"/>
            <color rgb="FF000000"/>
            <rFont val="Arial"/>
            <family val="2"/>
          </rPr>
          <t>t-3q2025exhibit992.htm (8-K 22-Oct-2025) | Consolidated Balance Sheets - Advanced billings and customer deposits | 3,897</t>
        </r>
      </text>
    </comment>
    <comment ref="D25" authorId="0">
      <text>
        <r>
          <rPr>
            <sz val="9"/>
            <color rgb="FF000000"/>
            <rFont val="Arial"/>
            <family val="2"/>
          </rPr>
          <t>t-4q2025exhibit992.htm (8-K 28-Jan-2026) | Consolidated Balance Sheets - Advanced billings and customer deposits | 4,266</t>
        </r>
      </text>
    </comment>
    <comment ref="F25" authorId="0">
      <text>
        <r>
          <rPr>
            <sz val="9"/>
            <color rgb="FF000000"/>
            <rFont val="Arial"/>
            <family val="2"/>
          </rPr>
          <t>t-1q2026exhibit992.htm / t-1q20268xk801exhibit991.htm (8-K 22-Apr-2026) | Consolidated Balance Sheets - Advanced billings and customer deposits | 4,330</t>
        </r>
      </text>
    </comment>
    <comment ref="G25" authorId="0">
      <text>
        <r>
          <rPr>
            <sz val="9"/>
            <color rgb="FF000000"/>
            <rFont val="Arial"/>
            <family val="2"/>
          </rPr>
          <t>t-2q2026exhibit992.htm (8-K 22-Jul-2026) | Consolidated Balance Sheets - Advanced billings and customer deposits | 4,065</t>
        </r>
      </text>
    </comment>
    <comment ref="C26" authorId="0">
      <text>
        <r>
          <rPr>
            <sz val="9"/>
            <color rgb="FF000000"/>
            <rFont val="Arial"/>
            <family val="2"/>
          </rPr>
          <t>t-3q2025exhibit992.htm (8-K 22-Oct-2025) | Consolidated Balance Sheets - Dividends payable | 2,009</t>
        </r>
      </text>
    </comment>
    <comment ref="D26" authorId="0">
      <text>
        <r>
          <rPr>
            <sz val="9"/>
            <color rgb="FF000000"/>
            <rFont val="Arial"/>
            <family val="2"/>
          </rPr>
          <t>t-4q2025exhibit992.htm (8-K 28-Jan-2026) | Consolidated Balance Sheets - Dividends payable | 1,989</t>
        </r>
      </text>
    </comment>
    <comment ref="F26" authorId="0">
      <text>
        <r>
          <rPr>
            <sz val="9"/>
            <color rgb="FF000000"/>
            <rFont val="Arial"/>
            <family val="2"/>
          </rPr>
          <t>t-1q2026exhibit992.htm / t-1q20268xk801exhibit991.htm (8-K 22-Apr-2026) | Consolidated Balance Sheets - Dividends payable | 1,969</t>
        </r>
      </text>
    </comment>
    <comment ref="G26" authorId="0">
      <text>
        <r>
          <rPr>
            <sz val="9"/>
            <color rgb="FF000000"/>
            <rFont val="Arial"/>
            <family val="2"/>
          </rPr>
          <t>t-2q2026exhibit992.htm (8-K 22-Jul-2026) | Consolidated Balance Sheets - Dividends payable | 1,945</t>
        </r>
      </text>
    </comment>
    <comment ref="C28" authorId="0">
      <text>
        <r>
          <rPr>
            <sz val="9"/>
            <color rgb="FF000000"/>
            <rFont val="Arial"/>
            <family val="2"/>
          </rPr>
          <t>t-3q2025exhibit992.htm (8-K 22-Oct-2025) | Consolidated Balance Sheets - Long-term debt | 128,090</t>
        </r>
      </text>
    </comment>
    <comment ref="D28" authorId="0">
      <text>
        <r>
          <rPr>
            <sz val="9"/>
            <color rgb="FF000000"/>
            <rFont val="Arial"/>
            <family val="2"/>
          </rPr>
          <t>t-4q2025exhibit992.htm (8-K 28-Jan-2026) | Consolidated Balance Sheets - Long-term debt | 127,089</t>
        </r>
      </text>
    </comment>
    <comment ref="F28" authorId="0">
      <text>
        <r>
          <rPr>
            <sz val="9"/>
            <color rgb="FF000000"/>
            <rFont val="Arial"/>
            <family val="2"/>
          </rPr>
          <t>t-1q2026exhibit992.htm / t-1q20268xk801exhibit991.htm (8-K 22-Apr-2026) | Consolidated Balance Sheets - Long-term debt | 131,589</t>
        </r>
      </text>
    </comment>
    <comment ref="G28" authorId="0">
      <text>
        <r>
          <rPr>
            <sz val="9"/>
            <color rgb="FF000000"/>
            <rFont val="Arial"/>
            <family val="2"/>
          </rPr>
          <t>t-2q2026exhibit992.htm (8-K 22-Jul-2026) | Consolidated Balance Sheets - Long-term debt | 134,631</t>
        </r>
      </text>
    </comment>
    <comment ref="C29" authorId="0">
      <text>
        <r>
          <rPr>
            <sz val="9"/>
            <color rgb="FF000000"/>
            <rFont val="Arial"/>
            <family val="2"/>
          </rPr>
          <t>t-3q2025exhibit992.htm (8-K 22-Oct-2025) | Consolidated Balance Sheets - Noncurrent deferred tax liabilities | 59,304</t>
        </r>
      </text>
    </comment>
    <comment ref="D29" authorId="0">
      <text>
        <r>
          <rPr>
            <sz val="9"/>
            <color rgb="FF000000"/>
            <rFont val="Arial"/>
            <family val="2"/>
          </rPr>
          <t>t-4q2025exhibit992.htm (8-K 28-Jan-2026) | Consolidated Balance Sheets - Noncurrent deferred tax liabilities | 58,312</t>
        </r>
      </text>
    </comment>
    <comment ref="F29" authorId="0">
      <text>
        <r>
          <rPr>
            <sz val="9"/>
            <color rgb="FF000000"/>
            <rFont val="Arial"/>
            <family val="2"/>
          </rPr>
          <t>t-1q2026exhibit992.htm / t-1q20268xk801exhibit991.htm (8-K 22-Apr-2026) | Consolidated Balance Sheets - Noncurrent deferred tax liabilities | 59,113</t>
        </r>
      </text>
    </comment>
    <comment ref="G29" authorId="0">
      <text>
        <r>
          <rPr>
            <sz val="9"/>
            <color rgb="FF000000"/>
            <rFont val="Arial"/>
            <family val="2"/>
          </rPr>
          <t>t-2q2026exhibit992.htm (8-K 22-Jul-2026) | Consolidated Balance Sheets - Noncurrent deferred tax liabilities | 60,401</t>
        </r>
      </text>
    </comment>
    <comment ref="C30" authorId="0">
      <text>
        <r>
          <rPr>
            <sz val="9"/>
            <color rgb="FF000000"/>
            <rFont val="Arial"/>
            <family val="2"/>
          </rPr>
          <t>t-3q2025exhibit992.htm (8-K 22-Oct-2025) | Consolidated Balance Sheets - Postemployment benefit obligation | 8,728</t>
        </r>
      </text>
    </comment>
    <comment ref="D30" authorId="0">
      <text>
        <r>
          <rPr>
            <sz val="9"/>
            <color rgb="FF000000"/>
            <rFont val="Arial"/>
            <family val="2"/>
          </rPr>
          <t>t-4q2025exhibit992.htm (8-K 28-Jan-2026) | Consolidated Balance Sheets - Postemployment benefit obligation | 8,478</t>
        </r>
      </text>
    </comment>
    <comment ref="F30" authorId="0">
      <text>
        <r>
          <rPr>
            <sz val="9"/>
            <color rgb="FF000000"/>
            <rFont val="Arial"/>
            <family val="2"/>
          </rPr>
          <t>t-1q2026exhibit992.htm / t-1q20268xk801exhibit991.htm (8-K 22-Apr-2026) | Consolidated Balance Sheets - Postemployment benefit obligation | 8,427</t>
        </r>
      </text>
    </comment>
    <comment ref="G30" authorId="0">
      <text>
        <r>
          <rPr>
            <sz val="9"/>
            <color rgb="FF000000"/>
            <rFont val="Arial"/>
            <family val="2"/>
          </rPr>
          <t>t-2q2026exhibit992.htm (8-K 22-Jul-2026) | Consolidated Balance Sheets - Postemployment benefit obligation | 8,267</t>
        </r>
      </text>
    </comment>
    <comment ref="C31" authorId="0">
      <text>
        <r>
          <rPr>
            <sz val="9"/>
            <color rgb="FF000000"/>
            <rFont val="Arial"/>
            <family val="2"/>
          </rPr>
          <t>t-3q2025exhibit992.htm (8-K 22-Oct-2025) | Consolidated Balance Sheets - Operating lease liabilities | 19,025</t>
        </r>
      </text>
    </comment>
    <comment ref="D31" authorId="0">
      <text>
        <r>
          <rPr>
            <sz val="9"/>
            <color rgb="FF000000"/>
            <rFont val="Arial"/>
            <family val="2"/>
          </rPr>
          <t>t-4q2025exhibit992.htm (8-K 28-Jan-2026) | Consolidated Balance Sheets - Operating lease liabilities | 18,943</t>
        </r>
      </text>
    </comment>
    <comment ref="F31" authorId="0">
      <text>
        <r>
          <rPr>
            <sz val="9"/>
            <color rgb="FF000000"/>
            <rFont val="Arial"/>
            <family val="2"/>
          </rPr>
          <t>t-1q2026exhibit992.htm / t-1q20268xk801exhibit991.htm (8-K 22-Apr-2026) | Consolidated Balance Sheets - Operating lease liabilities | 18,907</t>
        </r>
      </text>
    </comment>
    <comment ref="G31" authorId="0">
      <text>
        <r>
          <rPr>
            <sz val="9"/>
            <color rgb="FF000000"/>
            <rFont val="Arial"/>
            <family val="2"/>
          </rPr>
          <t>t-2q2026exhibit992.htm (8-K 22-Jul-2026) | Consolidated Balance Sheets - Operating lease liabilities | 18,934</t>
        </r>
      </text>
    </comment>
    <comment ref="C32" authorId="0">
      <text>
        <r>
          <rPr>
            <sz val="9"/>
            <color rgb="FF000000"/>
            <rFont val="Arial"/>
            <family val="2"/>
          </rPr>
          <t>t-3q2025exhibit992.htm (8-K 22-Oct-2025) | Consolidated Balance Sheets - Other noncurrent liabilities | 25,451</t>
        </r>
      </text>
    </comment>
    <comment ref="D32" authorId="0">
      <text>
        <r>
          <rPr>
            <sz val="9"/>
            <color rgb="FF000000"/>
            <rFont val="Arial"/>
            <family val="2"/>
          </rPr>
          <t>t-4q2025exhibit992.htm (8-K 28-Jan-2026) | Consolidated Balance Sheets - Other noncurrent liabilities | 25,104</t>
        </r>
      </text>
    </comment>
    <comment ref="F32" authorId="0">
      <text>
        <r>
          <rPr>
            <sz val="9"/>
            <color rgb="FF000000"/>
            <rFont val="Arial"/>
            <family val="2"/>
          </rPr>
          <t>t-1q2026exhibit992.htm / t-1q20268xk801exhibit991.htm (8-K 22-Apr-2026) | Consolidated Balance Sheets - Other noncurrent liabilities | 25,109</t>
        </r>
      </text>
    </comment>
    <comment ref="G32" authorId="0">
      <text>
        <r>
          <rPr>
            <sz val="9"/>
            <color rgb="FF000000"/>
            <rFont val="Arial"/>
            <family val="2"/>
          </rPr>
          <t>t-2q2026exhibit992.htm (8-K 22-Jul-2026) | Consolidated Balance Sheets - Other noncurrent liabilities | 24,305</t>
        </r>
      </text>
    </comment>
    <comment ref="C36" authorId="0">
      <text>
        <r>
          <rPr>
            <sz val="9"/>
            <color rgb="FF000000"/>
            <rFont val="Arial"/>
            <family val="2"/>
          </rPr>
          <t>t-3q2025exhibit992.htm (8-K 22-Oct-2025) | Consolidated Balance Sheets - Redeemable noncontrolling interest | 1,984</t>
        </r>
      </text>
    </comment>
    <comment ref="D36" authorId="0">
      <text>
        <r>
          <rPr>
            <sz val="9"/>
            <color rgb="FF000000"/>
            <rFont val="Arial"/>
            <family val="2"/>
          </rPr>
          <t>t-4q2025exhibit992.htm (8-K 28-Jan-2026) | Consolidated Balance Sheets - Redeemable noncontrolling interest | 2,001</t>
        </r>
      </text>
    </comment>
    <comment ref="F36" authorId="0">
      <text>
        <r>
          <rPr>
            <sz val="9"/>
            <color rgb="FF000000"/>
            <rFont val="Arial"/>
            <family val="2"/>
          </rPr>
          <t>t-1q2026exhibit992.htm / t-1q20268xk801exhibit991.htm (8-K 22-Apr-2026) | Consolidated Balance Sheets - Redeemable noncontrolling interest | 2,003</t>
        </r>
      </text>
    </comment>
    <comment ref="G36" authorId="0">
      <text>
        <r>
          <rPr>
            <sz val="9"/>
            <color rgb="FF000000"/>
            <rFont val="Arial"/>
            <family val="2"/>
          </rPr>
          <t>t-2q2026exhibit992.htm (8-K 22-Jul-2026) | Consolidated Balance Sheets - Redeemable noncontrolling interest | 2,005</t>
        </r>
      </text>
    </comment>
    <comment ref="C37" authorId="0">
      <text>
        <r>
          <rPr>
            <sz val="9"/>
            <color rgb="FF000000"/>
            <rFont val="Arial"/>
            <family val="2"/>
          </rPr>
          <t>t-3q2025exhibit992.htm (8-K 22-Oct-2025) | Consolidated Balance Sheets - Common stock | 7,621</t>
        </r>
      </text>
    </comment>
    <comment ref="D37" authorId="0">
      <text>
        <r>
          <rPr>
            <sz val="9"/>
            <color rgb="FF000000"/>
            <rFont val="Arial"/>
            <family val="2"/>
          </rPr>
          <t>t-4q2025exhibit992.htm (8-K 28-Jan-2026) | Consolidated Balance Sheets - Common stock | 7,621</t>
        </r>
      </text>
    </comment>
    <comment ref="F37" authorId="0">
      <text>
        <r>
          <rPr>
            <sz val="9"/>
            <color rgb="FF000000"/>
            <rFont val="Arial"/>
            <family val="2"/>
          </rPr>
          <t>t-1q2026exhibit992.htm / t-1q20268xk801exhibit991.htm (8-K 22-Apr-2026) | Consolidated Balance Sheets - Common stock | 7,621</t>
        </r>
      </text>
    </comment>
    <comment ref="G37" authorId="0">
      <text>
        <r>
          <rPr>
            <sz val="9"/>
            <color rgb="FF000000"/>
            <rFont val="Arial"/>
            <family val="2"/>
          </rPr>
          <t>t-2q2026exhibit992.htm (8-K 22-Jul-2026) | Consolidated Balance Sheets - Common stock | 7,621</t>
        </r>
      </text>
    </comment>
    <comment ref="C38" authorId="0">
      <text>
        <r>
          <rPr>
            <sz val="9"/>
            <color rgb="FF000000"/>
            <rFont val="Arial"/>
            <family val="2"/>
          </rPr>
          <t>t-3q2025exhibit992.htm (8-K 22-Oct-2025) | Consolidated Balance Sheets - Additional paid-in capital | 106,461</t>
        </r>
      </text>
    </comment>
    <comment ref="D38" authorId="0">
      <text>
        <r>
          <rPr>
            <sz val="9"/>
            <color rgb="FF000000"/>
            <rFont val="Arial"/>
            <family val="2"/>
          </rPr>
          <t>t-4q2025exhibit992.htm (8-K 28-Jan-2026) | Consolidated Balance Sheets - Additional paid-in capital | 106,533</t>
        </r>
      </text>
    </comment>
    <comment ref="F38" authorId="0">
      <text>
        <r>
          <rPr>
            <sz val="9"/>
            <color rgb="FF000000"/>
            <rFont val="Arial"/>
            <family val="2"/>
          </rPr>
          <t>t-1q2026exhibit992.htm / t-1q20268xk801exhibit991.htm (8-K 22-Apr-2026) | Consolidated Balance Sheets - Additional paid-in capital | 106,084</t>
        </r>
      </text>
    </comment>
    <comment ref="G38" authorId="0">
      <text>
        <r>
          <rPr>
            <sz val="9"/>
            <color rgb="FF000000"/>
            <rFont val="Arial"/>
            <family val="2"/>
          </rPr>
          <t>t-2q2026exhibit992.htm (8-K 22-Jul-2026) | Consolidated Balance Sheets - Additional paid-in capital | 106,161</t>
        </r>
      </text>
    </comment>
    <comment ref="C39" authorId="0">
      <text>
        <r>
          <rPr>
            <sz val="9"/>
            <color rgb="FF000000"/>
            <rFont val="Arial"/>
            <family val="2"/>
          </rPr>
          <t>t-3q2025exhibit992.htm (8-K 22-Oct-2025) | Consolidated Balance Sheets - Retained earnings | 13,974</t>
        </r>
      </text>
    </comment>
    <comment ref="D39" authorId="0">
      <text>
        <r>
          <rPr>
            <sz val="9"/>
            <color rgb="FF000000"/>
            <rFont val="Arial"/>
            <family val="2"/>
          </rPr>
          <t>t-4q2025exhibit992.htm (8-K 28-Jan-2026) | Consolidated Balance Sheets - Retained earnings | 15,768</t>
        </r>
      </text>
    </comment>
    <comment ref="F39" authorId="0">
      <text>
        <r>
          <rPr>
            <sz val="9"/>
            <color rgb="FF000000"/>
            <rFont val="Arial"/>
            <family val="2"/>
          </rPr>
          <t>t-1q2026exhibit992.htm / t-1q20268xk801exhibit991.htm (8-K 22-Apr-2026) | Consolidated Balance Sheets - Retained earnings | 17,620</t>
        </r>
      </text>
    </comment>
    <comment ref="G39" authorId="0">
      <text>
        <r>
          <rPr>
            <sz val="9"/>
            <color rgb="FF000000"/>
            <rFont val="Arial"/>
            <family val="2"/>
          </rPr>
          <t>t-2q2026exhibit992.htm (8-K 22-Jul-2026) | Consolidated Balance Sheets - Retained earnings | 20,293</t>
        </r>
      </text>
    </comment>
    <comment ref="C40" authorId="0">
      <text>
        <r>
          <rPr>
            <sz val="9"/>
            <color rgb="FF000000"/>
            <rFont val="Arial"/>
            <family val="2"/>
          </rPr>
          <t>t-3q2025exhibit992.htm (8-K 22-Oct-2025) | Consolidated Balance Sheets - Treasury stock | (16,700)</t>
        </r>
      </text>
    </comment>
    <comment ref="D40" authorId="0">
      <text>
        <r>
          <rPr>
            <sz val="9"/>
            <color rgb="FF000000"/>
            <rFont val="Arial"/>
            <family val="2"/>
          </rPr>
          <t>t-4q2025exhibit992.htm (8-K 28-Jan-2026) | Consolidated Balance Sheets - Treasury stock | (18,529)</t>
        </r>
      </text>
    </comment>
    <comment ref="F40" authorId="0">
      <text>
        <r>
          <rPr>
            <sz val="9"/>
            <color rgb="FF000000"/>
            <rFont val="Arial"/>
            <family val="2"/>
          </rPr>
          <t>t-1q2026exhibit992.htm / t-1q20268xk801exhibit991.htm (8-K 22-Apr-2026) | Consolidated Balance Sheets - Treasury stock | (20,273)</t>
        </r>
      </text>
    </comment>
    <comment ref="G40" authorId="0">
      <text>
        <r>
          <rPr>
            <sz val="9"/>
            <color rgb="FF000000"/>
            <rFont val="Arial"/>
            <family val="2"/>
          </rPr>
          <t>t-2q2026exhibit992.htm (8-K 22-Jul-2026) | Consolidated Balance Sheets - Treasury stock | (22,446)</t>
        </r>
      </text>
    </comment>
    <comment ref="C41" authorId="0">
      <text>
        <r>
          <rPr>
            <sz val="9"/>
            <color rgb="FF000000"/>
            <rFont val="Arial"/>
            <family val="2"/>
          </rPr>
          <t>t-3q2025exhibit992.htm (8-K 22-Oct-2025) | Consolidated Balance Sheets - Accumulated other comprehensive income (loss) | (648)</t>
        </r>
      </text>
    </comment>
    <comment ref="D41" authorId="0">
      <text>
        <r>
          <rPr>
            <sz val="9"/>
            <color rgb="FF000000"/>
            <rFont val="Arial"/>
            <family val="2"/>
          </rPr>
          <t>t-4q2025exhibit992.htm (8-K 28-Jan-2026) | Consolidated Balance Sheets - Accumulated other comprehensive income (loss) | (860)</t>
        </r>
      </text>
    </comment>
    <comment ref="F41" authorId="0">
      <text>
        <r>
          <rPr>
            <sz val="9"/>
            <color rgb="FF000000"/>
            <rFont val="Arial"/>
            <family val="2"/>
          </rPr>
          <t>t-1q2026exhibit992.htm / t-1q20268xk801exhibit991.htm (8-K 22-Apr-2026) | Consolidated Balance Sheets - Accumulated other comprehensive income (loss) | (1,392)</t>
        </r>
      </text>
    </comment>
    <comment ref="G41" authorId="0">
      <text>
        <r>
          <rPr>
            <sz val="9"/>
            <color rgb="FF000000"/>
            <rFont val="Arial"/>
            <family val="2"/>
          </rPr>
          <t>t-2q2026exhibit992.htm (8-K 22-Jul-2026) | Consolidated Balance Sheets - Accumulated other comprehensive income (loss) | (1,185)</t>
        </r>
      </text>
    </comment>
    <comment ref="C42" authorId="0">
      <text>
        <r>
          <rPr>
            <sz val="9"/>
            <color rgb="FF000000"/>
            <rFont val="Arial"/>
            <family val="2"/>
          </rPr>
          <t>t-3q2025exhibit992.htm (8-K 22-Oct-2025) | Consolidated Balance Sheets - Noncontrolling interest | 16,047</t>
        </r>
      </text>
    </comment>
    <comment ref="D42" authorId="0">
      <text>
        <r>
          <rPr>
            <sz val="9"/>
            <color rgb="FF000000"/>
            <rFont val="Arial"/>
            <family val="2"/>
          </rPr>
          <t>t-4q2025exhibit992.htm (8-K 28-Jan-2026) | Consolidated Balance Sheets - Noncontrolling interest | 15,958</t>
        </r>
      </text>
    </comment>
    <comment ref="F42" authorId="0">
      <text>
        <r>
          <rPr>
            <sz val="9"/>
            <color rgb="FF000000"/>
            <rFont val="Arial"/>
            <family val="2"/>
          </rPr>
          <t>t-1q2026exhibit992.htm / t-1q20268xk801exhibit991.htm (8-K 22-Apr-2026) | Consolidated Balance Sheets - Noncontrolling interest | 15,959</t>
        </r>
      </text>
    </comment>
    <comment ref="G42" authorId="0">
      <text>
        <r>
          <rPr>
            <sz val="9"/>
            <color rgb="FF000000"/>
            <rFont val="Arial"/>
            <family val="2"/>
          </rPr>
          <t>t-2q2026exhibit992.htm (8-K 22-Jul-2026) | Consolidated Balance Sheets - Noncontrolling interest | 15,990</t>
        </r>
      </text>
    </comment>
    <comment ref="C47" authorId="0">
      <text>
        <r>
          <rPr>
            <sz val="9"/>
            <color rgb="FF000000"/>
            <rFont val="Arial"/>
            <family val="2"/>
          </rPr>
          <t>t-3q2025exhibit992.htm (8-K 22-Oct-2025) | Total Liabilities and Stockholders' Equity | 423,213</t>
        </r>
      </text>
    </comment>
    <comment ref="D47" authorId="0">
      <text>
        <r>
          <rPr>
            <sz val="9"/>
            <color rgb="FF000000"/>
            <rFont val="Arial"/>
            <family val="2"/>
          </rPr>
          <t>t-4q2025exhibit992.htm (8-K 28-Jan-2026) | Total Liabilities and Stockholders' Equity | 420,198</t>
        </r>
      </text>
    </comment>
    <comment ref="F47" authorId="0">
      <text>
        <r>
          <rPr>
            <sz val="9"/>
            <color rgb="FF000000"/>
            <rFont val="Arial"/>
            <family val="2"/>
          </rPr>
          <t>t-1q2026exhibit992.htm / t-1q20268xk801exhibit991.htm (8-K 22-Apr-2026) | Total Liabilities and Stockholders' Equity | 421,188</t>
        </r>
      </text>
    </comment>
    <comment ref="G47" authorId="0">
      <text>
        <r>
          <rPr>
            <sz val="9"/>
            <color rgb="FF000000"/>
            <rFont val="Arial"/>
            <family val="2"/>
          </rPr>
          <t>t-2q2026exhibit992.htm (8-K 22-Jul-2026) | Total Liabilities and Stockholders' Equity | 428,359</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J9" authorId="0">
      <text>
        <r>
          <rPr>
            <sz val="9"/>
            <color rgb="FF000000"/>
            <rFont val="Arial"/>
            <family val="2"/>
          </rPr>
          <t>t-2q2026exhibit992.htm (8-K 22-Jul-2026) | Consolidated Statements of Cash Flows (6M25 YTD) - Income from continuing operations | 9,553</t>
        </r>
      </text>
    </comment>
    <comment ref="K9" authorId="0">
      <text>
        <r>
          <rPr>
            <sz val="9"/>
            <color rgb="FF000000"/>
            <rFont val="Arial"/>
            <family val="2"/>
          </rPr>
          <t>t-3q2025exhibit992.htm (8-K 22-Oct-2025) | Consolidated Statements of Cash Flows (9M25 YTD) - Income from continuing operations | 19,230</t>
        </r>
      </text>
    </comment>
    <comment ref="L9" authorId="0">
      <text>
        <r>
          <rPr>
            <sz val="9"/>
            <color rgb="FF000000"/>
            <rFont val="Arial"/>
            <family val="2"/>
          </rPr>
          <t>t-4q2025exhibit992.htm (8-K 28-Jan-2026) | Consolidated Statements of Cash Flows (FY25) - Income from continuing operations | 23,386</t>
        </r>
      </text>
    </comment>
    <comment ref="M9" authorId="0">
      <text>
        <r>
          <rPr>
            <sz val="9"/>
            <color rgb="FF000000"/>
            <rFont val="Arial"/>
            <family val="2"/>
          </rPr>
          <t>t-1q2026exhibit992.htm / t-1q20268xk801exhibit991.htm (8-K 22-Apr-2026) | Consolidated Statements of Cash Flows (3M26 YTD) - Income from continuing operations | 4,219</t>
        </r>
      </text>
    </comment>
    <comment ref="N9" authorId="0">
      <text>
        <r>
          <rPr>
            <sz val="9"/>
            <color rgb="FF000000"/>
            <rFont val="Arial"/>
            <family val="2"/>
          </rPr>
          <t>t-2q2026exhibit992.htm (8-K 22-Jul-2026) | Consolidated Statements of Cash Flows (6M26 YTD) - Income from continuing operations | 9,257</t>
        </r>
      </text>
    </comment>
    <comment ref="J10" authorId="0">
      <text>
        <r>
          <rPr>
            <sz val="9"/>
            <color rgb="FF000000"/>
            <rFont val="Arial"/>
            <family val="2"/>
          </rPr>
          <t>t-2q2026exhibit992.htm (8-K 22-Jul-2026) | Consolidated Statements of Cash Flows (6M25 YTD) - Depreciation and amortization | 10,441</t>
        </r>
      </text>
    </comment>
    <comment ref="K10" authorId="0">
      <text>
        <r>
          <rPr>
            <sz val="9"/>
            <color rgb="FF000000"/>
            <rFont val="Arial"/>
            <family val="2"/>
          </rPr>
          <t>t-3q2025exhibit992.htm (8-K 22-Oct-2025) | Consolidated Statements of Cash Flows (9M25 YTD) - Depreciation and amortization | 15,758</t>
        </r>
      </text>
    </comment>
    <comment ref="L10" authorId="0">
      <text>
        <r>
          <rPr>
            <sz val="9"/>
            <color rgb="FF000000"/>
            <rFont val="Arial"/>
            <family val="2"/>
          </rPr>
          <t>t-4q2025exhibit992.htm (8-K 28-Jan-2026) | Consolidated Statements of Cash Flows (FY25) - Depreciation and amortization | 20,886</t>
        </r>
      </text>
    </comment>
    <comment ref="M10" authorId="0">
      <text>
        <r>
          <rPr>
            <sz val="9"/>
            <color rgb="FF000000"/>
            <rFont val="Arial"/>
            <family val="2"/>
          </rPr>
          <t>t-1q2026exhibit992.htm / t-1q20268xk801exhibit991.htm (8-K 22-Apr-2026) | Consolidated Statements of Cash Flows (3M26 YTD) - Depreciation and amortization | 4,966</t>
        </r>
      </text>
    </comment>
    <comment ref="N10" authorId="0">
      <text>
        <r>
          <rPr>
            <sz val="9"/>
            <color rgb="FF000000"/>
            <rFont val="Arial"/>
            <family val="2"/>
          </rPr>
          <t>t-2q2026exhibit992.htm (8-K 22-Jul-2026) | Consolidated Statements of Cash Flows (6M26 YTD) - Depreciation and amortization | 9,932</t>
        </r>
      </text>
    </comment>
    <comment ref="J11" authorId="0">
      <text>
        <r>
          <rPr>
            <sz val="9"/>
            <color rgb="FF000000"/>
            <rFont val="Arial"/>
            <family val="2"/>
          </rPr>
          <t>t-2q2026exhibit992.htm (8-K 22-Jul-2026) | Consolidated Statements of Cash Flows (6M25 YTD) - Provision for uncollectible accounts | 1,037</t>
        </r>
      </text>
    </comment>
    <comment ref="K11" authorId="0">
      <text>
        <r>
          <rPr>
            <sz val="9"/>
            <color rgb="FF000000"/>
            <rFont val="Arial"/>
            <family val="2"/>
          </rPr>
          <t>t-3q2025exhibit992.htm (8-K 22-Oct-2025) | Consolidated Statements of Cash Flows (9M25 YTD) - Provision for uncollectible accounts | 1,592</t>
        </r>
      </text>
    </comment>
    <comment ref="L11" authorId="0">
      <text>
        <r>
          <rPr>
            <sz val="9"/>
            <color rgb="FF000000"/>
            <rFont val="Arial"/>
            <family val="2"/>
          </rPr>
          <t>t-4q2025exhibit992.htm (8-K 28-Jan-2026) | Consolidated Statements of Cash Flows (FY25) - Provision for uncollectible accounts | 2,271</t>
        </r>
      </text>
    </comment>
    <comment ref="M11" authorId="0">
      <text>
        <r>
          <rPr>
            <sz val="9"/>
            <color rgb="FF000000"/>
            <rFont val="Arial"/>
            <family val="2"/>
          </rPr>
          <t>t-1q2026exhibit992.htm / t-1q20268xk801exhibit991.htm (8-K 22-Apr-2026) | Consolidated Statements of Cash Flows (3M26 YTD) - Provision for uncollectible accounts | 560</t>
        </r>
      </text>
    </comment>
    <comment ref="N11" authorId="0">
      <text>
        <r>
          <rPr>
            <sz val="9"/>
            <color rgb="FF000000"/>
            <rFont val="Arial"/>
            <family val="2"/>
          </rPr>
          <t>t-2q2026exhibit992.htm (8-K 22-Jul-2026) | Consolidated Statements of Cash Flows (6M26 YTD) - Provision for uncollectible accounts | 1,149</t>
        </r>
      </text>
    </comment>
    <comment ref="J12" authorId="0">
      <text>
        <r>
          <rPr>
            <sz val="9"/>
            <color rgb="FF000000"/>
            <rFont val="Arial"/>
            <family val="2"/>
          </rPr>
          <t>t-2q2026exhibit992.htm (8-K 22-Jul-2026) | Consolidated Statements of Cash Flows (6M25 YTD) - Asset impairments and abandonments and restructuring | 504</t>
        </r>
      </text>
    </comment>
    <comment ref="K12" authorId="0">
      <text>
        <r>
          <rPr>
            <sz val="9"/>
            <color rgb="FF000000"/>
            <rFont val="Arial"/>
            <family val="2"/>
          </rPr>
          <t>t-3q2025exhibit992.htm (8-K 22-Oct-2025) | Consolidated Statements of Cash Flows (9M25 YTD) - Asset impairments and abandonments and restructuring | 504</t>
        </r>
      </text>
    </comment>
    <comment ref="L12" authorId="0">
      <text>
        <r>
          <rPr>
            <sz val="9"/>
            <color rgb="FF000000"/>
            <rFont val="Arial"/>
            <family val="2"/>
          </rPr>
          <t>t-4q2025exhibit992.htm (8-K 28-Jan-2026) | Consolidated Statements of Cash Flows (FY25) - Asset impairments and abandonments and restructuring | 838</t>
        </r>
      </text>
    </comment>
    <comment ref="M12" authorId="0">
      <text>
        <r>
          <rPr>
            <sz val="9"/>
            <color rgb="FF000000"/>
            <rFont val="Arial"/>
            <family val="2"/>
          </rPr>
          <t>t-1q2026exhibit992.htm / t-1q20268xk801exhibit991.htm (8-K 22-Apr-2026) | Consolidated Statements of Cash Flows (3M26 YTD) - Asset impairments and abandonments and restructuring | 0</t>
        </r>
      </text>
    </comment>
    <comment ref="N12" authorId="0">
      <text>
        <r>
          <rPr>
            <sz val="9"/>
            <color rgb="FF000000"/>
            <rFont val="Arial"/>
            <family val="2"/>
          </rPr>
          <t>t-2q2026exhibit992.htm (8-K 22-Jul-2026) | Consolidated Statements of Cash Flows (6M26 YTD) - Asset impairments and abandonments and restructuring | 286</t>
        </r>
      </text>
    </comment>
    <comment ref="J13" authorId="0">
      <text>
        <r>
          <rPr>
            <sz val="9"/>
            <color rgb="FF000000"/>
            <rFont val="Arial"/>
            <family val="2"/>
          </rPr>
          <t>t-2q2026exhibit992.htm (8-K 22-Jul-2026) | Consolidated Statements of Cash Flows (6M25 YTD) - Pension and postretirement benefit expense (credit) | (794)</t>
        </r>
      </text>
    </comment>
    <comment ref="K13" authorId="0">
      <text>
        <r>
          <rPr>
            <sz val="9"/>
            <color rgb="FF000000"/>
            <rFont val="Arial"/>
            <family val="2"/>
          </rPr>
          <t>t-3q2025exhibit992.htm (8-K 22-Oct-2025) | Consolidated Statements of Cash Flows (9M25 YTD) - Pension and postretirement benefit expense (credit) | (1,191)</t>
        </r>
      </text>
    </comment>
    <comment ref="L13" authorId="0">
      <text>
        <r>
          <rPr>
            <sz val="9"/>
            <color rgb="FF000000"/>
            <rFont val="Arial"/>
            <family val="2"/>
          </rPr>
          <t>t-4q2025exhibit992.htm (8-K 28-Jan-2026) | Consolidated Statements of Cash Flows (FY25) - Pension and postretirement benefit expense (credit) | (1,588)</t>
        </r>
      </text>
    </comment>
    <comment ref="M13" authorId="0">
      <text>
        <r>
          <rPr>
            <sz val="9"/>
            <color rgb="FF000000"/>
            <rFont val="Arial"/>
            <family val="2"/>
          </rPr>
          <t>t-1q2026exhibit992.htm / t-1q20268xk801exhibit991.htm (8-K 22-Apr-2026) | Consolidated Statements of Cash Flows (3M26 YTD) - Pension and postretirement benefit expense (credit) | (396)</t>
        </r>
      </text>
    </comment>
    <comment ref="N13" authorId="0">
      <text>
        <r>
          <rPr>
            <sz val="9"/>
            <color rgb="FF000000"/>
            <rFont val="Arial"/>
            <family val="2"/>
          </rPr>
          <t>t-2q2026exhibit992.htm (8-K 22-Jul-2026) | Consolidated Statements of Cash Flows (6M26 YTD) - Pension and postretirement benefit expense (credit) | (791)</t>
        </r>
      </text>
    </comment>
    <comment ref="J14" authorId="0">
      <text>
        <r>
          <rPr>
            <sz val="9"/>
            <color rgb="FF000000"/>
            <rFont val="Arial"/>
            <family val="2"/>
          </rPr>
          <t>t-2q2026exhibit992.htm (8-K 22-Jul-2026) | Consolidated Statements of Cash Flows (6M25 YTD) - Actuarial (gain) loss on pension and postretirement benefits - net | 0</t>
        </r>
      </text>
    </comment>
    <comment ref="K14" authorId="0">
      <text>
        <r>
          <rPr>
            <sz val="9"/>
            <color rgb="FF000000"/>
            <rFont val="Arial"/>
            <family val="2"/>
          </rPr>
          <t>t-3q2025exhibit992.htm (8-K 22-Oct-2025) | Consolidated Statements of Cash Flows (9M25 YTD) - Actuarial (gain) loss on pension and postretirement benefits - net | 0</t>
        </r>
      </text>
    </comment>
    <comment ref="L14" authorId="0">
      <text>
        <r>
          <rPr>
            <sz val="9"/>
            <color rgb="FF000000"/>
            <rFont val="Arial"/>
            <family val="2"/>
          </rPr>
          <t>t-4q2025exhibit992.htm (8-K 28-Jan-2026) | Consolidated Statements of Cash Flows (FY25) - Actuarial (gain) loss on pension and postretirement benefits - net | 519</t>
        </r>
      </text>
    </comment>
    <comment ref="M14" authorId="0">
      <text>
        <r>
          <rPr>
            <sz val="9"/>
            <color rgb="FF000000"/>
            <rFont val="Arial"/>
            <family val="2"/>
          </rPr>
          <t>t-1q2026exhibit992.htm / t-1q20268xk801exhibit991.htm (8-K 22-Apr-2026) | Consolidated Statements of Cash Flows (3M26 YTD) - Actuarial (gain) loss on pension and postretirement benefits - net | 0</t>
        </r>
      </text>
    </comment>
    <comment ref="N14" authorId="0">
      <text>
        <r>
          <rPr>
            <sz val="9"/>
            <color rgb="FF000000"/>
            <rFont val="Arial"/>
            <family val="2"/>
          </rPr>
          <t>t-2q2026exhibit992.htm (8-K 22-Jul-2026) | Consolidated Statements of Cash Flows (6M26 YTD) - Actuarial (gain) loss on pension and postretirement benefits - net | 0</t>
        </r>
      </text>
    </comment>
    <comment ref="J15" authorId="0">
      <text>
        <r>
          <rPr>
            <sz val="9"/>
            <color rgb="FF000000"/>
            <rFont val="Arial"/>
            <family val="2"/>
          </rPr>
          <t>t-2q2026exhibit992.htm (8-K 22-Jul-2026) | Consolidated Statements of Cash Flows (6M25 YTD) - Net (gain) loss on investments | (31)</t>
        </r>
      </text>
    </comment>
    <comment ref="K15" authorId="0">
      <text>
        <r>
          <rPr>
            <sz val="9"/>
            <color rgb="FF000000"/>
            <rFont val="Arial"/>
            <family val="2"/>
          </rPr>
          <t>t-3q2025exhibit992.htm (8-K 22-Oct-2025) | Consolidated Statements of Cash Flows (9M25 YTD) - Net (gain) loss on investments | (5,722)</t>
        </r>
      </text>
    </comment>
    <comment ref="L15" authorId="0">
      <text>
        <r>
          <rPr>
            <sz val="9"/>
            <color rgb="FF000000"/>
            <rFont val="Arial"/>
            <family val="2"/>
          </rPr>
          <t>t-4q2025exhibit992.htm (8-K 28-Jan-2026) | Consolidated Statements of Cash Flows (FY25) - Net (gain) loss on investments | (5,889)</t>
        </r>
      </text>
    </comment>
    <comment ref="M15" authorId="0">
      <text>
        <r>
          <rPr>
            <sz val="9"/>
            <color rgb="FF000000"/>
            <rFont val="Arial"/>
            <family val="2"/>
          </rPr>
          <t>t-1q2026exhibit992.htm / t-1q20268xk801exhibit991.htm (8-K 22-Apr-2026) | Consolidated Statements of Cash Flows (3M26 YTD) - Net (gain) loss on investments | 28</t>
        </r>
      </text>
    </comment>
    <comment ref="N15" authorId="0">
      <text>
        <r>
          <rPr>
            <sz val="9"/>
            <color rgb="FF000000"/>
            <rFont val="Arial"/>
            <family val="2"/>
          </rPr>
          <t>t-2q2026exhibit992.htm (8-K 22-Jul-2026) | Consolidated Statements of Cash Flows (6M26 YTD) - Net (gain) loss on investments | (170)</t>
        </r>
      </text>
    </comment>
    <comment ref="J16" authorId="0">
      <text>
        <r>
          <rPr>
            <sz val="9"/>
            <color rgb="FF000000"/>
            <rFont val="Arial"/>
            <family val="2"/>
          </rPr>
          <t>t-2q2026exhibit992.htm (8-K 22-Jul-2026) | Consolidated Statements of Cash Flows (6M25 YTD) - Receivables | (247)</t>
        </r>
      </text>
    </comment>
    <comment ref="K16" authorId="0">
      <text>
        <r>
          <rPr>
            <sz val="9"/>
            <color rgb="FF000000"/>
            <rFont val="Arial"/>
            <family val="2"/>
          </rPr>
          <t>t-3q2025exhibit992.htm (8-K 22-Oct-2025) | Consolidated Statements of Cash Flows (9M25 YTD) - Receivables | (613)</t>
        </r>
      </text>
    </comment>
    <comment ref="L16" authorId="0">
      <text>
        <r>
          <rPr>
            <sz val="9"/>
            <color rgb="FF000000"/>
            <rFont val="Arial"/>
            <family val="2"/>
          </rPr>
          <t>t-4q2025exhibit992.htm (8-K 28-Jan-2026) | Consolidated Statements of Cash Flows (FY25) - Receivables | (1,526)</t>
        </r>
      </text>
    </comment>
    <comment ref="M16" authorId="0">
      <text>
        <r>
          <rPr>
            <sz val="9"/>
            <color rgb="FF000000"/>
            <rFont val="Arial"/>
            <family val="2"/>
          </rPr>
          <t>t-1q2026exhibit992.htm / t-1q20268xk801exhibit991.htm (8-K 22-Apr-2026) | Consolidated Statements of Cash Flows (3M26 YTD) - Receivables | (119)</t>
        </r>
      </text>
    </comment>
    <comment ref="N16" authorId="0">
      <text>
        <r>
          <rPr>
            <sz val="9"/>
            <color rgb="FF000000"/>
            <rFont val="Arial"/>
            <family val="2"/>
          </rPr>
          <t>t-2q2026exhibit992.htm (8-K 22-Jul-2026) | Consolidated Statements of Cash Flows (6M26 YTD) - Receivables | (418)</t>
        </r>
      </text>
    </comment>
    <comment ref="J17" authorId="0">
      <text>
        <r>
          <rPr>
            <sz val="9"/>
            <color rgb="FF000000"/>
            <rFont val="Arial"/>
            <family val="2"/>
          </rPr>
          <t>t-2q2026exhibit992.htm (8-K 22-Jul-2026) | Consolidated Statements of Cash Flows (6M25 YTD) - Equipment installment receivables and related sales | 1,115</t>
        </r>
      </text>
    </comment>
    <comment ref="K17" authorId="0">
      <text>
        <r>
          <rPr>
            <sz val="9"/>
            <color rgb="FF000000"/>
            <rFont val="Arial"/>
            <family val="2"/>
          </rPr>
          <t>t-3q2025exhibit992.htm (8-K 22-Oct-2025) | Consolidated Statements of Cash Flows (9M25 YTD) - Equipment installment receivables and related sales | 806</t>
        </r>
      </text>
    </comment>
    <comment ref="L17" authorId="0">
      <text>
        <r>
          <rPr>
            <sz val="9"/>
            <color rgb="FF000000"/>
            <rFont val="Arial"/>
            <family val="2"/>
          </rPr>
          <t>t-4q2025exhibit992.htm (8-K 28-Jan-2026) | Consolidated Statements of Cash Flows (FY25) - Equipment installment receivables and related sales | 324</t>
        </r>
      </text>
    </comment>
    <comment ref="M17" authorId="0">
      <text>
        <r>
          <rPr>
            <sz val="9"/>
            <color rgb="FF000000"/>
            <rFont val="Arial"/>
            <family val="2"/>
          </rPr>
          <t>t-1q2026exhibit992.htm / t-1q20268xk801exhibit991.htm (8-K 22-Apr-2026) | Consolidated Statements of Cash Flows (3M26 YTD) - Equipment installment receivables and related sales | 255</t>
        </r>
      </text>
    </comment>
    <comment ref="N17" authorId="0">
      <text>
        <r>
          <rPr>
            <sz val="9"/>
            <color rgb="FF000000"/>
            <rFont val="Arial"/>
            <family val="2"/>
          </rPr>
          <t>t-2q2026exhibit992.htm (8-K 22-Jul-2026) | Consolidated Statements of Cash Flows (6M26 YTD) - Equipment installment receivables and related sales | (176)</t>
        </r>
      </text>
    </comment>
    <comment ref="J18" authorId="0">
      <text>
        <r>
          <rPr>
            <sz val="9"/>
            <color rgb="FF000000"/>
            <rFont val="Arial"/>
            <family val="2"/>
          </rPr>
          <t>t-2q2026exhibit992.htm (8-K 22-Jul-2026) | Consolidated Statements of Cash Flows (6M25 YTD) - Contract asset and cost deferral | (299)</t>
        </r>
      </text>
    </comment>
    <comment ref="K18" authorId="0">
      <text>
        <r>
          <rPr>
            <sz val="9"/>
            <color rgb="FF000000"/>
            <rFont val="Arial"/>
            <family val="2"/>
          </rPr>
          <t>t-3q2025exhibit992.htm (8-K 22-Oct-2025) | Consolidated Statements of Cash Flows (9M25 YTD) - Contract asset and cost deferral | (482)</t>
        </r>
      </text>
    </comment>
    <comment ref="L18" authorId="0">
      <text>
        <r>
          <rPr>
            <sz val="9"/>
            <color rgb="FF000000"/>
            <rFont val="Arial"/>
            <family val="2"/>
          </rPr>
          <t>t-4q2025exhibit992.htm (8-K 28-Jan-2026) | Consolidated Statements of Cash Flows (FY25) - Contract asset and cost deferral | (1,208)</t>
        </r>
      </text>
    </comment>
    <comment ref="M18" authorId="0">
      <text>
        <r>
          <rPr>
            <sz val="9"/>
            <color rgb="FF000000"/>
            <rFont val="Arial"/>
            <family val="2"/>
          </rPr>
          <t>t-1q2026exhibit992.htm / t-1q20268xk801exhibit991.htm (8-K 22-Apr-2026) | Consolidated Statements of Cash Flows (3M26 YTD) - Contract asset and cost deferral | (327)</t>
        </r>
      </text>
    </comment>
    <comment ref="N18" authorId="0">
      <text>
        <r>
          <rPr>
            <sz val="9"/>
            <color rgb="FF000000"/>
            <rFont val="Arial"/>
            <family val="2"/>
          </rPr>
          <t>t-2q2026exhibit992.htm (8-K 22-Jul-2026) | Consolidated Statements of Cash Flows (6M26 YTD) - Contract asset and cost deferral | (464)</t>
        </r>
      </text>
    </comment>
    <comment ref="J19" authorId="0">
      <text>
        <r>
          <rPr>
            <sz val="9"/>
            <color rgb="FF000000"/>
            <rFont val="Arial"/>
            <family val="2"/>
          </rPr>
          <t>t-2q2026exhibit992.htm (8-K 22-Jul-2026) | Consolidated Statements of Cash Flows (6M25 YTD) - Inventories, prepaid and other current assets | (317)</t>
        </r>
      </text>
    </comment>
    <comment ref="K19" authorId="0">
      <text>
        <r>
          <rPr>
            <sz val="9"/>
            <color rgb="FF000000"/>
            <rFont val="Arial"/>
            <family val="2"/>
          </rPr>
          <t>t-3q2025exhibit992.htm (8-K 22-Oct-2025) | Consolidated Statements of Cash Flows (9M25 YTD) - Inventories, prepaid and other current assets | (1,952)</t>
        </r>
      </text>
    </comment>
    <comment ref="L19" authorId="0">
      <text>
        <r>
          <rPr>
            <sz val="9"/>
            <color rgb="FF000000"/>
            <rFont val="Arial"/>
            <family val="2"/>
          </rPr>
          <t>t-4q2025exhibit992.htm (8-K 28-Jan-2026) | Consolidated Statements of Cash Flows (FY25) - Inventories, prepaid and other current assets | (460)</t>
        </r>
      </text>
    </comment>
    <comment ref="M19" authorId="0">
      <text>
        <r>
          <rPr>
            <sz val="9"/>
            <color rgb="FF000000"/>
            <rFont val="Arial"/>
            <family val="2"/>
          </rPr>
          <t>t-1q2026exhibit992.htm / t-1q20268xk801exhibit991.htm (8-K 22-Apr-2026) | Consolidated Statements of Cash Flows (3M26 YTD) - Inventories, prepaid and other current assets | (173)</t>
        </r>
      </text>
    </comment>
    <comment ref="N19" authorId="0">
      <text>
        <r>
          <rPr>
            <sz val="9"/>
            <color rgb="FF000000"/>
            <rFont val="Arial"/>
            <family val="2"/>
          </rPr>
          <t>t-2q2026exhibit992.htm (8-K 22-Jul-2026) | Consolidated Statements of Cash Flows (6M26 YTD) - Inventories, prepaid and other current assets | 320</t>
        </r>
      </text>
    </comment>
    <comment ref="J20" authorId="0">
      <text>
        <r>
          <rPr>
            <sz val="9"/>
            <color rgb="FF000000"/>
            <rFont val="Arial"/>
            <family val="2"/>
          </rPr>
          <t>t-2q2026exhibit992.htm (8-K 22-Jul-2026) | Consolidated Statements of Cash Flows (6M25 YTD) - Accounts payable and other accrued liabilities | (4,440)</t>
        </r>
      </text>
    </comment>
    <comment ref="K20" authorId="0">
      <text>
        <r>
          <rPr>
            <sz val="9"/>
            <color rgb="FF000000"/>
            <rFont val="Arial"/>
            <family val="2"/>
          </rPr>
          <t>t-3q2025exhibit992.htm (8-K 22-Oct-2025) | Consolidated Statements of Cash Flows (9M25 YTD) - Accounts payable and other accrued liabilities | (2,029)</t>
        </r>
      </text>
    </comment>
    <comment ref="L20" authorId="0">
      <text>
        <r>
          <rPr>
            <sz val="9"/>
            <color rgb="FF000000"/>
            <rFont val="Arial"/>
            <family val="2"/>
          </rPr>
          <t>t-4q2025exhibit992.htm (8-K 28-Jan-2026) | Consolidated Statements of Cash Flows (FY25) - Accounts payable and other accrued liabilities | 884</t>
        </r>
      </text>
    </comment>
    <comment ref="M20" authorId="0">
      <text>
        <r>
          <rPr>
            <sz val="9"/>
            <color rgb="FF000000"/>
            <rFont val="Arial"/>
            <family val="2"/>
          </rPr>
          <t>t-1q2026exhibit992.htm / t-1q20268xk801exhibit991.htm (8-K 22-Apr-2026) | Consolidated Statements of Cash Flows (3M26 YTD) - Accounts payable and other accrued liabilities | (2,770)</t>
        </r>
      </text>
    </comment>
    <comment ref="N20" authorId="0">
      <text>
        <r>
          <rPr>
            <sz val="9"/>
            <color rgb="FF000000"/>
            <rFont val="Arial"/>
            <family val="2"/>
          </rPr>
          <t>t-2q2026exhibit992.htm (8-K 22-Jul-2026) | Consolidated Statements of Cash Flows (6M26 YTD) - Accounts payable and other accrued liabilities | (2,565)</t>
        </r>
      </text>
    </comment>
    <comment ref="J21" authorId="0">
      <text>
        <r>
          <rPr>
            <sz val="9"/>
            <color rgb="FF000000"/>
            <rFont val="Arial"/>
            <family val="2"/>
          </rPr>
          <t>t-2q2026exhibit992.htm (8-K 22-Jul-2026) | Consolidated Statements of Cash Flows (6M25 YTD) - Changes in income taxes | 1,663</t>
        </r>
      </text>
    </comment>
    <comment ref="K21" authorId="0">
      <text>
        <r>
          <rPr>
            <sz val="9"/>
            <color rgb="FF000000"/>
            <rFont val="Arial"/>
            <family val="2"/>
          </rPr>
          <t>t-3q2025exhibit992.htm (8-K 22-Oct-2025) | Consolidated Statements of Cash Flows (9M25 YTD) - Changes in income taxes | 2,609</t>
        </r>
      </text>
    </comment>
    <comment ref="L21" authorId="0">
      <text>
        <r>
          <rPr>
            <sz val="9"/>
            <color rgb="FF000000"/>
            <rFont val="Arial"/>
            <family val="2"/>
          </rPr>
          <t>t-4q2025exhibit992.htm (8-K 28-Jan-2026) | Consolidated Statements of Cash Flows (FY25) - Changes in income taxes | 2,226</t>
        </r>
      </text>
    </comment>
    <comment ref="M21" authorId="0">
      <text>
        <r>
          <rPr>
            <sz val="9"/>
            <color rgb="FF000000"/>
            <rFont val="Arial"/>
            <family val="2"/>
          </rPr>
          <t>t-1q2026exhibit992.htm / t-1q20268xk801exhibit991.htm (8-K 22-Apr-2026) | Consolidated Statements of Cash Flows (3M26 YTD) - Changes in income taxes | 1,147</t>
        </r>
      </text>
    </comment>
    <comment ref="N21" authorId="0">
      <text>
        <r>
          <rPr>
            <sz val="9"/>
            <color rgb="FF000000"/>
            <rFont val="Arial"/>
            <family val="2"/>
          </rPr>
          <t>t-2q2026exhibit992.htm (8-K 22-Jul-2026) | Consolidated Statements of Cash Flows (6M26 YTD) - Changes in income taxes | 1,829</t>
        </r>
      </text>
    </comment>
    <comment ref="J22" authorId="0">
      <text>
        <r>
          <rPr>
            <sz val="9"/>
            <color rgb="FF000000"/>
            <rFont val="Arial"/>
            <family val="2"/>
          </rPr>
          <t>t-2q2026exhibit992.htm (8-K 22-Jul-2026) | Consolidated Statements of Cash Flows (6M25 YTD) - Postretirement claims and contributions | (103)</t>
        </r>
      </text>
    </comment>
    <comment ref="K22" authorId="0">
      <text>
        <r>
          <rPr>
            <sz val="9"/>
            <color rgb="FF000000"/>
            <rFont val="Arial"/>
            <family val="2"/>
          </rPr>
          <t>t-3q2025exhibit992.htm (8-K 22-Oct-2025) | Consolidated Statements of Cash Flows (9M25 YTD) - Postretirement claims and contributions | (593)</t>
        </r>
      </text>
    </comment>
    <comment ref="L22" authorId="0">
      <text>
        <r>
          <rPr>
            <sz val="9"/>
            <color rgb="FF000000"/>
            <rFont val="Arial"/>
            <family val="2"/>
          </rPr>
          <t>t-4q2025exhibit992.htm (8-K 28-Jan-2026) | Consolidated Statements of Cash Flows (FY25) - Postretirement claims and contributions | (1,436)</t>
        </r>
      </text>
    </comment>
    <comment ref="M22" authorId="0">
      <text>
        <r>
          <rPr>
            <sz val="9"/>
            <color rgb="FF000000"/>
            <rFont val="Arial"/>
            <family val="2"/>
          </rPr>
          <t>t-1q2026exhibit992.htm / t-1q20268xk801exhibit991.htm (8-K 22-Apr-2026) | Consolidated Statements of Cash Flows (3M26 YTD) - Postretirement claims and contributions | (72)</t>
        </r>
      </text>
    </comment>
    <comment ref="N22" authorId="0">
      <text>
        <r>
          <rPr>
            <sz val="9"/>
            <color rgb="FF000000"/>
            <rFont val="Arial"/>
            <family val="2"/>
          </rPr>
          <t>t-2q2026exhibit992.htm (8-K 22-Jul-2026) | Consolidated Statements of Cash Flows (6M26 YTD) - Postretirement claims and contributions | (264)</t>
        </r>
      </text>
    </comment>
    <comment ref="J23" authorId="0">
      <text>
        <r>
          <rPr>
            <sz val="9"/>
            <color rgb="FF000000"/>
            <rFont val="Arial"/>
            <family val="2"/>
          </rPr>
          <t>t-2q2026exhibit992.htm (8-K 22-Jul-2026) | Consolidated Statements of Cash Flows (6M25 YTD) - Other - net (operating) | 730</t>
        </r>
      </text>
    </comment>
    <comment ref="K23" authorId="0">
      <text>
        <r>
          <rPr>
            <sz val="9"/>
            <color rgb="FF000000"/>
            <rFont val="Arial"/>
            <family val="2"/>
          </rPr>
          <t>t-3q2025exhibit992.htm (8-K 22-Oct-2025) | Consolidated Statements of Cash Flows (9M25 YTD) - Other - net (operating) | 1,047</t>
        </r>
      </text>
    </comment>
    <comment ref="L23" authorId="0">
      <text>
        <r>
          <rPr>
            <sz val="9"/>
            <color rgb="FF000000"/>
            <rFont val="Arial"/>
            <family val="2"/>
          </rPr>
          <t>t-4q2025exhibit992.htm (8-K 28-Jan-2026) | Consolidated Statements of Cash Flows (FY25) - Other - net (operating) | 1,057</t>
        </r>
      </text>
    </comment>
    <comment ref="M23" authorId="0">
      <text>
        <r>
          <rPr>
            <sz val="9"/>
            <color rgb="FF000000"/>
            <rFont val="Arial"/>
            <family val="2"/>
          </rPr>
          <t>t-1q2026exhibit992.htm / t-1q20268xk801exhibit991.htm (8-K 22-Apr-2026) | Consolidated Statements of Cash Flows (3M26 YTD) - Other - net (operating) | 277</t>
        </r>
      </text>
    </comment>
    <comment ref="N23" authorId="0">
      <text>
        <r>
          <rPr>
            <sz val="9"/>
            <color rgb="FF000000"/>
            <rFont val="Arial"/>
            <family val="2"/>
          </rPr>
          <t>t-2q2026exhibit992.htm (8-K 22-Jul-2026) | Consolidated Statements of Cash Flows (6M26 YTD) - Other - net (operating) | 471</t>
        </r>
      </text>
    </comment>
    <comment ref="J26" authorId="0">
      <text>
        <r>
          <rPr>
            <sz val="9"/>
            <color rgb="FF000000"/>
            <rFont val="Arial"/>
            <family val="2"/>
          </rPr>
          <t>t-2q2026exhibit992.htm (8-K 22-Jul-2026) | Consolidated Statements of Cash Flows (6M25 YTD) - Capital expenditures | (9,174)</t>
        </r>
      </text>
    </comment>
    <comment ref="K26" authorId="0">
      <text>
        <r>
          <rPr>
            <sz val="9"/>
            <color rgb="FF000000"/>
            <rFont val="Arial"/>
            <family val="2"/>
          </rPr>
          <t>t-3q2025exhibit992.htm (8-K 22-Oct-2025) | Consolidated Statements of Cash Flows (9M25 YTD) - Capital expenditures | (14,061)</t>
        </r>
      </text>
    </comment>
    <comment ref="L26" authorId="0">
      <text>
        <r>
          <rPr>
            <sz val="9"/>
            <color rgb="FF000000"/>
            <rFont val="Arial"/>
            <family val="2"/>
          </rPr>
          <t>t-4q2025exhibit992.htm (8-K 28-Jan-2026) | Consolidated Statements of Cash Flows (FY25) - Capital expenditures | (20,842)</t>
        </r>
      </text>
    </comment>
    <comment ref="M26" authorId="0">
      <text>
        <r>
          <rPr>
            <sz val="9"/>
            <color rgb="FF000000"/>
            <rFont val="Arial"/>
            <family val="2"/>
          </rPr>
          <t>t-1q2026exhibit992.htm / t-1q20268xk801exhibit991.htm (8-K 22-Apr-2026) | Consolidated Statements of Cash Flows (3M26 YTD) - Capital expenditures | (4,877)</t>
        </r>
      </text>
    </comment>
    <comment ref="N26" authorId="0">
      <text>
        <r>
          <rPr>
            <sz val="9"/>
            <color rgb="FF000000"/>
            <rFont val="Arial"/>
            <family val="2"/>
          </rPr>
          <t>t-2q2026exhibit992.htm (8-K 22-Jul-2026) | Consolidated Statements of Cash Flows (6M26 YTD) - Capital expenditures | (10,577)</t>
        </r>
      </text>
    </comment>
    <comment ref="J27" authorId="0">
      <text>
        <r>
          <rPr>
            <sz val="9"/>
            <color rgb="FF000000"/>
            <rFont val="Arial"/>
            <family val="2"/>
          </rPr>
          <t>t-2q2026exhibit992.htm (8-K 22-Jul-2026) | Consolidated Statements of Cash Flows (6M25 YTD) - Acquisitions, net of cash acquired (incl. spectrum) | (48)</t>
        </r>
      </text>
    </comment>
    <comment ref="K27" authorId="0">
      <text>
        <r>
          <rPr>
            <sz val="9"/>
            <color rgb="FF000000"/>
            <rFont val="Arial"/>
            <family val="2"/>
          </rPr>
          <t>t-3q2025exhibit992.htm (8-K 22-Oct-2025) | Consolidated Statements of Cash Flows (9M25 YTD) - Acquisitions, net of cash acquired (incl. spectrum) | (47)</t>
        </r>
      </text>
    </comment>
    <comment ref="L27" authorId="0">
      <text>
        <r>
          <rPr>
            <sz val="9"/>
            <color rgb="FF000000"/>
            <rFont val="Arial"/>
            <family val="2"/>
          </rPr>
          <t>t-4q2025exhibit992.htm (8-K 28-Jan-2026) | Consolidated Statements of Cash Flows (FY25) - Acquisitions, net of cash acquired (incl. spectrum) | (379)</t>
        </r>
      </text>
    </comment>
    <comment ref="M27" authorId="0">
      <text>
        <r>
          <rPr>
            <sz val="9"/>
            <color rgb="FF000000"/>
            <rFont val="Arial"/>
            <family val="2"/>
          </rPr>
          <t>t-1q2026exhibit992.htm / t-1q20268xk801exhibit991.htm (8-K 22-Apr-2026) | Consolidated Statements of Cash Flows (3M26 YTD) - Acquisitions, net of cash acquired (incl. spectrum) | (2,674)</t>
        </r>
      </text>
    </comment>
    <comment ref="N27" authorId="0">
      <text>
        <r>
          <rPr>
            <sz val="9"/>
            <color rgb="FF000000"/>
            <rFont val="Arial"/>
            <family val="2"/>
          </rPr>
          <t>t-2q2026exhibit992.htm (8-K 22-Jul-2026) | Consolidated Statements of Cash Flows (6M26 YTD) - Acquisitions, net of cash acquired (incl. spectrum) | (2,725)</t>
        </r>
      </text>
    </comment>
    <comment ref="J28" authorId="0">
      <text>
        <r>
          <rPr>
            <sz val="9"/>
            <color rgb="FF000000"/>
            <rFont val="Arial"/>
            <family val="2"/>
          </rPr>
          <t>t-2q2026exhibit992.htm (8-K 22-Jul-2026) | Consolidated Statements of Cash Flows (6M25 YTD) - Dispositions | 40</t>
        </r>
      </text>
    </comment>
    <comment ref="K28" authorId="0">
      <text>
        <r>
          <rPr>
            <sz val="9"/>
            <color rgb="FF000000"/>
            <rFont val="Arial"/>
            <family val="2"/>
          </rPr>
          <t>t-3q2025exhibit992.htm (8-K 22-Oct-2025) | Consolidated Statements of Cash Flows (9M25 YTD) - Dispositions | 439</t>
        </r>
      </text>
    </comment>
    <comment ref="L28" authorId="0">
      <text>
        <r>
          <rPr>
            <sz val="9"/>
            <color rgb="FF000000"/>
            <rFont val="Arial"/>
            <family val="2"/>
          </rPr>
          <t>t-4q2025exhibit992.htm (8-K 28-Jan-2026) | Consolidated Statements of Cash Flows (FY25) - Dispositions | 3,218</t>
        </r>
      </text>
    </comment>
    <comment ref="M28" authorId="0">
      <text>
        <r>
          <rPr>
            <sz val="9"/>
            <color rgb="FF000000"/>
            <rFont val="Arial"/>
            <family val="2"/>
          </rPr>
          <t>t-1q2026exhibit992.htm / t-1q20268xk801exhibit991.htm (8-K 22-Apr-2026) | Consolidated Statements of Cash Flows (3M26 YTD) - Dispositions | 628</t>
        </r>
      </text>
    </comment>
    <comment ref="N28" authorId="0">
      <text>
        <r>
          <rPr>
            <sz val="9"/>
            <color rgb="FF000000"/>
            <rFont val="Arial"/>
            <family val="2"/>
          </rPr>
          <t>t-2q2026exhibit992.htm (8-K 22-Jul-2026) | Consolidated Statements of Cash Flows (6M26 YTD) - Dispositions | 747</t>
        </r>
      </text>
    </comment>
    <comment ref="J29" authorId="0">
      <text>
        <r>
          <rPr>
            <sz val="9"/>
            <color rgb="FF000000"/>
            <rFont val="Arial"/>
            <family val="2"/>
          </rPr>
          <t>t-2q2026exhibit992.htm (8-K 22-Jul-2026) | Consolidated Statements of Cash Flows (6M25 YTD) - (Purchases), sales and settlements of securities - net | (1,084)</t>
        </r>
      </text>
    </comment>
    <comment ref="K29" authorId="0">
      <text>
        <r>
          <rPr>
            <sz val="9"/>
            <color rgb="FF000000"/>
            <rFont val="Arial"/>
            <family val="2"/>
          </rPr>
          <t>t-3q2025exhibit992.htm (8-K 22-Oct-2025) | Consolidated Statements of Cash Flows (9M25 YTD) - (Purchases), sales and settlements of securities - net | 25</t>
        </r>
      </text>
    </comment>
    <comment ref="L29" authorId="0">
      <text>
        <r>
          <rPr>
            <sz val="9"/>
            <color rgb="FF000000"/>
            <rFont val="Arial"/>
            <family val="2"/>
          </rPr>
          <t>t-4q2025exhibit992.htm (8-K 28-Jan-2026) | Consolidated Statements of Cash Flows (FY25) - (Purchases), sales and settlements of securities - net | 181</t>
        </r>
      </text>
    </comment>
    <comment ref="M29" authorId="0">
      <text>
        <r>
          <rPr>
            <sz val="9"/>
            <color rgb="FF000000"/>
            <rFont val="Arial"/>
            <family val="2"/>
          </rPr>
          <t>t-1q2026exhibit992.htm / t-1q20268xk801exhibit991.htm (8-K 22-Apr-2026) | Consolidated Statements of Cash Flows (3M26 YTD) - (Purchases), sales and settlements of securities - net | (14)</t>
        </r>
      </text>
    </comment>
    <comment ref="N29" authorId="0">
      <text>
        <r>
          <rPr>
            <sz val="9"/>
            <color rgb="FF000000"/>
            <rFont val="Arial"/>
            <family val="2"/>
          </rPr>
          <t>t-2q2026exhibit992.htm (8-K 22-Jul-2026) | Consolidated Statements of Cash Flows (6M26 YTD) - (Purchases), sales and settlements of securities - net | (24)</t>
        </r>
      </text>
    </comment>
    <comment ref="J30" authorId="0">
      <text>
        <r>
          <rPr>
            <sz val="9"/>
            <color rgb="FF000000"/>
            <rFont val="Arial"/>
            <family val="2"/>
          </rPr>
          <t>t-2q2026exhibit992.htm (8-K 22-Jul-2026) | Consolidated Statements of Cash Flows (6M25 YTD) - Other - net (investing) | (778)</t>
        </r>
      </text>
    </comment>
    <comment ref="K30" authorId="0">
      <text>
        <r>
          <rPr>
            <sz val="9"/>
            <color rgb="FF000000"/>
            <rFont val="Arial"/>
            <family val="2"/>
          </rPr>
          <t>t-3q2025exhibit992.htm (8-K 22-Oct-2025) | Consolidated Statements of Cash Flows (9M25 YTD) - Other - net (investing) | (789)</t>
        </r>
      </text>
    </comment>
    <comment ref="L30" authorId="0">
      <text>
        <r>
          <rPr>
            <sz val="9"/>
            <color rgb="FF000000"/>
            <rFont val="Arial"/>
            <family val="2"/>
          </rPr>
          <t>t-4q2025exhibit992.htm (8-K 28-Jan-2026) | Consolidated Statements of Cash Flows (FY25) - Other - net (investing) | (955)</t>
        </r>
      </text>
    </comment>
    <comment ref="M30" authorId="0">
      <text>
        <r>
          <rPr>
            <sz val="9"/>
            <color rgb="FF000000"/>
            <rFont val="Arial"/>
            <family val="2"/>
          </rPr>
          <t>t-1q2026exhibit992.htm / t-1q20268xk801exhibit991.htm (8-K 22-Apr-2026) | Consolidated Statements of Cash Flows (3M26 YTD) - Other - net (investing) | (547)</t>
        </r>
      </text>
    </comment>
    <comment ref="N30" authorId="0">
      <text>
        <r>
          <rPr>
            <sz val="9"/>
            <color rgb="FF000000"/>
            <rFont val="Arial"/>
            <family val="2"/>
          </rPr>
          <t>t-2q2026exhibit992.htm (8-K 22-Jul-2026) | Consolidated Statements of Cash Flows (6M26 YTD) - Other - net (investing) | (654)</t>
        </r>
      </text>
    </comment>
    <comment ref="J33" authorId="0">
      <text>
        <r>
          <rPr>
            <sz val="9"/>
            <color rgb="FF000000"/>
            <rFont val="Arial"/>
            <family val="2"/>
          </rPr>
          <t>t-2q2026exhibit992.htm (8-K 22-Jul-2026) | Consolidated Statements of Cash Flows (6M25 YTD) - Issuance of long-term debt | 6,429</t>
        </r>
      </text>
    </comment>
    <comment ref="K33" authorId="0">
      <text>
        <r>
          <rPr>
            <sz val="9"/>
            <color rgb="FF000000"/>
            <rFont val="Arial"/>
            <family val="2"/>
          </rPr>
          <t>t-3q2025exhibit992.htm (8-K 22-Oct-2025) | Consolidated Statements of Cash Flows (9M25 YTD) - Issuance of long-term debt | 14,027</t>
        </r>
      </text>
    </comment>
    <comment ref="L33" authorId="0">
      <text>
        <r>
          <rPr>
            <sz val="9"/>
            <color rgb="FF000000"/>
            <rFont val="Arial"/>
            <family val="2"/>
          </rPr>
          <t>t-4q2025exhibit992.htm (8-K 28-Jan-2026) | Consolidated Statements of Cash Flows (FY25) - Issuance of long-term debt | 14,027</t>
        </r>
      </text>
    </comment>
    <comment ref="M33" authorId="0">
      <text>
        <r>
          <rPr>
            <sz val="9"/>
            <color rgb="FF000000"/>
            <rFont val="Arial"/>
            <family val="2"/>
          </rPr>
          <t>t-1q2026exhibit992.htm / t-1q20268xk801exhibit991.htm (8-K 22-Apr-2026) | Consolidated Statements of Cash Flows (3M26 YTD) - Issuance of long-term debt | 8,098</t>
        </r>
      </text>
    </comment>
    <comment ref="N33" authorId="0">
      <text>
        <r>
          <rPr>
            <sz val="9"/>
            <color rgb="FF000000"/>
            <rFont val="Arial"/>
            <family val="2"/>
          </rPr>
          <t>t-2q2026exhibit992.htm (8-K 22-Jul-2026) | Consolidated Statements of Cash Flows (6M26 YTD) - Issuance of long-term debt | 14,037</t>
        </r>
      </text>
    </comment>
    <comment ref="J34" authorId="0">
      <text>
        <r>
          <rPr>
            <sz val="9"/>
            <color rgb="FF000000"/>
            <rFont val="Arial"/>
            <family val="2"/>
          </rPr>
          <t>t-2q2026exhibit992.htm (8-K 22-Jul-2026) | Consolidated Statements of Cash Flows (6M25 YTD) - Repayment of long-term debt | (1,620)</t>
        </r>
      </text>
    </comment>
    <comment ref="K34" authorId="0">
      <text>
        <r>
          <rPr>
            <sz val="9"/>
            <color rgb="FF000000"/>
            <rFont val="Arial"/>
            <family val="2"/>
          </rPr>
          <t>t-3q2025exhibit992.htm (8-K 22-Oct-2025) | Consolidated Statements of Cash Flows (9M25 YTD) - Repayment of long-term debt | (1,849)</t>
        </r>
      </text>
    </comment>
    <comment ref="L34" authorId="0">
      <text>
        <r>
          <rPr>
            <sz val="9"/>
            <color rgb="FF000000"/>
            <rFont val="Arial"/>
            <family val="2"/>
          </rPr>
          <t>t-4q2025exhibit992.htm (8-K 28-Jan-2026) | Consolidated Statements of Cash Flows (FY25) - Repayment of long-term debt | (5,528)</t>
        </r>
      </text>
    </comment>
    <comment ref="M34" authorId="0">
      <text>
        <r>
          <rPr>
            <sz val="9"/>
            <color rgb="FF000000"/>
            <rFont val="Arial"/>
            <family val="2"/>
          </rPr>
          <t>t-1q2026exhibit992.htm / t-1q20268xk801exhibit991.htm (8-K 22-Apr-2026) | Consolidated Statements of Cash Flows (3M26 YTD) - Repayment of long-term debt | (5,247)</t>
        </r>
      </text>
    </comment>
    <comment ref="N34" authorId="0">
      <text>
        <r>
          <rPr>
            <sz val="9"/>
            <color rgb="FF000000"/>
            <rFont val="Arial"/>
            <family val="2"/>
          </rPr>
          <t>t-2q2026exhibit992.htm (8-K 22-Jul-2026) | Consolidated Statements of Cash Flows (6M26 YTD) - Repayment of long-term debt | (5,398)</t>
        </r>
      </text>
    </comment>
    <comment ref="J35" authorId="0">
      <text>
        <r>
          <rPr>
            <sz val="9"/>
            <color rgb="FF000000"/>
            <rFont val="Arial"/>
            <family val="2"/>
          </rPr>
          <t>t-2q2026exhibit992.htm (8-K 22-Jul-2026) | Consolidated Statements of Cash Flows (6M25 YTD) - Payment of vendor financing | (423)</t>
        </r>
      </text>
    </comment>
    <comment ref="K35" authorId="0">
      <text>
        <r>
          <rPr>
            <sz val="9"/>
            <color rgb="FF000000"/>
            <rFont val="Arial"/>
            <family val="2"/>
          </rPr>
          <t>t-3q2025exhibit992.htm (8-K 22-Oct-2025) | Consolidated Statements of Cash Flows (9M25 YTD) - Payment of vendor financing | (823)</t>
        </r>
      </text>
    </comment>
    <comment ref="L35" authorId="0">
      <text>
        <r>
          <rPr>
            <sz val="9"/>
            <color rgb="FF000000"/>
            <rFont val="Arial"/>
            <family val="2"/>
          </rPr>
          <t>t-4q2025exhibit992.htm (8-K 28-Jan-2026) | Consolidated Statements of Cash Flows (FY25) - Payment of vendor financing | (1,181)</t>
        </r>
      </text>
    </comment>
    <comment ref="M35" authorId="0">
      <text>
        <r>
          <rPr>
            <sz val="9"/>
            <color rgb="FF000000"/>
            <rFont val="Arial"/>
            <family val="2"/>
          </rPr>
          <t>t-1q2026exhibit992.htm / t-1q20268xk801exhibit991.htm (8-K 22-Apr-2026) | Consolidated Statements of Cash Flows (3M26 YTD) - Payment of vendor financing | (212)</t>
        </r>
      </text>
    </comment>
    <comment ref="N35" authorId="0">
      <text>
        <r>
          <rPr>
            <sz val="9"/>
            <color rgb="FF000000"/>
            <rFont val="Arial"/>
            <family val="2"/>
          </rPr>
          <t>t-2q2026exhibit992.htm (8-K 22-Jul-2026) | Consolidated Statements of Cash Flows (6M26 YTD) - Payment of vendor financing | (643)</t>
        </r>
      </text>
    </comment>
    <comment ref="J36" authorId="0">
      <text>
        <r>
          <rPr>
            <sz val="9"/>
            <color rgb="FF000000"/>
            <rFont val="Arial"/>
            <family val="2"/>
          </rPr>
          <t>t-2q2026exhibit992.htm (8-K 22-Jul-2026) | Consolidated Statements of Cash Flows (6M25 YTD) - Redemption of preferred stock | (2,075)</t>
        </r>
      </text>
    </comment>
    <comment ref="K36" authorId="0">
      <text>
        <r>
          <rPr>
            <sz val="9"/>
            <color rgb="FF000000"/>
            <rFont val="Arial"/>
            <family val="2"/>
          </rPr>
          <t>t-3q2025exhibit992.htm (8-K 22-Oct-2025) | Consolidated Statements of Cash Flows (9M25 YTD) - Redemption of preferred stock | (2,075)</t>
        </r>
      </text>
    </comment>
    <comment ref="L36" authorId="0">
      <text>
        <r>
          <rPr>
            <sz val="9"/>
            <color rgb="FF000000"/>
            <rFont val="Arial"/>
            <family val="2"/>
          </rPr>
          <t>t-4q2025exhibit992.htm (8-K 28-Jan-2026) | Consolidated Statements of Cash Flows (FY25) - Redemption of preferred stock | (2,075)</t>
        </r>
      </text>
    </comment>
    <comment ref="M36" authorId="0">
      <text>
        <r>
          <rPr>
            <sz val="9"/>
            <color rgb="FF000000"/>
            <rFont val="Arial"/>
            <family val="2"/>
          </rPr>
          <t>t-1q2026exhibit992.htm / t-1q20268xk801exhibit991.htm (8-K 22-Apr-2026) | Consolidated Statements of Cash Flows (3M26 YTD) - Redemption of preferred stock | 0</t>
        </r>
      </text>
    </comment>
    <comment ref="N36" authorId="0">
      <text>
        <r>
          <rPr>
            <sz val="9"/>
            <color rgb="FF000000"/>
            <rFont val="Arial"/>
            <family val="2"/>
          </rPr>
          <t>t-2q2026exhibit992.htm (8-K 22-Jul-2026) | Consolidated Statements of Cash Flows (6M26 YTD) - Redemption of preferred stock | 0</t>
        </r>
      </text>
    </comment>
    <comment ref="J37" authorId="0">
      <text>
        <r>
          <rPr>
            <sz val="9"/>
            <color rgb="FF000000"/>
            <rFont val="Arial"/>
            <family val="2"/>
          </rPr>
          <t>t-2q2026exhibit992.htm (8-K 22-Jul-2026) | Consolidated Statements of Cash Flows (6M25 YTD) - Purchase of treasury stock | (1,179)</t>
        </r>
      </text>
    </comment>
    <comment ref="K37" authorId="0">
      <text>
        <r>
          <rPr>
            <sz val="9"/>
            <color rgb="FF000000"/>
            <rFont val="Arial"/>
            <family val="2"/>
          </rPr>
          <t>t-3q2025exhibit992.htm (8-K 22-Oct-2025) | Consolidated Statements of Cash Flows (9M25 YTD) - Purchase of treasury stock | (2,669)</t>
        </r>
      </text>
    </comment>
    <comment ref="L37" authorId="0">
      <text>
        <r>
          <rPr>
            <sz val="9"/>
            <color rgb="FF000000"/>
            <rFont val="Arial"/>
            <family val="2"/>
          </rPr>
          <t>t-4q2025exhibit992.htm (8-K 28-Jan-2026) | Consolidated Statements of Cash Flows (FY25) - Purchase of treasury stock | (4,500)</t>
        </r>
      </text>
    </comment>
    <comment ref="M37" authorId="0">
      <text>
        <r>
          <rPr>
            <sz val="9"/>
            <color rgb="FF000000"/>
            <rFont val="Arial"/>
            <family val="2"/>
          </rPr>
          <t>t-1q2026exhibit992.htm / t-1q20268xk801exhibit991.htm (8-K 22-Apr-2026) | Consolidated Statements of Cash Flows (3M26 YTD) - Purchase of treasury stock | (2,475)</t>
        </r>
      </text>
    </comment>
    <comment ref="N37" authorId="0">
      <text>
        <r>
          <rPr>
            <sz val="9"/>
            <color rgb="FF000000"/>
            <rFont val="Arial"/>
            <family val="2"/>
          </rPr>
          <t>t-2q2026exhibit992.htm (8-K 22-Jul-2026) | Consolidated Statements of Cash Flows (6M26 YTD) - Purchase of treasury stock | (4,669)</t>
        </r>
      </text>
    </comment>
    <comment ref="J38" authorId="0">
      <text>
        <r>
          <rPr>
            <sz val="9"/>
            <color rgb="FF000000"/>
            <rFont val="Arial"/>
            <family val="2"/>
          </rPr>
          <t>t-2q2026exhibit992.htm (8-K 22-Jul-2026) | Consolidated Statements of Cash Flows (6M25 YTD) - Issuance of treasury stock | 17</t>
        </r>
      </text>
    </comment>
    <comment ref="K38" authorId="0">
      <text>
        <r>
          <rPr>
            <sz val="9"/>
            <color rgb="FF000000"/>
            <rFont val="Arial"/>
            <family val="2"/>
          </rPr>
          <t>t-3q2025exhibit992.htm (8-K 22-Oct-2025) | Consolidated Statements of Cash Flows (9M25 YTD) - Issuance of treasury stock | 19</t>
        </r>
      </text>
    </comment>
    <comment ref="L38" authorId="0">
      <text>
        <r>
          <rPr>
            <sz val="9"/>
            <color rgb="FF000000"/>
            <rFont val="Arial"/>
            <family val="2"/>
          </rPr>
          <t>t-4q2025exhibit992.htm (8-K 28-Jan-2026) | Consolidated Statements of Cash Flows (FY25) - Issuance of treasury stock | 21</t>
        </r>
      </text>
    </comment>
    <comment ref="M38" authorId="0">
      <text>
        <r>
          <rPr>
            <sz val="9"/>
            <color rgb="FF000000"/>
            <rFont val="Arial"/>
            <family val="2"/>
          </rPr>
          <t>t-1q2026exhibit992.htm / t-1q20268xk801exhibit991.htm (8-K 22-Apr-2026) | Consolidated Statements of Cash Flows (3M26 YTD) - Issuance of treasury stock | 1</t>
        </r>
      </text>
    </comment>
    <comment ref="N38" authorId="0">
      <text>
        <r>
          <rPr>
            <sz val="9"/>
            <color rgb="FF000000"/>
            <rFont val="Arial"/>
            <family val="2"/>
          </rPr>
          <t>t-2q2026exhibit992.htm (8-K 22-Jul-2026) | Consolidated Statements of Cash Flows (6M26 YTD) - Issuance of treasury stock | 1</t>
        </r>
      </text>
    </comment>
    <comment ref="J39" authorId="0">
      <text>
        <r>
          <rPr>
            <sz val="9"/>
            <color rgb="FF000000"/>
            <rFont val="Arial"/>
            <family val="2"/>
          </rPr>
          <t>t-2q2026exhibit992.htm (8-K 22-Jul-2026) | Consolidated Statements of Cash Flows (6M25 YTD) - Issuance of preferred interests in subsidiary | 2,221</t>
        </r>
      </text>
    </comment>
    <comment ref="K39" authorId="0">
      <text>
        <r>
          <rPr>
            <sz val="9"/>
            <color rgb="FF000000"/>
            <rFont val="Arial"/>
            <family val="2"/>
          </rPr>
          <t>t-3q2025exhibit992.htm (8-K 22-Oct-2025) | Consolidated Statements of Cash Flows (9M25 YTD) - Issuance of preferred interests in subsidiary | 2,221</t>
        </r>
      </text>
    </comment>
    <comment ref="L39" authorId="0">
      <text>
        <r>
          <rPr>
            <sz val="9"/>
            <color rgb="FF000000"/>
            <rFont val="Arial"/>
            <family val="2"/>
          </rPr>
          <t>t-4q2025exhibit992.htm (8-K 28-Jan-2026) | Consolidated Statements of Cash Flows (FY25) - Issuance of preferred interests in subsidiary | 2,221</t>
        </r>
      </text>
    </comment>
    <comment ref="M39" authorId="0">
      <text>
        <r>
          <rPr>
            <sz val="9"/>
            <color rgb="FF000000"/>
            <rFont val="Arial"/>
            <family val="2"/>
          </rPr>
          <t>t-1q2026exhibit992.htm / t-1q20268xk801exhibit991.htm (8-K 22-Apr-2026) | Consolidated Statements of Cash Flows (3M26 YTD) - Issuance of preferred interests in subsidiary | 0</t>
        </r>
      </text>
    </comment>
    <comment ref="N39" authorId="0">
      <text>
        <r>
          <rPr>
            <sz val="9"/>
            <color rgb="FF000000"/>
            <rFont val="Arial"/>
            <family val="2"/>
          </rPr>
          <t>t-2q2026exhibit992.htm (8-K 22-Jul-2026) | Consolidated Statements of Cash Flows (6M26 YTD) - Issuance of preferred interests in subsidiary | 0</t>
        </r>
      </text>
    </comment>
    <comment ref="J40" authorId="0">
      <text>
        <r>
          <rPr>
            <sz val="9"/>
            <color rgb="FF000000"/>
            <rFont val="Arial"/>
            <family val="2"/>
          </rPr>
          <t>t-2q2026exhibit992.htm (8-K 22-Jul-2026) | Consolidated Statements of Cash Flows (6M25 YTD) - Redemption of preferred interests in subsidiary | 0</t>
        </r>
      </text>
    </comment>
    <comment ref="K40" authorId="0">
      <text>
        <r>
          <rPr>
            <sz val="9"/>
            <color rgb="FF000000"/>
            <rFont val="Arial"/>
            <family val="2"/>
          </rPr>
          <t>t-3q2025exhibit992.htm (8-K 22-Oct-2025) | Consolidated Statements of Cash Flows (9M25 YTD) - Redemption of preferred interests in subsidiary | 0</t>
        </r>
      </text>
    </comment>
    <comment ref="L40" authorId="0">
      <text>
        <r>
          <rPr>
            <sz val="9"/>
            <color rgb="FF000000"/>
            <rFont val="Arial"/>
            <family val="2"/>
          </rPr>
          <t>t-4q2025exhibit992.htm (8-K 28-Jan-2026) | Consolidated Statements of Cash Flows (FY25) - Redemption of preferred interests in subsidiary | (65)</t>
        </r>
      </text>
    </comment>
    <comment ref="M40" authorId="0">
      <text>
        <r>
          <rPr>
            <sz val="9"/>
            <color rgb="FF000000"/>
            <rFont val="Arial"/>
            <family val="2"/>
          </rPr>
          <t>t-1q2026exhibit992.htm / t-1q20268xk801exhibit991.htm (8-K 22-Apr-2026) | Consolidated Statements of Cash Flows (3M26 YTD) - Redemption of preferred interests in subsidiary | 0</t>
        </r>
      </text>
    </comment>
    <comment ref="N40" authorId="0">
      <text>
        <r>
          <rPr>
            <sz val="9"/>
            <color rgb="FF000000"/>
            <rFont val="Arial"/>
            <family val="2"/>
          </rPr>
          <t>t-2q2026exhibit992.htm (8-K 22-Jul-2026) | Consolidated Statements of Cash Flows (6M26 YTD) - Redemption of preferred interests in subsidiary | 0</t>
        </r>
      </text>
    </comment>
    <comment ref="J41" authorId="0">
      <text>
        <r>
          <rPr>
            <sz val="9"/>
            <color rgb="FF000000"/>
            <rFont val="Arial"/>
            <family val="2"/>
          </rPr>
          <t>t-2q2026exhibit992.htm (8-K 22-Jul-2026) | Consolidated Statements of Cash Flows (6M25 YTD) - Dividends paid (common and preferred) | (4,135)</t>
        </r>
      </text>
    </comment>
    <comment ref="K41" authorId="0">
      <text>
        <r>
          <rPr>
            <sz val="9"/>
            <color rgb="FF000000"/>
            <rFont val="Arial"/>
            <family val="2"/>
          </rPr>
          <t>t-3q2025exhibit992.htm (8-K 22-Oct-2025) | Consolidated Statements of Cash Flows (9M25 YTD) - Dividends paid (common and preferred) | (6,168)</t>
        </r>
      </text>
    </comment>
    <comment ref="L41" authorId="0">
      <text>
        <r>
          <rPr>
            <sz val="9"/>
            <color rgb="FF000000"/>
            <rFont val="Arial"/>
            <family val="2"/>
          </rPr>
          <t>t-4q2025exhibit992.htm (8-K 28-Jan-2026) | Consolidated Statements of Cash Flows (FY25) - Dividends paid (common and preferred) | (8,180)</t>
        </r>
      </text>
    </comment>
    <comment ref="M41" authorId="0">
      <text>
        <r>
          <rPr>
            <sz val="9"/>
            <color rgb="FF000000"/>
            <rFont val="Arial"/>
            <family val="2"/>
          </rPr>
          <t>t-1q2026exhibit992.htm / t-1q20268xk801exhibit991.htm (8-K 22-Apr-2026) | Consolidated Statements of Cash Flows (3M26 YTD) - Dividends paid (common and preferred) | (1,997)</t>
        </r>
      </text>
    </comment>
    <comment ref="N41" authorId="0">
      <text>
        <r>
          <rPr>
            <sz val="9"/>
            <color rgb="FF000000"/>
            <rFont val="Arial"/>
            <family val="2"/>
          </rPr>
          <t>t-2q2026exhibit992.htm (8-K 22-Jul-2026) | Consolidated Statements of Cash Flows (6M26 YTD) - Dividends paid (common and preferred) | (3,973)</t>
        </r>
      </text>
    </comment>
    <comment ref="J42" authorId="0">
      <text>
        <r>
          <rPr>
            <sz val="9"/>
            <color rgb="FF000000"/>
            <rFont val="Arial"/>
            <family val="2"/>
          </rPr>
          <t>t-2q2026exhibit992.htm (8-K 22-Jul-2026) | Consolidated Statements of Cash Flows (6M25 YTD) - Other - net (financing; incl. distributions to NCI) | 167</t>
        </r>
      </text>
    </comment>
    <comment ref="K42" authorId="0">
      <text>
        <r>
          <rPr>
            <sz val="9"/>
            <color rgb="FF000000"/>
            <rFont val="Arial"/>
            <family val="2"/>
          </rPr>
          <t>t-3q2025exhibit992.htm (8-K 22-Oct-2025) | Consolidated Statements of Cash Flows (9M25 YTD) - Other - net (financing; incl. distributions to NCI) | (292)</t>
        </r>
      </text>
    </comment>
    <comment ref="L42" authorId="0">
      <text>
        <r>
          <rPr>
            <sz val="9"/>
            <color rgb="FF000000"/>
            <rFont val="Arial"/>
            <family val="2"/>
          </rPr>
          <t>t-4q2025exhibit992.htm (8-K 28-Jan-2026) | Consolidated Statements of Cash Flows (FY25) - Other - net (financing; incl. distributions to NCI) | (1,126)</t>
        </r>
      </text>
    </comment>
    <comment ref="M42" authorId="0">
      <text>
        <r>
          <rPr>
            <sz val="9"/>
            <color rgb="FF000000"/>
            <rFont val="Arial"/>
            <family val="2"/>
          </rPr>
          <t>t-1q2026exhibit992.htm / t-1q20268xk801exhibit991.htm (8-K 22-Apr-2026) | Consolidated Statements of Cash Flows (3M26 YTD) - Other - net (financing; incl. distributions to NCI) | (265)</t>
        </r>
      </text>
    </comment>
    <comment ref="N42" authorId="0">
      <text>
        <r>
          <rPr>
            <sz val="9"/>
            <color rgb="FF000000"/>
            <rFont val="Arial"/>
            <family val="2"/>
          </rPr>
          <t>t-2q2026exhibit992.htm (8-K 22-Jul-2026) | Consolidated Statements of Cash Flows (6M26 YTD) - Other - net (financing; incl. distributions to NCI) | (772)</t>
        </r>
      </text>
    </comment>
    <comment ref="J45" authorId="0">
      <text>
        <r>
          <rPr>
            <sz val="9"/>
            <color rgb="FF000000"/>
            <rFont val="Arial"/>
            <family val="2"/>
          </rPr>
          <t>t-2q2026exhibit992.htm (8-K 22-Jul-2026) | Consolidated Statements of Cash Flows (6M25 YTD) - Net cash from discontinued operations | 0</t>
        </r>
      </text>
    </comment>
    <comment ref="K45" authorId="0">
      <text>
        <r>
          <rPr>
            <sz val="9"/>
            <color rgb="FF000000"/>
            <rFont val="Arial"/>
            <family val="2"/>
          </rPr>
          <t>t-3q2025exhibit992.htm (8-K 22-Oct-2025) | Consolidated Statements of Cash Flows (9M25 YTD) - Net cash from discontinued operations | 0</t>
        </r>
      </text>
    </comment>
    <comment ref="L45" authorId="0">
      <text>
        <r>
          <rPr>
            <sz val="9"/>
            <color rgb="FF000000"/>
            <rFont val="Arial"/>
            <family val="2"/>
          </rPr>
          <t>t-4q2025exhibit992.htm (8-K 28-Jan-2026) | Consolidated Statements of Cash Flows (FY25) - Net cash from discontinued operations | 0</t>
        </r>
      </text>
    </comment>
    <comment ref="M45" authorId="0">
      <text>
        <r>
          <rPr>
            <sz val="9"/>
            <color rgb="FF000000"/>
            <rFont val="Arial"/>
            <family val="2"/>
          </rPr>
          <t>t-1q2026exhibit992.htm / t-1q20268xk801exhibit991.htm (8-K 22-Apr-2026) | Consolidated Statements of Cash Flows (3M26 YTD) - Net cash from discontinued operations | (4,209)</t>
        </r>
      </text>
    </comment>
    <comment ref="N45" authorId="0">
      <text>
        <r>
          <rPr>
            <sz val="9"/>
            <color rgb="FF000000"/>
            <rFont val="Arial"/>
            <family val="2"/>
          </rPr>
          <t>t-2q2026exhibit992.htm (8-K 22-Jul-2026) | Consolidated Statements of Cash Flows (6M26 YTD) - Net cash from discontinued operations | (4,332)</t>
        </r>
      </text>
    </comment>
    <comment ref="J47" authorId="0">
      <text>
        <r>
          <rPr>
            <sz val="9"/>
            <color rgb="FF000000"/>
            <rFont val="Arial"/>
            <family val="2"/>
          </rPr>
          <t>t-2q2026exhibit992.htm (8-K 22-Jul-2026) | Cash and cash equivalents and restricted cash beginning of year | 3,406</t>
        </r>
      </text>
    </comment>
    <comment ref="K47" authorId="0">
      <text>
        <r>
          <rPr>
            <sz val="9"/>
            <color rgb="FF000000"/>
            <rFont val="Arial"/>
            <family val="2"/>
          </rPr>
          <t>t-3q2025exhibit992.htm (8-K 22-Oct-2025) | Cash and cash equivalents and restricted cash beginning of year | 3,406</t>
        </r>
      </text>
    </comment>
    <comment ref="L47" authorId="0">
      <text>
        <r>
          <rPr>
            <sz val="9"/>
            <color rgb="FF000000"/>
            <rFont val="Arial"/>
            <family val="2"/>
          </rPr>
          <t>t-4q2025exhibit992.htm (8-K 28-Jan-2026) | Cash and cash equivalents and restricted cash beginning of year | 3,406</t>
        </r>
      </text>
    </comment>
    <comment ref="M47" authorId="0">
      <text>
        <r>
          <rPr>
            <sz val="9"/>
            <color rgb="FF000000"/>
            <rFont val="Arial"/>
            <family val="2"/>
          </rPr>
          <t>t-1q2026exhibit992.htm / t-1q20268xk801exhibit991.htm (8-K 22-Apr-2026) | Cash and cash equivalents and restricted cash beginning of year | 18,527</t>
        </r>
      </text>
    </comment>
    <comment ref="N47" authorId="0">
      <text>
        <r>
          <rPr>
            <sz val="9"/>
            <color rgb="FF000000"/>
            <rFont val="Arial"/>
            <family val="2"/>
          </rPr>
          <t>t-2q2026exhibit992.htm (8-K 22-Jul-2026) | Cash and cash equivalents and restricted cash beginning of year | 18,527</t>
        </r>
      </text>
    </comment>
    <comment ref="C49" authorId="0">
      <text>
        <r>
          <rPr>
            <sz val="9"/>
            <color rgb="FF000000"/>
            <rFont val="Arial"/>
            <family val="2"/>
          </rPr>
          <t>t-3q2025exhibit992.htm (8-K 22-Oct-2025) | Dividends Declared per Common Share | $0.2775</t>
        </r>
      </text>
    </comment>
    <comment ref="D49" authorId="0">
      <text>
        <r>
          <rPr>
            <sz val="9"/>
            <color rgb="FF000000"/>
            <rFont val="Arial"/>
            <family val="2"/>
          </rPr>
          <t>t-4q2025exhibit992.htm (8-K 28-Jan-2026) | Dividends Declared per Common Share | $0.2775</t>
        </r>
      </text>
    </comment>
    <comment ref="E49" authorId="0">
      <text>
        <r>
          <rPr>
            <sz val="9"/>
            <color rgb="FF000000"/>
            <rFont val="Arial"/>
            <family val="2"/>
          </rPr>
          <t>t-4q2025exhibit992.htm (8-K 28-Jan-2026) | Dividends Declared per Common Share (Year Ended 2025) | $1.11</t>
        </r>
      </text>
    </comment>
    <comment ref="F49" authorId="0">
      <text>
        <r>
          <rPr>
            <sz val="9"/>
            <color rgb="FF000000"/>
            <rFont val="Arial"/>
            <family val="2"/>
          </rPr>
          <t>t-1q2026exhibit992.htm / t-1q20268xk801exhibit991.htm (8-K 22-Apr-2026) | Dividends Declared per Common Share | $0.2775</t>
        </r>
      </text>
    </comment>
    <comment ref="G49" authorId="0">
      <text>
        <r>
          <rPr>
            <sz val="9"/>
            <color rgb="FF000000"/>
            <rFont val="Arial"/>
            <family val="2"/>
          </rPr>
          <t>t-2q2026exhibit992.htm (8-K 22-Jul-2026) | Dividends Declared per Common Share | $0.2775</t>
        </r>
      </text>
    </comment>
    <comment ref="C54" authorId="0">
      <text>
        <r>
          <rPr>
            <sz val="9"/>
            <color rgb="FF000000"/>
            <rFont val="Arial"/>
            <family val="2"/>
          </rPr>
          <t>t-20250930.htm (10-Q 3Q25) | Restricted cash in Prepaid and other current assets 2 + Other Assets 54 | 56</t>
        </r>
      </text>
    </comment>
    <comment ref="D54" authorId="0">
      <text>
        <r>
          <rPr>
            <sz val="9"/>
            <color rgb="FF000000"/>
            <rFont val="Arial"/>
            <family val="2"/>
          </rPr>
          <t>t-20260630.htm (10-Q 2Q26) | Restricted cash 157 + 136 (Dec. 31, 2025) | 293</t>
        </r>
      </text>
    </comment>
    <comment ref="F54" authorId="0">
      <text>
        <r>
          <rPr>
            <sz val="9"/>
            <color rgb="FF000000"/>
            <rFont val="Arial"/>
            <family val="2"/>
          </rPr>
          <t>t-20260331.htm (10-Q 1Q26) | Restricted cash 282 + 86 | 368</t>
        </r>
      </text>
    </comment>
    <comment ref="G54" authorId="0">
      <text>
        <r>
          <rPr>
            <sz val="9"/>
            <color rgb="FF000000"/>
            <rFont val="Arial"/>
            <family val="2"/>
          </rPr>
          <t>t-20260630.htm (10-Q 2Q26) | Restricted cash 312 + 59 | 371</t>
        </r>
      </text>
    </comment>
    <comment ref="C56" authorId="0">
      <text>
        <r>
          <rPr>
            <sz val="9"/>
            <color rgb="FF000000"/>
            <rFont val="Arial"/>
            <family val="2"/>
          </rPr>
          <t>t-20260630.htm (10-Q 2Q26) | Cash and Cash Equivalents and Restricted Cash June 30, 2025 (10,499 + 1 + 76) | $10,576</t>
        </r>
      </text>
    </comment>
    <comment ref="E56" authorId="0">
      <text>
        <r>
          <rPr>
            <sz val="9"/>
            <color rgb="FF000000"/>
            <rFont val="Arial"/>
            <family val="2"/>
          </rPr>
          <t>t-20260630.htm (10-Q 2Q26) | Cash and Cash Equivalents and Restricted Cash December 31, 2024 (3,298 + 1 + 107) | $3,406</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20" authorId="0">
      <text>
        <r>
          <rPr>
            <sz val="9"/>
            <color rgb="FF000000"/>
            <rFont val="Arial"/>
            <family val="2"/>
          </rPr>
          <t>t-3q2025exhibit992.htm (8-K 22-Oct-2025) | End of Period Common Shares Outstanding (000,000) | 7,109</t>
        </r>
      </text>
    </comment>
    <comment ref="D20" authorId="0">
      <text>
        <r>
          <rPr>
            <sz val="9"/>
            <color rgb="FF000000"/>
            <rFont val="Arial"/>
            <family val="2"/>
          </rPr>
          <t>t-4q2025exhibit992.htm (8-K 28-Jan-2026) | End of Period Common Shares Outstanding (000,000) | 7,037</t>
        </r>
      </text>
    </comment>
    <comment ref="F20" authorId="0">
      <text>
        <r>
          <rPr>
            <sz val="9"/>
            <color rgb="FF000000"/>
            <rFont val="Arial"/>
            <family val="2"/>
          </rPr>
          <t>t-1q2026exhibit992.htm / t-1q20268xk801exhibit991.htm (8-K 22-Apr-2026) | End of Period Common Shares Outstanding (000,000) | 6,965</t>
        </r>
      </text>
    </comment>
    <comment ref="G20" authorId="0">
      <text>
        <r>
          <rPr>
            <sz val="9"/>
            <color rgb="FF000000"/>
            <rFont val="Arial"/>
            <family val="2"/>
          </rPr>
          <t>t-2q2026exhibit992.htm (8-K 22-Jul-2026) | End of Period Common Shares Outstanding (000,000) | 6,879</t>
        </r>
      </text>
    </comment>
    <comment ref="J20" authorId="0">
      <text>
        <r>
          <rPr>
            <sz val="9"/>
            <color rgb="FF000000"/>
            <rFont val="Arial"/>
            <family val="2"/>
          </rPr>
          <t>t-3q2025exhibit992.htm (8-K 22-Oct-2025) | End of Period Common Shares Outstanding (000,000) | 7,174</t>
        </r>
      </text>
    </comment>
    <comment ref="K20" authorId="0">
      <text>
        <r>
          <rPr>
            <sz val="9"/>
            <color rgb="FF000000"/>
            <rFont val="Arial"/>
            <family val="2"/>
          </rPr>
          <t>t-4q2025exhibit992.htm (8-K 28-Jan-2026) | End of Period Common Shares Outstanding (000,000) | 7,176</t>
        </r>
      </text>
    </comment>
    <comment ref="L20" authorId="0">
      <text>
        <r>
          <rPr>
            <sz val="9"/>
            <color rgb="FF000000"/>
            <rFont val="Arial"/>
            <family val="2"/>
          </rPr>
          <t>t-4q2025exhibit992.htm (8-K 28-Jan-2026) | End of Period Common Shares Outstanding (000,000) | 7,176</t>
        </r>
      </text>
    </comment>
    <comment ref="M20" authorId="0">
      <text>
        <r>
          <rPr>
            <sz val="9"/>
            <color rgb="FF000000"/>
            <rFont val="Arial"/>
            <family val="2"/>
          </rPr>
          <t>t-1q2026exhibit992.htm / t-1q20268xk801exhibit991.htm (8-K 22-Apr-2026) | End of Period Common Shares Outstanding (000,000) | 7,196</t>
        </r>
      </text>
    </comment>
    <comment ref="N20" authorId="0">
      <text>
        <r>
          <rPr>
            <sz val="9"/>
            <color rgb="FF000000"/>
            <rFont val="Arial"/>
            <family val="2"/>
          </rPr>
          <t>t-2q2026exhibit992.htm (8-K 22-Jul-2026) | End of Period Common Shares Outstanding (000,000) | 7,161</t>
        </r>
      </text>
    </comment>
    <comment ref="F16" authorId="0">
      <text>
        <r>
          <rPr>
            <sz val="9"/>
            <color rgb="FF000000"/>
            <rFont val="Arial"/>
            <family val="2"/>
          </rPr>
          <t>t-20260630.htm (10-Q 2Q26) | repurchased approximately 174 million shares (6M) less 86,234,025 in 2Q26 | 88</t>
        </r>
      </text>
    </comment>
    <comment ref="G16" authorId="0">
      <text>
        <r>
          <rPr>
            <sz val="9"/>
            <color rgb="FF000000"/>
            <rFont val="Arial"/>
            <family val="2"/>
          </rPr>
          <t>t-20260630.htm (10-Q 2Q26) | Total Number of Shares Purchased 2Q26 | 86,234,025</t>
        </r>
      </text>
    </comment>
    <comment ref="G13" authorId="0">
      <text>
        <r>
          <rPr>
            <sz val="9"/>
            <color rgb="FF000000"/>
            <rFont val="Arial"/>
            <family val="2"/>
          </rPr>
          <t>t-20260630.htm (10-Q 2Q26) | Average Price Paid Per Share 2Q26 | $25.01</t>
        </r>
      </text>
    </comment>
    <comment ref="C24" authorId="0">
      <text>
        <r>
          <rPr>
            <sz val="9"/>
            <color rgb="FF000000"/>
            <rFont val="Arial"/>
            <family val="2"/>
          </rPr>
          <t>t-3q2025exhibit992.htm (8-K 22-Oct-2025) | Weighted Average Common Shares Outstanding (000,000) | 7,156</t>
        </r>
      </text>
    </comment>
    <comment ref="D24" authorId="0">
      <text>
        <r>
          <rPr>
            <sz val="9"/>
            <color rgb="FF000000"/>
            <rFont val="Arial"/>
            <family val="2"/>
          </rPr>
          <t>t-4q2025exhibit992.htm (8-K 28-Jan-2026) | Weighted Average Common Shares Outstanding (000,000) | 7,098</t>
        </r>
      </text>
    </comment>
    <comment ref="F24" authorId="0">
      <text>
        <r>
          <rPr>
            <sz val="9"/>
            <color rgb="FF000000"/>
            <rFont val="Arial"/>
            <family val="2"/>
          </rPr>
          <t>t-1q2026exhibit992.htm / t-1q20268xk801exhibit991.htm (8-K 22-Apr-2026) | Weighted Average Common Shares Outstanding (000,000) | 7,017</t>
        </r>
      </text>
    </comment>
    <comment ref="G24" authorId="0">
      <text>
        <r>
          <rPr>
            <sz val="9"/>
            <color rgb="FF000000"/>
            <rFont val="Arial"/>
            <family val="2"/>
          </rPr>
          <t>t-2q2026exhibit992.htm (8-K 22-Jul-2026) | Weighted Average Common Shares Outstanding (000,000) | 6,938</t>
        </r>
      </text>
    </comment>
    <comment ref="J24" authorId="0">
      <text>
        <r>
          <rPr>
            <sz val="9"/>
            <color rgb="FF000000"/>
            <rFont val="Arial"/>
            <family val="2"/>
          </rPr>
          <t>t-3q2025exhibit992.htm (8-K 22-Oct-2025) | Weighted Average Common Shares Outstanding (000,000) | 7,202</t>
        </r>
      </text>
    </comment>
    <comment ref="K24" authorId="0">
      <text>
        <r>
          <rPr>
            <sz val="9"/>
            <color rgb="FF000000"/>
            <rFont val="Arial"/>
            <family val="2"/>
          </rPr>
          <t>t-4q2025exhibit992.htm (8-K 28-Jan-2026) | Weighted Average Common Shares Outstanding (000,000) | 7,207</t>
        </r>
      </text>
    </comment>
    <comment ref="L24" authorId="0">
      <text>
        <r>
          <rPr>
            <sz val="9"/>
            <color rgb="FF000000"/>
            <rFont val="Arial"/>
            <family val="2"/>
          </rPr>
          <t>t-4q2025exhibit992.htm (8-K 28-Jan-2026) | Weighted Average Common Shares Outstanding (000,000) | 7,199</t>
        </r>
      </text>
    </comment>
    <comment ref="M24" authorId="0">
      <text>
        <r>
          <rPr>
            <sz val="9"/>
            <color rgb="FF000000"/>
            <rFont val="Arial"/>
            <family val="2"/>
          </rPr>
          <t>t-1q2026exhibit992.htm / t-1q20268xk801exhibit991.htm (8-K 22-Apr-2026) | Weighted Average Common Shares Outstanding (000,000) | 7,213</t>
        </r>
      </text>
    </comment>
    <comment ref="N24" authorId="0">
      <text>
        <r>
          <rPr>
            <sz val="9"/>
            <color rgb="FF000000"/>
            <rFont val="Arial"/>
            <family val="2"/>
          </rPr>
          <t>t-2q2026exhibit992.htm (8-K 22-Jul-2026) | Weighted Average Common Shares Outstanding (000,000) | 7,209</t>
        </r>
      </text>
    </comment>
    <comment ref="E24" authorId="0">
      <text>
        <r>
          <rPr>
            <sz val="9"/>
            <color rgb="FF000000"/>
            <rFont val="Arial"/>
            <family val="2"/>
          </rPr>
          <t>t-4q2025exhibit992.htm (8-K 28-Jan-2026) | Weighted Average Common Shares Outstanding (000,000) | 7,169</t>
        </r>
      </text>
    </comment>
    <comment ref="C29" authorId="0">
      <text>
        <r>
          <rPr>
            <sz val="9"/>
            <color rgb="FF000000"/>
            <rFont val="Arial"/>
            <family val="2"/>
          </rPr>
          <t>t-3q2025exhibit992.htm (8-K 22-Oct-2025) | Weighted Average Common Shares Outstanding with Dilution (000,000) | 7,169</t>
        </r>
      </text>
    </comment>
    <comment ref="D29" authorId="0">
      <text>
        <r>
          <rPr>
            <sz val="9"/>
            <color rgb="FF000000"/>
            <rFont val="Arial"/>
            <family val="2"/>
          </rPr>
          <t>t-4q2025exhibit992.htm (8-K 28-Jan-2026) | Weighted Average Common Shares Outstanding with Dilution (000,000) | 7,108</t>
        </r>
      </text>
    </comment>
    <comment ref="F29" authorId="0">
      <text>
        <r>
          <rPr>
            <sz val="9"/>
            <color rgb="FF000000"/>
            <rFont val="Arial"/>
            <family val="2"/>
          </rPr>
          <t>t-1q2026exhibit992.htm / t-1q20268xk801exhibit991.htm (8-K 22-Apr-2026) | Weighted Average Common Shares Outstanding with Dilution (000,000) | 7,027</t>
        </r>
      </text>
    </comment>
    <comment ref="G29" authorId="0">
      <text>
        <r>
          <rPr>
            <sz val="9"/>
            <color rgb="FF000000"/>
            <rFont val="Arial"/>
            <family val="2"/>
          </rPr>
          <t>t-2q2026exhibit992.htm (8-K 22-Jul-2026) | Weighted Average Common Shares Outstanding with Dilution (000,000) | 6,946</t>
        </r>
      </text>
    </comment>
    <comment ref="J29" authorId="0">
      <text>
        <r>
          <rPr>
            <sz val="9"/>
            <color rgb="FF000000"/>
            <rFont val="Arial"/>
            <family val="2"/>
          </rPr>
          <t>t-3q2025exhibit992.htm (8-K 22-Oct-2025) | Weighted Average Common Shares Outstanding with Dilution (000,000) | 7,208</t>
        </r>
      </text>
    </comment>
    <comment ref="K29" authorId="0">
      <text>
        <r>
          <rPr>
            <sz val="9"/>
            <color rgb="FF000000"/>
            <rFont val="Arial"/>
            <family val="2"/>
          </rPr>
          <t>t-4q2025exhibit992.htm (8-K 28-Jan-2026) | Weighted Average Common Shares Outstanding with Dilution (000,000) | 7,215</t>
        </r>
      </text>
    </comment>
    <comment ref="L29" authorId="0">
      <text>
        <r>
          <rPr>
            <sz val="9"/>
            <color rgb="FF000000"/>
            <rFont val="Arial"/>
            <family val="2"/>
          </rPr>
          <t>t-4q2025exhibit992.htm (8-K 28-Jan-2026) | Weighted Average Common Shares Outstanding with Dilution (000,000) | 7,204</t>
        </r>
      </text>
    </comment>
    <comment ref="M29" authorId="0">
      <text>
        <r>
          <rPr>
            <sz val="9"/>
            <color rgb="FF000000"/>
            <rFont val="Arial"/>
            <family val="2"/>
          </rPr>
          <t>t-1q2026exhibit992.htm / t-1q20268xk801exhibit991.htm (8-K 22-Apr-2026) | Weighted Average Common Shares Outstanding with Dilution (000,000) | 7,223</t>
        </r>
      </text>
    </comment>
    <comment ref="N29" authorId="0">
      <text>
        <r>
          <rPr>
            <sz val="9"/>
            <color rgb="FF000000"/>
            <rFont val="Arial"/>
            <family val="2"/>
          </rPr>
          <t>t-2q2026exhibit992.htm (8-K 22-Jul-2026) | Weighted Average Common Shares Outstanding with Dilution (000,000) | 7,219</t>
        </r>
      </text>
    </comment>
    <comment ref="E29" authorId="0">
      <text>
        <r>
          <rPr>
            <sz val="9"/>
            <color rgb="FF000000"/>
            <rFont val="Arial"/>
            <family val="2"/>
          </rPr>
          <t>t-4q2025exhibit992.htm (8-K 28-Jan-2026) | Weighted Average Common Shares Outstanding with Dilution (000,000) | 7,179</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Shortcut</author>
  </authors>
  <commentList>
    <comment ref="C20" authorId="0">
      <text>
        <r>
          <rPr>
            <sz val="9"/>
            <color rgb="FF000000"/>
            <rFont val="Arial"/>
            <family val="2"/>
          </rPr>
          <t>T_consensus.json | summary_row.eps_normalized_estimates | 19</t>
        </r>
      </text>
    </comment>
    <comment ref="C21" authorId="0">
      <text>
        <r>
          <rPr>
            <sz val="9"/>
            <color rgb="FF000000"/>
            <rFont val="Arial"/>
            <family val="2"/>
          </rPr>
          <t>T_consensus.json | summary_row.eps_normalized_contributors | 19</t>
        </r>
      </text>
    </comment>
    <comment ref="C23" authorId="0">
      <text>
        <r>
          <rPr>
            <sz val="9"/>
            <color rgb="FF000000"/>
            <rFont val="Arial"/>
            <family val="2"/>
          </rPr>
          <t>T_consensus.json | summary_row.eps_normalized_mean | 0.6</t>
        </r>
      </text>
    </comment>
    <comment ref="C24" authorId="0">
      <text>
        <r>
          <rPr>
            <sz val="9"/>
            <color rgb="FF000000"/>
            <rFont val="Arial"/>
            <family val="2"/>
          </rPr>
          <t>T_consensus.json | summary_row.eps_normalized_median | 0.6</t>
        </r>
      </text>
    </comment>
    <comment ref="C25" authorId="0">
      <text>
        <r>
          <rPr>
            <sz val="9"/>
            <color rgb="FF000000"/>
            <rFont val="Arial"/>
            <family val="2"/>
          </rPr>
          <t>T_consensus.json | summary_row.eps_normalized_high | 0.63</t>
        </r>
      </text>
    </comment>
    <comment ref="C26" authorId="0">
      <text>
        <r>
          <rPr>
            <sz val="9"/>
            <color rgb="FF000000"/>
            <rFont val="Arial"/>
            <family val="2"/>
          </rPr>
          <t>T_consensus.json | summary_row.eps_normalized_low | 0.56</t>
        </r>
      </text>
    </comment>
    <comment ref="C27" authorId="0">
      <text>
        <r>
          <rPr>
            <sz val="9"/>
            <color rgb="FF000000"/>
            <rFont val="Arial"/>
            <family val="2"/>
          </rPr>
          <t>T_consensus.json | summary_row.eps_normalized_std_dev | 0.02</t>
        </r>
      </text>
    </comment>
    <comment ref="C28" authorId="0">
      <text>
        <r>
          <rPr>
            <sz val="9"/>
            <color rgb="FF000000"/>
            <rFont val="Arial"/>
            <family val="2"/>
          </rPr>
          <t>T_consensus.json | summary_row.eps_normalized_n_est | 19</t>
        </r>
      </text>
    </comment>
    <comment ref="C32" authorId="0">
      <text>
        <r>
          <rPr>
            <sz val="9"/>
            <color rgb="FF000000"/>
            <rFont val="Arial"/>
            <family val="2"/>
          </rPr>
          <t>T_consensus.json | summary_row.eps_gaap_mean | 0.62</t>
        </r>
      </text>
    </comment>
    <comment ref="C33" authorId="0">
      <text>
        <r>
          <rPr>
            <sz val="9"/>
            <color rgb="FF000000"/>
            <rFont val="Arial"/>
            <family val="2"/>
          </rPr>
          <t>T_consensus.json | summary_row.eps_gaap_median | 0.62</t>
        </r>
      </text>
    </comment>
    <comment ref="C34" authorId="0">
      <text>
        <r>
          <rPr>
            <sz val="9"/>
            <color rgb="FF000000"/>
            <rFont val="Arial"/>
            <family val="2"/>
          </rPr>
          <t>T_consensus.json | summary_row.eps_gaap_high | 0.63</t>
        </r>
      </text>
    </comment>
    <comment ref="C35" authorId="0">
      <text>
        <r>
          <rPr>
            <sz val="9"/>
            <color rgb="FF000000"/>
            <rFont val="Arial"/>
            <family val="2"/>
          </rPr>
          <t>T_consensus.json | summary_row.eps_gaap_low | 0.6</t>
        </r>
      </text>
    </comment>
    <comment ref="C36" authorId="0">
      <text>
        <r>
          <rPr>
            <sz val="9"/>
            <color rgb="FF000000"/>
            <rFont val="Arial"/>
            <family val="2"/>
          </rPr>
          <t>T_consensus.json | summary_row.eps_gaap_std_dev | 0.01</t>
        </r>
      </text>
    </comment>
    <comment ref="C37" authorId="0">
      <text>
        <r>
          <rPr>
            <sz val="9"/>
            <color rgb="FF000000"/>
            <rFont val="Arial"/>
            <family val="2"/>
          </rPr>
          <t>T_consensus.json | summary_row.eps_gaap_n_est | 3</t>
        </r>
      </text>
    </comment>
    <comment ref="C41" authorId="0">
      <text>
        <r>
          <rPr>
            <sz val="9"/>
            <color rgb="FF000000"/>
            <rFont val="Arial"/>
            <family val="2"/>
          </rPr>
          <t>T_consensus.json | summary_row.revenue_mean | 31645.33</t>
        </r>
      </text>
    </comment>
    <comment ref="C42" authorId="0">
      <text>
        <r>
          <rPr>
            <sz val="9"/>
            <color rgb="FF000000"/>
            <rFont val="Arial"/>
            <family val="2"/>
          </rPr>
          <t>T_consensus.json | summary_row.revenue_median | 31643.83</t>
        </r>
      </text>
    </comment>
    <comment ref="C43" authorId="0">
      <text>
        <r>
          <rPr>
            <sz val="9"/>
            <color rgb="FF000000"/>
            <rFont val="Arial"/>
            <family val="2"/>
          </rPr>
          <t>T_consensus.json | summary_row.revenue_high | 31856.0</t>
        </r>
      </text>
    </comment>
    <comment ref="C44" authorId="0">
      <text>
        <r>
          <rPr>
            <sz val="9"/>
            <color rgb="FF000000"/>
            <rFont val="Arial"/>
            <family val="2"/>
          </rPr>
          <t>T_consensus.json | summary_row.revenue_low | 31240.28</t>
        </r>
      </text>
    </comment>
    <comment ref="C45" authorId="0">
      <text>
        <r>
          <rPr>
            <sz val="9"/>
            <color rgb="FF000000"/>
            <rFont val="Arial"/>
            <family val="2"/>
          </rPr>
          <t>T_consensus.json | summary_row.revenue_std_dev | 150.75</t>
        </r>
      </text>
    </comment>
    <comment ref="C46" authorId="0">
      <text>
        <r>
          <rPr>
            <sz val="9"/>
            <color rgb="FF000000"/>
            <rFont val="Arial"/>
            <family val="2"/>
          </rPr>
          <t>T_consensus.json | summary_row.revenue_n_est | 17</t>
        </r>
      </text>
    </comment>
    <comment ref="C50" authorId="0">
      <text>
        <r>
          <rPr>
            <sz val="9"/>
            <color rgb="FF000000"/>
            <rFont val="Arial"/>
            <family val="2"/>
          </rPr>
          <t>T_consensus.json | summary_row.ebitda | 12322.52</t>
        </r>
      </text>
    </comment>
    <comment ref="C51" authorId="0">
      <text>
        <r>
          <rPr>
            <sz val="9"/>
            <color rgb="FF000000"/>
            <rFont val="Arial"/>
            <family val="2"/>
          </rPr>
          <t>T_consensus.json | summary_row.ebit | 7258.98</t>
        </r>
      </text>
    </comment>
    <comment ref="C52" authorId="0">
      <text>
        <r>
          <rPr>
            <sz val="9"/>
            <color rgb="FF000000"/>
            <rFont val="Arial"/>
            <family val="2"/>
          </rPr>
          <t>T_consensus.json | summary_row.ebt_excl_excep | 5952.33</t>
        </r>
      </text>
    </comment>
    <comment ref="C53" authorId="0">
      <text>
        <r>
          <rPr>
            <sz val="9"/>
            <color rgb="FF000000"/>
            <rFont val="Arial"/>
            <family val="2"/>
          </rPr>
          <t>T_consensus.json | summary_row.ebt_gaap | 6015.36</t>
        </r>
      </text>
    </comment>
    <comment ref="C54" authorId="0">
      <text>
        <r>
          <rPr>
            <sz val="9"/>
            <color rgb="FF000000"/>
            <rFont val="Arial"/>
            <family val="2"/>
          </rPr>
          <t>T_consensus.json | summary_row.net_income_excl_excep | 4199.65</t>
        </r>
      </text>
    </comment>
    <comment ref="C55" authorId="0">
      <text>
        <r>
          <rPr>
            <sz val="9"/>
            <color rgb="FF000000"/>
            <rFont val="Arial"/>
            <family val="2"/>
          </rPr>
          <t>T_consensus.json | summary_row.net_income_gaap | 4225.5</t>
        </r>
      </text>
    </comment>
    <comment ref="C58" authorId="0">
      <text>
        <r>
          <rPr>
            <sz val="9"/>
            <color rgb="FF000000"/>
            <rFont val="Arial"/>
            <family val="2"/>
          </rPr>
          <t>T_consensus.json | summary_row.d_and_a | 5083.22</t>
        </r>
      </text>
    </comment>
    <comment ref="C62" authorId="0">
      <text>
        <r>
          <rPr>
            <sz val="9"/>
            <color rgb="FF000000"/>
            <rFont val="Arial"/>
            <family val="2"/>
          </rPr>
          <t>T_consensus.json | summary_row.interest_expense | -1895.82</t>
        </r>
      </text>
    </comment>
    <comment ref="C63" authorId="0">
      <text>
        <r>
          <rPr>
            <sz val="9"/>
            <color rgb="FF000000"/>
            <rFont val="Arial"/>
            <family val="2"/>
          </rPr>
          <t>T_consensus.json | summary_row.net_debt | 147291.84</t>
        </r>
      </text>
    </comment>
    <comment ref="C66" authorId="0">
      <text>
        <r>
          <rPr>
            <sz val="9"/>
            <color rgb="FF000000"/>
            <rFont val="Arial"/>
            <family val="2"/>
          </rPr>
          <t>T_consensus.json | summary_row.target_price_mean | 28.76</t>
        </r>
      </text>
    </comment>
    <comment ref="C67" authorId="0">
      <text>
        <r>
          <rPr>
            <sz val="9"/>
            <color rgb="FF000000"/>
            <rFont val="Arial"/>
            <family val="2"/>
          </rPr>
          <t>T_consensus.json | summary_row.target_price_median | 29.0</t>
        </r>
      </text>
    </comment>
    <comment ref="C68" authorId="0">
      <text>
        <r>
          <rPr>
            <sz val="9"/>
            <color rgb="FF000000"/>
            <rFont val="Arial"/>
            <family val="2"/>
          </rPr>
          <t>T_consensus.json | summary_row.target_price_high | 36.0</t>
        </r>
      </text>
    </comment>
    <comment ref="C69" authorId="0">
      <text>
        <r>
          <rPr>
            <sz val="9"/>
            <color rgb="FF000000"/>
            <rFont val="Arial"/>
            <family val="2"/>
          </rPr>
          <t>T_consensus.json | summary_row.target_price_low | 20.0</t>
        </r>
      </text>
    </comment>
    <comment ref="C70" authorId="0">
      <text>
        <r>
          <rPr>
            <sz val="9"/>
            <color rgb="FF000000"/>
            <rFont val="Arial"/>
            <family val="2"/>
          </rPr>
          <t>T_consensus.json | summary_row.target_price_std_dev | 3.99</t>
        </r>
      </text>
    </comment>
    <comment ref="C71" authorId="0">
      <text>
        <r>
          <rPr>
            <sz val="9"/>
            <color rgb="FF000000"/>
            <rFont val="Arial"/>
            <family val="2"/>
          </rPr>
          <t>T_consensus.json | summary_row.target_price_n_est | 23</t>
        </r>
      </text>
    </comment>
    <comment ref="C73" authorId="0">
      <text>
        <r>
          <rPr>
            <sz val="9"/>
            <color rgb="FF000000"/>
            <rFont val="Arial"/>
            <family val="2"/>
          </rPr>
          <t>T_consensus.json | summary_row.recommendation_score | 2.08</t>
        </r>
      </text>
    </comment>
    <comment ref="C74" authorId="0">
      <text>
        <r>
          <rPr>
            <sz val="9"/>
            <color rgb="FF000000"/>
            <rFont val="Arial"/>
            <family val="2"/>
          </rPr>
          <t>T_consensus.json | summary_row.last_close_price | 23.44</t>
        </r>
      </text>
    </comment>
    <comment ref="C82" authorId="0">
      <text>
        <r>
          <rPr>
            <sz val="9"/>
            <color rgb="FF000000"/>
            <rFont val="Arial"/>
            <family val="2"/>
          </rPr>
          <t>T_consensus.json | analyst_count | 19</t>
        </r>
      </text>
    </comment>
    <comment ref="C83" authorId="0">
      <text>
        <r>
          <rPr>
            <sz val="9"/>
            <color rgb="FF000000"/>
            <rFont val="Arial"/>
            <family val="2"/>
          </rPr>
          <t>T_consensus.json | consensus_eps | 0.6</t>
        </r>
      </text>
    </comment>
    <comment ref="C84" authorId="0">
      <text>
        <r>
          <rPr>
            <sz val="9"/>
            <color rgb="FF000000"/>
            <rFont val="Arial"/>
            <family val="2"/>
          </rPr>
          <t>T_consensus.json | consensus_revenue_m | 31645.33</t>
        </r>
      </text>
    </comment>
    <comment ref="D92" authorId="0">
      <text>
        <r>
          <rPr>
            <sz val="9"/>
            <color rgb="FF000000"/>
            <rFont val="Arial"/>
            <family val="2"/>
          </rPr>
          <t>T_history.csv | row 1 (2025-03-31) eps_normalized_consensus | 0.51</t>
        </r>
      </text>
    </comment>
    <comment ref="E92" authorId="0">
      <text>
        <r>
          <rPr>
            <sz val="9"/>
            <color rgb="FF000000"/>
            <rFont val="Arial"/>
            <family val="2"/>
          </rPr>
          <t>T_history.csv | row 1 (2025-03-31) eps_normalized_actual | 0.51</t>
        </r>
      </text>
    </comment>
    <comment ref="F92" authorId="0">
      <text>
        <r>
          <rPr>
            <sz val="9"/>
            <color rgb="FF000000"/>
            <rFont val="Arial"/>
            <family val="2"/>
          </rPr>
          <t>T_history.csv | row 1 (2025-03-31) eps_gaap_consensus | 0.49</t>
        </r>
      </text>
    </comment>
    <comment ref="G92" authorId="0">
      <text>
        <r>
          <rPr>
            <sz val="9"/>
            <color rgb="FF000000"/>
            <rFont val="Arial"/>
            <family val="2"/>
          </rPr>
          <t>T_history.csv | row 1 (2025-03-31) eps_gaap_actual | 0.61</t>
        </r>
      </text>
    </comment>
    <comment ref="H92" authorId="0">
      <text>
        <r>
          <rPr>
            <sz val="9"/>
            <color rgb="FF000000"/>
            <rFont val="Arial"/>
            <family val="2"/>
          </rPr>
          <t>T_history.csv | row 1 (2025-03-31) revenue_m_consensus | 30361.99</t>
        </r>
      </text>
    </comment>
    <comment ref="I92" authorId="0">
      <text>
        <r>
          <rPr>
            <sz val="9"/>
            <color rgb="FF000000"/>
            <rFont val="Arial"/>
            <family val="2"/>
          </rPr>
          <t>T_history.csv | row 1 (2025-03-31) revenue_m_actual | 30626.0</t>
        </r>
      </text>
    </comment>
    <comment ref="D93" authorId="0">
      <text>
        <r>
          <rPr>
            <sz val="9"/>
            <color rgb="FF000000"/>
            <rFont val="Arial"/>
            <family val="2"/>
          </rPr>
          <t>T_history.csv | row 2 (2025-06-30) eps_normalized_consensus | 0.53</t>
        </r>
      </text>
    </comment>
    <comment ref="E93" authorId="0">
      <text>
        <r>
          <rPr>
            <sz val="9"/>
            <color rgb="FF000000"/>
            <rFont val="Arial"/>
            <family val="2"/>
          </rPr>
          <t>T_history.csv | row 2 (2025-06-30) eps_normalized_actual | 0.54</t>
        </r>
      </text>
    </comment>
    <comment ref="F93" authorId="0">
      <text>
        <r>
          <rPr>
            <sz val="9"/>
            <color rgb="FF000000"/>
            <rFont val="Arial"/>
            <family val="2"/>
          </rPr>
          <t>T_history.csv | row 2 (2025-06-30) eps_gaap_consensus | 0.53</t>
        </r>
      </text>
    </comment>
    <comment ref="G93" authorId="0">
      <text>
        <r>
          <rPr>
            <sz val="9"/>
            <color rgb="FF000000"/>
            <rFont val="Arial"/>
            <family val="2"/>
          </rPr>
          <t>T_history.csv | row 2 (2025-06-30) eps_gaap_actual | 0.62</t>
        </r>
      </text>
    </comment>
    <comment ref="H93" authorId="0">
      <text>
        <r>
          <rPr>
            <sz val="9"/>
            <color rgb="FF000000"/>
            <rFont val="Arial"/>
            <family val="2"/>
          </rPr>
          <t>T_history.csv | row 2 (2025-06-30) revenue_m_consensus | 30475.82</t>
        </r>
      </text>
    </comment>
    <comment ref="I93" authorId="0">
      <text>
        <r>
          <rPr>
            <sz val="9"/>
            <color rgb="FF000000"/>
            <rFont val="Arial"/>
            <family val="2"/>
          </rPr>
          <t>T_history.csv | row 2 (2025-06-30) revenue_m_actual | 30847.0</t>
        </r>
      </text>
    </comment>
    <comment ref="D94" authorId="0">
      <text>
        <r>
          <rPr>
            <sz val="9"/>
            <color rgb="FF000000"/>
            <rFont val="Arial"/>
            <family val="2"/>
          </rPr>
          <t>T_history.csv | row 3 (2025-09-30) eps_normalized_consensus | 0.54</t>
        </r>
      </text>
    </comment>
    <comment ref="E94" authorId="0">
      <text>
        <r>
          <rPr>
            <sz val="9"/>
            <color rgb="FF000000"/>
            <rFont val="Arial"/>
            <family val="2"/>
          </rPr>
          <t>T_history.csv | row 3 (2025-09-30) eps_normalized_actual | 0.54</t>
        </r>
      </text>
    </comment>
    <comment ref="F94" authorId="0">
      <text>
        <r>
          <rPr>
            <sz val="9"/>
            <color rgb="FF000000"/>
            <rFont val="Arial"/>
            <family val="2"/>
          </rPr>
          <t>T_history.csv | row 3 (2025-09-30) eps_gaap_consensus | 0.53</t>
        </r>
      </text>
    </comment>
    <comment ref="G94" authorId="0">
      <text>
        <r>
          <rPr>
            <sz val="9"/>
            <color rgb="FF000000"/>
            <rFont val="Arial"/>
            <family val="2"/>
          </rPr>
          <t>T_history.csv | row 3 (2025-09-30) eps_gaap_actual | 1.29</t>
        </r>
      </text>
    </comment>
    <comment ref="H94" authorId="0">
      <text>
        <r>
          <rPr>
            <sz val="9"/>
            <color rgb="FF000000"/>
            <rFont val="Arial"/>
            <family val="2"/>
          </rPr>
          <t>T_history.csv | row 3 (2025-09-30) revenue_m_consensus | 30885.46</t>
        </r>
      </text>
    </comment>
    <comment ref="I94" authorId="0">
      <text>
        <r>
          <rPr>
            <sz val="9"/>
            <color rgb="FF000000"/>
            <rFont val="Arial"/>
            <family val="2"/>
          </rPr>
          <t>T_history.csv | row 3 (2025-09-30) revenue_m_actual | 30709.0</t>
        </r>
      </text>
    </comment>
    <comment ref="D95" authorId="0">
      <text>
        <r>
          <rPr>
            <sz val="9"/>
            <color rgb="FF000000"/>
            <rFont val="Arial"/>
            <family val="2"/>
          </rPr>
          <t>T_history.csv | row 4 (2025-12-31) eps_normalized_consensus | 0.47</t>
        </r>
      </text>
    </comment>
    <comment ref="E95" authorId="0">
      <text>
        <r>
          <rPr>
            <sz val="9"/>
            <color rgb="FF000000"/>
            <rFont val="Arial"/>
            <family val="2"/>
          </rPr>
          <t>T_history.csv | row 4 (2025-12-31) eps_normalized_actual | 0.52</t>
        </r>
      </text>
    </comment>
    <comment ref="F95" authorId="0">
      <text>
        <r>
          <rPr>
            <sz val="9"/>
            <color rgb="FF000000"/>
            <rFont val="Arial"/>
            <family val="2"/>
          </rPr>
          <t>T_history.csv | row 4 (2025-12-31) eps_gaap_consensus | 0.46</t>
        </r>
      </text>
    </comment>
    <comment ref="G95" authorId="0">
      <text>
        <r>
          <rPr>
            <sz val="9"/>
            <color rgb="FF000000"/>
            <rFont val="Arial"/>
            <family val="2"/>
          </rPr>
          <t>T_history.csv | row 4 (2025-12-31) eps_gaap_actual | 0.53</t>
        </r>
      </text>
    </comment>
    <comment ref="H95" authorId="0">
      <text>
        <r>
          <rPr>
            <sz val="9"/>
            <color rgb="FF000000"/>
            <rFont val="Arial"/>
            <family val="2"/>
          </rPr>
          <t>T_history.csv | row 4 (2025-12-31) revenue_m_consensus | 32880.99</t>
        </r>
      </text>
    </comment>
    <comment ref="I95" authorId="0">
      <text>
        <r>
          <rPr>
            <sz val="9"/>
            <color rgb="FF000000"/>
            <rFont val="Arial"/>
            <family val="2"/>
          </rPr>
          <t>T_history.csv | row 4 (2025-12-31) revenue_m_actual | 33466.0</t>
        </r>
      </text>
    </comment>
    <comment ref="D96" authorId="0">
      <text>
        <r>
          <rPr>
            <sz val="9"/>
            <color rgb="FF000000"/>
            <rFont val="Arial"/>
            <family val="2"/>
          </rPr>
          <t>T_history.csv | row 5 (2026-03-31) eps_normalized_consensus | 0.55</t>
        </r>
      </text>
    </comment>
    <comment ref="E96" authorId="0">
      <text>
        <r>
          <rPr>
            <sz val="9"/>
            <color rgb="FF000000"/>
            <rFont val="Arial"/>
            <family val="2"/>
          </rPr>
          <t>T_history.csv | row 5 (2026-03-31) eps_normalized_actual | 0.57</t>
        </r>
      </text>
    </comment>
    <comment ref="F96" authorId="0">
      <text>
        <r>
          <rPr>
            <sz val="9"/>
            <color rgb="FF000000"/>
            <rFont val="Arial"/>
            <family val="2"/>
          </rPr>
          <t>T_history.csv | row 5 (2026-03-31) eps_gaap_consensus | 0.55</t>
        </r>
      </text>
    </comment>
    <comment ref="G96" authorId="0">
      <text>
        <r>
          <rPr>
            <sz val="9"/>
            <color rgb="FF000000"/>
            <rFont val="Arial"/>
            <family val="2"/>
          </rPr>
          <t>T_history.csv | row 5 (2026-03-31) eps_gaap_actual | 0.54</t>
        </r>
      </text>
    </comment>
    <comment ref="H96" authorId="0">
      <text>
        <r>
          <rPr>
            <sz val="9"/>
            <color rgb="FF000000"/>
            <rFont val="Arial"/>
            <family val="2"/>
          </rPr>
          <t>T_history.csv | row 5 (2026-03-31) revenue_m_consensus | 31238.64</t>
        </r>
      </text>
    </comment>
    <comment ref="I96" authorId="0">
      <text>
        <r>
          <rPr>
            <sz val="9"/>
            <color rgb="FF000000"/>
            <rFont val="Arial"/>
            <family val="2"/>
          </rPr>
          <t>T_history.csv | row 5 (2026-03-31) revenue_m_actual | 31506.0</t>
        </r>
      </text>
    </comment>
    <comment ref="D97" authorId="0">
      <text>
        <r>
          <rPr>
            <sz val="9"/>
            <color rgb="FF000000"/>
            <rFont val="Arial"/>
            <family val="2"/>
          </rPr>
          <t>T_history.csv | row 6 (2026-06-30) eps_normalized_consensus | 0.59</t>
        </r>
      </text>
    </comment>
    <comment ref="E97" authorId="0">
      <text>
        <r>
          <rPr>
            <sz val="9"/>
            <color rgb="FF000000"/>
            <rFont val="Arial"/>
            <family val="2"/>
          </rPr>
          <t>T_history.csv | row 6 (2026-06-30) eps_normalized_actual | 0.65</t>
        </r>
      </text>
    </comment>
    <comment ref="F97" authorId="0">
      <text>
        <r>
          <rPr>
            <sz val="9"/>
            <color rgb="FF000000"/>
            <rFont val="Arial"/>
            <family val="2"/>
          </rPr>
          <t>T_history.csv | row 6 (2026-06-30) eps_gaap_consensus | 0.59</t>
        </r>
      </text>
    </comment>
    <comment ref="G97" authorId="0">
      <text>
        <r>
          <rPr>
            <sz val="9"/>
            <color rgb="FF000000"/>
            <rFont val="Arial"/>
            <family val="2"/>
          </rPr>
          <t>T_history.csv | row 6 (2026-06-30) eps_gaap_actual | 0.66</t>
        </r>
      </text>
    </comment>
    <comment ref="H97" authorId="0">
      <text>
        <r>
          <rPr>
            <sz val="9"/>
            <color rgb="FF000000"/>
            <rFont val="Arial"/>
            <family val="2"/>
          </rPr>
          <t>T_history.csv | row 6 (2026-06-30) revenue_m_consensus | 31809.89</t>
        </r>
      </text>
    </comment>
    <comment ref="I97" authorId="0">
      <text>
        <r>
          <rPr>
            <sz val="9"/>
            <color rgb="FF000000"/>
            <rFont val="Arial"/>
            <family val="2"/>
          </rPr>
          <t>T_history.csv | row 6 (2026-06-30) revenue_m_actual | 31558.0</t>
        </r>
      </text>
    </comment>
    <comment ref="C100" authorId="0">
      <text>
        <r>
          <rPr>
            <sz val="9"/>
            <color rgb="FF000000"/>
            <rFont val="Arial"/>
            <family val="2"/>
          </rPr>
          <t>stockanalysis.com/stocks/t/market-cap | Market cap as of October 16, 2026 | $160.62 billion</t>
        </r>
      </text>
    </comment>
    <comment ref="C103" authorId="0">
      <text>
        <r>
          <rPr>
            <sz val="9"/>
            <color rgb="FF000000"/>
            <rFont val="Arial"/>
            <family val="2"/>
          </rPr>
          <t>forecasting-playbook.md | Section 7 | 0.78 large OR S&amp;P 500</t>
        </r>
      </text>
    </comment>
  </commentList>
</comments>
</file>

<file path=xl/sharedStrings.xml><?xml version="1.0" encoding="utf-8"?>
<sst xmlns="http://schemas.openxmlformats.org/spreadsheetml/2006/main" count="809" uniqueCount="809">
  <si>
    <t>AT&amp;T Inc. (NYSE:T)</t>
  </si>
  <si>
    <t>Cover — Company Model — built by Shortcut</t>
  </si>
  <si>
    <t>$ millions, except per share</t>
  </si>
  <si>
    <t>Period</t>
  </si>
  <si>
    <t>3Q26E</t>
  </si>
  <si>
    <t>Period end</t>
  </si>
  <si>
    <t>Days in period</t>
  </si>
  <si>
    <t>Headline: 3Q26E (quarter ended 30-Sep-2026)</t>
  </si>
  <si>
    <t>Shortcut estimate</t>
  </si>
  <si>
    <t>Consensus at cutoff (CapIQ)</t>
  </si>
  <si>
    <t>Variance</t>
  </si>
  <si>
    <t>Variance %</t>
  </si>
  <si>
    <t>Guidance midpoint</t>
  </si>
  <si>
    <t>Estimate vs guidance</t>
  </si>
  <si>
    <t>Total operating revenues</t>
  </si>
  <si>
    <t>n/a</t>
  </si>
  <si>
    <t>Adjusted NI attributable to common (unscored; B36)</t>
  </si>
  <si>
    <t>Adjusted diluted EPS (normalized; scored)</t>
  </si>
  <si>
    <t>GAAP diluted EPS - continuing operations</t>
  </si>
  <si>
    <t>GAAP net income attributable to common</t>
  </si>
  <si>
    <t>Adjusted EBITDA (unscored; CapIQ basis, see B36)</t>
  </si>
  <si>
    <t>Free cash flow (AT&amp;T definition; guidance-anchored)</t>
  </si>
  <si>
    <t>Cover-to-statement link identity (structural; = 0)</t>
  </si>
  <si>
    <t>Overall check result (inline checks; see row 33)</t>
  </si>
  <si>
    <t>PASS</t>
  </si>
  <si>
    <t>P(beat consensus EPS)</t>
  </si>
  <si>
    <t>Confidence</t>
  </si>
  <si>
    <t>medium</t>
  </si>
  <si>
    <t>Company</t>
  </si>
  <si>
    <t>AT&amp;T Inc.</t>
  </si>
  <si>
    <t>Ticker / exchange</t>
  </si>
  <si>
    <t>T / NYSE (CapIQ NYSE:T, company id 100231)</t>
  </si>
  <si>
    <t>Fiscal year end</t>
  </si>
  <si>
    <t>December 31 (3Q26 = quarter ended 30-Sep-2026; supplied label 2026-09-30 matches issuer calendar)</t>
  </si>
  <si>
    <t>Reporting currency</t>
  </si>
  <si>
    <t>USD; amounts in $ millions</t>
  </si>
  <si>
    <t>EPS basis</t>
  </si>
  <si>
    <t>Adjusted (normalized) diluted EPS per common share, USD - matches CapIQ normalized consensus</t>
  </si>
  <si>
    <t>Information cutoff</t>
  </si>
  <si>
    <t>2026-10-18 21:34:46 UTC</t>
  </si>
  <si>
    <t>Expected report date</t>
  </si>
  <si>
    <t>2026-10-21 before market open (confirmed by AT&amp;T, 27-Aug-2026; matches supplied date)</t>
  </si>
  <si>
    <t>Consensus snapshot</t>
  </si>
  <si>
    <t>S&amp;P Capital IQ, captured 2026-10-18 (date precision); 19 normalized EPS estimates</t>
  </si>
  <si>
    <t>Author</t>
  </si>
  <si>
    <t>Shortcut (Company Model — built by Shortcut)</t>
  </si>
  <si>
    <t>Alternative consensus (older; not scored)</t>
  </si>
  <si>
    <t>Zacks 16-Oct-2026 (older than the 18-Oct-2026 CapIQ snapshot): EPS $0.61, revenue $31.68bn (S15); not used for scoring</t>
  </si>
  <si>
    <t>Guidance midpoint: AT&amp;T gives no quarterly revenue, net income or EPS guidance (FY26 adjusted EPS $2.25-2.35; see Guidance tab).</t>
  </si>
  <si>
    <t>Gross profit / gross margin: n/a - not issuer-reported (AT&amp;T shows cost of revenues excl. D&amp;A; no issuer gross margin); not manufactured, not scored.</t>
  </si>
  <si>
    <t>Structural identities: 3Q26E Cash Flow Statement H57/H58 and Cover C17 are zero by construction, not independent tests; forecast integrity rests on Balance Sheet H46.</t>
  </si>
  <si>
    <t>Guidance-anchored: 3Q26E FCF (C16) and operating cash flow rely on the Cash Flow Statement H20 working-capital plug (1,350); not an independent FCF validation.</t>
  </si>
  <si>
    <t>Historical gap: FY24A adjusted EPS reconstructed $1.959 vs reported $1.95 (Income Statement L133 = +$0.01); disclosed as unreconciled, excluded from C18.</t>
  </si>
  <si>
    <t>Unscored CapIQ comparisons: D11 (net_income_excl_excep) and D15 (ebitda) are CapIQ-basis consensus lines not reconciled to AT&amp;T adjusted NI / adjusted EBITDA definitions (4,199.65 / $0.60 implies ~7,000M shares vs model 6,840M); only normalized EPS (row 12) is scored.</t>
  </si>
  <si>
    <t>Additional tracked metrics - 3Q26E (unscored; direct links to existing build cells)</t>
  </si>
  <si>
    <t>Metric</t>
  </si>
  <si>
    <t>Source cell</t>
  </si>
  <si>
    <t>Basis / limitation</t>
  </si>
  <si>
    <t>Weighted average diluted shares (millions)</t>
  </si>
  <si>
    <t>SC!H29</t>
  </si>
  <si>
    <t>EPS denominator; H27 +5M timing offset and $24.50 buyback price are retained judgments</t>
  </si>
  <si>
    <t>Total revenue growth (% Y/Y)</t>
  </si>
  <si>
    <t>IS!H12</t>
  </si>
  <si>
    <t>Reported basis vs 3Q25A</t>
  </si>
  <si>
    <t>Segment revenue - Advanced Connectivity</t>
  </si>
  <si>
    <t>RS!H9</t>
  </si>
  <si>
    <t>Reported segment</t>
  </si>
  <si>
    <t>Segment revenue - Legacy</t>
  </si>
  <si>
    <t>RS!H17</t>
  </si>
  <si>
    <t>Segment revenue - Latin America (Mexico)</t>
  </si>
  <si>
    <t>RS!H25</t>
  </si>
  <si>
    <t>Reported segment; Mexico held for sale but in continuing operations</t>
  </si>
  <si>
    <t>Operating income (GAAP)</t>
  </si>
  <si>
    <t>IS!H33</t>
  </si>
  <si>
    <t>GAAP operating income</t>
  </si>
  <si>
    <t>Operating margin (GAAP, %)</t>
  </si>
  <si>
    <t>IS!H36</t>
  </si>
  <si>
    <t>Operating income / total operating revenues</t>
  </si>
  <si>
    <t>Organic revenue growth (% Y/Y; model-defined)</t>
  </si>
  <si>
    <t>RS!H47</t>
  </si>
  <si>
    <t>Basis limited: removes estimated Lumen scope and Mexico FX only; not an issuer-reported organic metric</t>
  </si>
  <si>
    <t>Operating cash flow</t>
  </si>
  <si>
    <t>CFS!H24</t>
  </si>
  <si>
    <t>CFO/FCF guidance-anchored via H20 working-capital plug (1,350); not independent</t>
  </si>
  <si>
    <t>Capital expenditures (cash outflow, shown negative)</t>
  </si>
  <si>
    <t>CFS!H26</t>
  </si>
  <si>
    <t>Cash-flow sign retained; aggregate 5,650 assumed to include the 50 capitalized interest (IS H98)</t>
  </si>
  <si>
    <t>Gross profit / gross margin</t>
  </si>
  <si>
    <t>Not issuer-reported; not manufactured (see B32)</t>
  </si>
  <si>
    <t>EPS rounding sensitivity - capitalized interest judgment (IS H98; not a new forecast)</t>
  </si>
  <si>
    <t>Adjusted diluted EPS case</t>
  </si>
  <si>
    <t>Unrounded</t>
  </si>
  <si>
    <t>Rounded ($0.01)</t>
  </si>
  <si>
    <t>As modeled (incl. H98 = -50 capitalized interest)</t>
  </si>
  <si>
    <t>Forecast retained (headline C12)</t>
  </si>
  <si>
    <t>Without capitalization (sensitivity only)</t>
  </si>
  <si>
    <t>Adds back after-tax 50 at H122 22% adjusted ETR; shares H62 unchanged</t>
  </si>
  <si>
    <t>Difference (without less as modeled)</t>
  </si>
  <si>
    <t>H98 = -50 is retained as an unresolved judgment (issuer 6M26 spectrum capitalized interest was nil per S2); sensitivity shown for disclosure only, not used in scoring.</t>
  </si>
  <si>
    <t>Additional metrics (rows 40-50) are unscored tracking links; only normalized EPS (C12) is scored. Organic growth basis is model-defined; operating cash flow is guidance-anchored. Source cells: SC = Share Count, IS = Income Statement, RS = Revenue summary, CFS = Cash Flow Statement.</t>
  </si>
  <si>
    <t>Revenue summary: segments, service vs equipment, geography</t>
  </si>
  <si>
    <t>Prior-year comparatives (reported; feed Y/Y)</t>
  </si>
  <si>
    <t>3Q25A</t>
  </si>
  <si>
    <t>4Q25A</t>
  </si>
  <si>
    <t>FY25A</t>
  </si>
  <si>
    <t>1Q26A</t>
  </si>
  <si>
    <t>2Q26A</t>
  </si>
  <si>
    <t>3Q24A</t>
  </si>
  <si>
    <t>4Q24A</t>
  </si>
  <si>
    <t>FY24A</t>
  </si>
  <si>
    <t>1Q25A</t>
  </si>
  <si>
    <t>2Q25A</t>
  </si>
  <si>
    <t>Notes</t>
  </si>
  <si>
    <t>Operating revenues by reported segment</t>
  </si>
  <si>
    <t>Advanced Connectivity</t>
  </si>
  <si>
    <t>% Y/Y</t>
  </si>
  <si>
    <t>% Q/Q</t>
  </si>
  <si>
    <t>% of total revenue</t>
  </si>
  <si>
    <t>Sequential change</t>
  </si>
  <si>
    <t>M&amp;A / scope impact</t>
  </si>
  <si>
    <t>FX impact</t>
  </si>
  <si>
    <t>Organic growth</t>
  </si>
  <si>
    <t>Legacy</t>
  </si>
  <si>
    <t>Latin America (Mexico)</t>
  </si>
  <si>
    <t>Corporate &amp; Other (not a reportable segment)</t>
  </si>
  <si>
    <t>3Q26E: -10% Y/Y input (value portfolio / securitization fee runoff; consensus line item ~$93M per Zacks 16-Oct-2026).</t>
  </si>
  <si>
    <t>Total revenues - as reported</t>
  </si>
  <si>
    <t>FY25A E48 = issuer-reported FY2025 total operating revenues 125,648 (S4, 8-K 28-Jan-2026 Ex. 99.2), an independent anchor for E49 rather than a sum of quarters. Prior-year as reported: J48 30,213 (S6), K48 32,298 and L48 122,336 (S4); M48/N48 from T_history.</t>
  </si>
  <si>
    <t>Check: segments sum to reported total (= 0)</t>
  </si>
  <si>
    <t>Service vs equipment</t>
  </si>
  <si>
    <t>Service revenues</t>
  </si>
  <si>
    <t>Equipment revenues</t>
  </si>
  <si>
    <t>Check: service + equipment = total (= 0)</t>
  </si>
  <si>
    <t>Revenue by geography (folded in; no separate Geo tab)</t>
  </si>
  <si>
    <t>United States (AC + Legacy + Corporate &amp; Other)</t>
  </si>
  <si>
    <t>Geography: ~96% of revenue is U.S.; the only other disclosed geography is Mexico, identical to the Latin America segment, so a separate Geo tab would restate this tab (see Sources).</t>
  </si>
  <si>
    <t>United States (% of total revenue)</t>
  </si>
  <si>
    <t>Mexico (= Latin America segment)</t>
  </si>
  <si>
    <t>Check: geographies sum to total (= 0)</t>
  </si>
  <si>
    <t>Segment - Advanced Connectivity: subscriber drivers, revenue build and segment profit</t>
  </si>
  <si>
    <t>Retail wireless subscribers (thousands)</t>
  </si>
  <si>
    <t>Postpaid phone</t>
  </si>
  <si>
    <t>Opening postpaid phone subscribers</t>
  </si>
  <si>
    <t>Postpaid phone net adds</t>
  </si>
  <si>
    <t>Y/Y change</t>
  </si>
  <si>
    <t>Acq. / definitional adj. (derived)</t>
  </si>
  <si>
    <t>Closing postpaid phone subscribers</t>
  </si>
  <si>
    <t>Average postpaid phone subscribers</t>
  </si>
  <si>
    <t>Postpaid phone churn (monthly avg, %)</t>
  </si>
  <si>
    <t>Y/Y change (bps)</t>
  </si>
  <si>
    <t>Q/Q change (bps)</t>
  </si>
  <si>
    <t>Implied disconnects</t>
  </si>
  <si>
    <t>Implied gross adds</t>
  </si>
  <si>
    <t>Prepaid phone</t>
  </si>
  <si>
    <t>Opening prepaid phone</t>
  </si>
  <si>
    <t>Prepaid phone net adds</t>
  </si>
  <si>
    <t>Closing prepaid phone</t>
  </si>
  <si>
    <t>Average prepaid phone</t>
  </si>
  <si>
    <t>Prepaid phone churn (monthly avg, %)</t>
  </si>
  <si>
    <t>Other wireless (connected devices)</t>
  </si>
  <si>
    <t>Opening other wireless (connected devices)</t>
  </si>
  <si>
    <t>Other wireless (connected devices) net adds</t>
  </si>
  <si>
    <t>Closing other wireless (connected devices)</t>
  </si>
  <si>
    <t>Average other wireless (connected devices)</t>
  </si>
  <si>
    <t>Retail wireless totals</t>
  </si>
  <si>
    <t>Retail phone subscribers (postpaid + prepaid)</t>
  </si>
  <si>
    <t>Total retail wireless subscribers</t>
  </si>
  <si>
    <t>Postpaid phone mix (% of retail phone)</t>
  </si>
  <si>
    <t>Advanced Connectivity internet connections (thousands)</t>
  </si>
  <si>
    <t>AT&amp;T Fiber (consumer)</t>
  </si>
  <si>
    <t>Opening AT&amp;T Fiber connections</t>
  </si>
  <si>
    <t>AT&amp;T Fiber net adds</t>
  </si>
  <si>
    <t>Acquired (Lumen) / other adj.</t>
  </si>
  <si>
    <t>Closing AT&amp;T Fiber connections</t>
  </si>
  <si>
    <t>Average AT&amp;T Fiber connections</t>
  </si>
  <si>
    <t>AT&amp;T Internet Air (consumer fixed wireless)</t>
  </si>
  <si>
    <t>Opening AIA connections</t>
  </si>
  <si>
    <t>AIA net adds</t>
  </si>
  <si>
    <t>Adjustments (derived)</t>
  </si>
  <si>
    <t>Closing AIA connections</t>
  </si>
  <si>
    <t>AIA closings for 3Q25A/4Q25A are not separately reported; rolled forward from the reported 2Q25 base (1,006k) with reported AIA net adds. 1Q26 adjustment of 0 confirms the roll-forward ties to the reported 1Q26 balance.</t>
  </si>
  <si>
    <t>Average AIA connections</t>
  </si>
  <si>
    <t>AT&amp;T Business Fiber</t>
  </si>
  <si>
    <t>Opening at&amp;t business fiber</t>
  </si>
  <si>
    <t>AT&amp;T Business Fiber net adds</t>
  </si>
  <si>
    <t>Closing at&amp;t business fiber</t>
  </si>
  <si>
    <t>Average at&amp;t business fiber</t>
  </si>
  <si>
    <t>Business Fixed Wireless</t>
  </si>
  <si>
    <t>Opening business fixed wireless</t>
  </si>
  <si>
    <t>Business Fixed Wireless net adds</t>
  </si>
  <si>
    <t>Closing business fixed wireless</t>
  </si>
  <si>
    <t>Average business fixed wireless</t>
  </si>
  <si>
    <t>Internet connection totals</t>
  </si>
  <si>
    <t>Fiber connections (AT&amp;T Fiber + Business Fiber)</t>
  </si>
  <si>
    <t>Fixed wireless connections (AIA + Business FW)</t>
  </si>
  <si>
    <t>Total internet connections</t>
  </si>
  <si>
    <t>Consumer AHI connections (Fiber + AIA)</t>
  </si>
  <si>
    <t>Fixed wireless mix (% of total internet)</t>
  </si>
  <si>
    <t>Average consumer AHI connections</t>
  </si>
  <si>
    <t>Per-unit economics (US$ per month)</t>
  </si>
  <si>
    <t>Wireless svc rev per avg postpaid phone</t>
  </si>
  <si>
    <t>Derived per-unit metric (not company-defined ARPU): AC wireless service revenue / average postpaid phone subscribers / 3 months. 3Q26E input reflects full-quarter benefit of 2Q26 pricing actions (company, 8-Sep-2026: pricing actions "expected to support strong growth in wireless service revenue during the third quarter").</t>
  </si>
  <si>
    <t>Sequential change ($)</t>
  </si>
  <si>
    <t>AHI revenue per avg connection</t>
  </si>
  <si>
    <t>Derived: AHI revenue / average (AT&amp;T Fiber + AIA) connections / 3 months. 1Q26A overstated because the opening balance excludes ~1.1M Lumen customers acquired 2-Feb-2026. 3Q26E input assumes ~1% sequential decline: management guided fiber ARPU pressure from converged-offer discounts in 3Q26 (2Q26 call; 8-Sep-2026 release).</t>
  </si>
  <si>
    <t>Memo: est. Lumen customer revenue</t>
  </si>
  <si>
    <t>Estimate (not disclosed by AT&amp;T): acquired Lumen subscribers (1Q26A derived adjustment row) x AHI revenue per connection x months owned (2 in 1Q26, 3 thereafter). Lumen customers carry lower ARPU, so this likely overstates scope modestly. Consistent with Jan-2026 guidance that Lumen adds ~100bp to 2026 AC service revenue growth.</t>
  </si>
  <si>
    <t>Consumer revenue</t>
  </si>
  <si>
    <t>Consumer wireless service</t>
  </si>
  <si>
    <t>% of segment revenue</t>
  </si>
  <si>
    <t>Advanced home internet</t>
  </si>
  <si>
    <t>Other service (wholesale &amp; other)</t>
  </si>
  <si>
    <t>Consumer service revenue</t>
  </si>
  <si>
    <t>Consumer equipment</t>
  </si>
  <si>
    <t>Consumer operating revenues</t>
  </si>
  <si>
    <t>Business revenue</t>
  </si>
  <si>
    <t>Business wireless service</t>
  </si>
  <si>
    <t>Business fiber and advanced connectivity</t>
  </si>
  <si>
    <t>Business transitional and other</t>
  </si>
  <si>
    <t>Business service revenue</t>
  </si>
  <si>
    <t>Business equipment</t>
  </si>
  <si>
    <t>Business operating revenues</t>
  </si>
  <si>
    <t>Advanced Connectivity segment revenue</t>
  </si>
  <si>
    <t>Wireless service (consumer + business)</t>
  </si>
  <si>
    <t>Business share of wireless service (%)</t>
  </si>
  <si>
    <t>Total service revenues</t>
  </si>
  <si>
    <t>Total Advanced Connectivity operating revenues</t>
  </si>
  <si>
    <t>Segment profit</t>
  </si>
  <si>
    <t>Operations and support expenses</t>
  </si>
  <si>
    <t>Segment EBITDA</t>
  </si>
  <si>
    <t>EBITDA margin (%)</t>
  </si>
  <si>
    <t>Depreciation and amortization</t>
  </si>
  <si>
    <t>Segment operating income</t>
  </si>
  <si>
    <t>Operating income margin (%)</t>
  </si>
  <si>
    <t>Reported segment operating income</t>
  </si>
  <si>
    <t>Check: OI vs reported segment operating income (= 0)</t>
  </si>
  <si>
    <t>Segment - Legacy (copper-based voice and data)</t>
  </si>
  <si>
    <t>Legacy segment revenue (all service; no subscriber KPIs disclosed)</t>
  </si>
  <si>
    <t>Legacy segment operating revenues</t>
  </si>
  <si>
    <t>Driver: Y/Y decline input. Company guides Legacy service revenue decline of 20%+ in 2026 (Jan-2026, reiterated 22-Jul and 8-Sep-2026); 1H26 ran -25.6% Y/Y as copper decommissioning accelerates (FCC approvals). 3Q26E input -25.5%.</t>
  </si>
  <si>
    <t>Legacy segment profit</t>
  </si>
  <si>
    <t>Operations and support expenses (direct costs)</t>
  </si>
  <si>
    <t>Segment EBITDA (= operating income)</t>
  </si>
  <si>
    <t>Margin input 31.5% for 3Q26E (2Q26A 32.0%, 1Q26A 34.6%); Legacy EBITDA expected to turn negative after 2027 per company outlook.</t>
  </si>
  <si>
    <t>Segment - Latin America (AT&amp;T Mexico; held-for-sale from 3Q26, continuing operations)</t>
  </si>
  <si>
    <t>Mexico wireless subscribers (thousands)</t>
  </si>
  <si>
    <t>Postpaid</t>
  </si>
  <si>
    <t>Opening postpaid subscribers</t>
  </si>
  <si>
    <t>Postpaid net adds</t>
  </si>
  <si>
    <t>Closing postpaid subscribers</t>
  </si>
  <si>
    <t>Prepaid</t>
  </si>
  <si>
    <t>Opening prepaid subscribers</t>
  </si>
  <si>
    <t>Prepaid net adds</t>
  </si>
  <si>
    <t>Closing prepaid subscribers</t>
  </si>
  <si>
    <t>Reseller</t>
  </si>
  <si>
    <t>Opening reseller subscribers</t>
  </si>
  <si>
    <t>Reseller net adds</t>
  </si>
  <si>
    <t>Closing reseller subscribers</t>
  </si>
  <si>
    <t>Mexico totals</t>
  </si>
  <si>
    <t>Total Mexico wireless subscribers</t>
  </si>
  <si>
    <t>Total Mexico net adds</t>
  </si>
  <si>
    <t>Postpaid mix (% of total)</t>
  </si>
  <si>
    <t>Average Mexico wireless subscribers</t>
  </si>
  <si>
    <t>FX driver (MXN per US$; FRED EXMXUS monthly averages)</t>
  </si>
  <si>
    <t>Average MXN per US$</t>
  </si>
  <si>
    <t>Est. FX impact on MXN revenue</t>
  </si>
  <si>
    <t>Estimate, not company-disclosed: assumes Mexico revenue is MXN-denominated and translated at period-average rates. AT&amp;T does not quantify the FX effect; used only for the growth decomposition below.</t>
  </si>
  <si>
    <t>Latin America revenue build</t>
  </si>
  <si>
    <t>Service rev per avg Mexico sub</t>
  </si>
  <si>
    <t>Wireless service</t>
  </si>
  <si>
    <t>Wireless equipment</t>
  </si>
  <si>
    <t>Total Latin America operating revenues</t>
  </si>
  <si>
    <t>AT&amp;T agreed on 13-Oct-2026 to sell AT&amp;T Mexico for $2.0bn (close expected 1Q27); it remains in continuing operations as held-for-sale, so 3Q26 revenue still includes Mexico. Any held-for-sale write-down is a GAAP-only item (excluded from adjusted EPS) and is not quantified here.</t>
  </si>
  <si>
    <t>Latin America segment profit</t>
  </si>
  <si>
    <t>Income Statement (as reported, continuing operations) with GAAP to adjusted bridge</t>
  </si>
  <si>
    <t>Revenues</t>
  </si>
  <si>
    <t>Operating expenses</t>
  </si>
  <si>
    <t>Cost of revenues - equipment</t>
  </si>
  <si>
    <t>Equipment cost / equipment revenue (%)</t>
  </si>
  <si>
    <t>Input 102.5% (2Q26A 102.9%, 3Q25A 101.8%); equipment sold near/below cost.</t>
  </si>
  <si>
    <t>Other cost of revenues (excl. D&amp;A)</t>
  </si>
  <si>
    <t>Selling, general and administrative</t>
  </si>
  <si>
    <t>3Q26E SG&amp;A is the balancing item: total operations &amp; support (revenue less GAAP EBITDA from the segment build) less equipment cost, other cost of revenues and impairments.</t>
  </si>
  <si>
    <t>Asset impairments, abandonments and restructuring</t>
  </si>
  <si>
    <t>3Q26E: no restructuring/impairment assumed (explicit assumption). AT&amp;T Mexico held-for-sale classification could trigger a GAAP write-down; not quantifiable from public data and excluded from adjusted EPS.</t>
  </si>
  <si>
    <t>Operations and support expenses (subtotal)</t>
  </si>
  <si>
    <t>Total operating expenses</t>
  </si>
  <si>
    <t>Operating income</t>
  </si>
  <si>
    <t>Operating margin (%)</t>
  </si>
  <si>
    <t>Non-operating items</t>
  </si>
  <si>
    <t>Interest expense</t>
  </si>
  <si>
    <t>Equity in net income (loss) of affiliates</t>
  </si>
  <si>
    <t>Other income (expense) - net</t>
  </si>
  <si>
    <t>Income from continuing operations before income taxes</t>
  </si>
  <si>
    <t>Income tax expense</t>
  </si>
  <si>
    <t>Effective tax rate (GAAP, %)</t>
  </si>
  <si>
    <t>Income from continuing operations</t>
  </si>
  <si>
    <t>Discontinued operations (Forged Fiber 37)</t>
  </si>
  <si>
    <t>Forged Fiber 37 (Lumen network assets held for sale) losses: 1Q26 (38), 2Q26 (28); 3Q26E (30) input.</t>
  </si>
  <si>
    <t>Net income</t>
  </si>
  <si>
    <t>Less: net income attributable to noncontrolling interest</t>
  </si>
  <si>
    <t>NCI (tower/preferred interests in subsidiaries): 352 / 383 in 1Q26 / 2Q26; 380 input.</t>
  </si>
  <si>
    <t>Net income attributable to AT&amp;T</t>
  </si>
  <si>
    <t>Less: preferred stock dividends and redemption gain</t>
  </si>
  <si>
    <t>Net income attributable to common stock</t>
  </si>
  <si>
    <t>NI to common - continuing operations</t>
  </si>
  <si>
    <t>Per share (GAAP)</t>
  </si>
  <si>
    <t>Weighted average basic shares (millions)</t>
  </si>
  <si>
    <t>Basic EPS attributable to common</t>
  </si>
  <si>
    <t>Diluted EPS - continuing operations (GAAP)</t>
  </si>
  <si>
    <t>Diluted EPS - total (incl. discontinued operations)</t>
  </si>
  <si>
    <t>Reported diluted EPS attributable to common (total)</t>
  </si>
  <si>
    <t>Check: EPS = net income / diluted shares, rounded vs reported (= 0)</t>
  </si>
  <si>
    <t>Quarterly checks use total diluted EPS (company presents continuing-ops EPS equal to total when discontinued ops round to nil). FY25 excluded: reported $3.04 vs 21,889 / 7,179 = $3.049 (company annual EPS not reproducible to the cent from the face figures).</t>
  </si>
  <si>
    <t>Adjusted EBITDA build (segments)</t>
  </si>
  <si>
    <t>Advanced Connectivity EBITDA</t>
  </si>
  <si>
    <t>Legacy EBITDA</t>
  </si>
  <si>
    <t>Latin America EBITDA</t>
  </si>
  <si>
    <t>Corporate &amp; Other adjusted EBITDA</t>
  </si>
  <si>
    <t>3Q26E input (530): history 3Q25 (510), 4Q25 (637), 1Q26 (595), 2Q26 (444).</t>
  </si>
  <si>
    <t>Adjusted EBITDA</t>
  </si>
  <si>
    <t>Adjusted EBITDA margin (%)</t>
  </si>
  <si>
    <t>Less: adjustments to operations &amp; support</t>
  </si>
  <si>
    <t>EBITDA (GAAP basis: operating income + D&amp;A)</t>
  </si>
  <si>
    <t>Memo: Corporate &amp; Other D&amp;A</t>
  </si>
  <si>
    <t>3Q26E input 95: includes ~82 acquisition-related amortization (FY26 guidance ~$0.3bn; 1H26 141).</t>
  </si>
  <si>
    <t>Memo: D&amp;A ex acquired-intangible amort.</t>
  </si>
  <si>
    <t>Adjusted operating income</t>
  </si>
  <si>
    <t>Adjusted operating margin (%)</t>
  </si>
  <si>
    <t>Reported adjusted EBITDA</t>
  </si>
  <si>
    <t>Check: adjusted EBITDA vs reported (= 0)</t>
  </si>
  <si>
    <t>Reported adjusted EBITDA: 11,861 / 11,236 / 46,361 / 11,795 / 12,338; prior year 11,586 / 10,791 / 44,760 / 11,533 / 11,731 (8-K non-GAAP exhibits).</t>
  </si>
  <si>
    <t>Interest expense build (3Q26E)</t>
  </si>
  <si>
    <t>2Q26A run-rate interest expense</t>
  </si>
  <si>
    <t>Add: EchoStar term loans ($14.5bn)</t>
  </si>
  <si>
    <t>EchoStar spectrum closed 28-Jul-2026 (~$23bn); $11.5bn two-year + $3.0bn 364-day term loans drawn (8-K 28-Jul-2026). Rate ~SOFR + margin assumed 4.3%.</t>
  </si>
  <si>
    <t>Add: Aug-2026 notes (~$8.0bn)</t>
  </si>
  <si>
    <t>Notes closed 3-Aug-2026 (EUR 4.1bn 3.60%-5.05% + GBP 550M 7.05%) and 17-Aug-2026 (EUR 1.2bn + $1.1bn floating 2028), per 8-Ks 4-Aug and 17-Aug-2026; ~$346M annual coupon x ~55/365.</t>
  </si>
  <si>
    <t>Less: maturities / repayments in quarter</t>
  </si>
  <si>
    <t>Less: capitalized interest (600 MHz)</t>
  </si>
  <si>
    <t>Assumption: 3.45 GHz already deployed under the short-term lease (in service, no capitalization); 600 MHz awaits Ericsson radios, so interest on ~$7bn of licenses is capitalized (~$50M). Simplification (unresolved): the 50 is assumed to sit within aggregate cash capex 5,650 (Cash Flow Statement H26); no separate spectrum-acquisition outflow or license addition is booked. The 2Q26 10-Q (S2) classifies spectrum interest during construction within acquisitions, and it was nil in 6M26 (capex interest during construction 91). Under that classification the 50 would be a conditional reclassification from capex/PP&amp;E to acquisitions/licenses within the same assumed total cash outflow; an incremental ~50 cash outflow would arise only if the 5,650 capex assumption excludes it, which is unproven (allocation uncertainty). No P&amp;L effect either way. EPS effect of this capitalization judgment ~ +$0.0057 (50 x 78% / 6,840.4); retained unchanged; see Cover C54:D56 rounding sensitivity ($0.63 as modeled vs $0.62 without).</t>
  </si>
  <si>
    <t>Interest expense (3Q26E)</t>
  </si>
  <si>
    <t>GAAP to adjusted (non-GAAP) bridge - pre-tax adjustments</t>
  </si>
  <si>
    <t>Transaction, legal and other costs</t>
  </si>
  <si>
    <t>3Q26E input 100: 1Q26 146 / 2Q26 149 (Lumen/EchoStar/JV/Mexico transaction and legacy legal costs).</t>
  </si>
  <si>
    <t>Benefit-related (gain) loss (operating)</t>
  </si>
  <si>
    <t>Benefit-related gains/losses and investment items are not forecastable; explicitly assumed nil for 3Q26E (they are excluded from adjusted EPS either way).</t>
  </si>
  <si>
    <t>Amortization of acquired intangible assets</t>
  </si>
  <si>
    <t>3Q26E input 82: company expects ~$0.3bn acquisition-related amortization in 2026 (22-Jul-2026); 1H26 = 141.</t>
  </si>
  <si>
    <t>Equity in net income of DIRECTV</t>
  </si>
  <si>
    <t>Gain on sale of DIRECTV</t>
  </si>
  <si>
    <t>Benefit-related, investment and other items</t>
  </si>
  <si>
    <t>Actuarial (gain) loss - net</t>
  </si>
  <si>
    <t>Total adjustments to income before income taxes</t>
  </si>
  <si>
    <t>Tax impact of adjustments</t>
  </si>
  <si>
    <t>Tax-related items</t>
  </si>
  <si>
    <t>Adjustments to income from continuing operations</t>
  </si>
  <si>
    <t>Preferred stock redemption gain</t>
  </si>
  <si>
    <t>Adjustments to income attributable to common stock</t>
  </si>
  <si>
    <t>Adjusted P&amp;L (consensus basis: adjusted / normalized diluted EPS)</t>
  </si>
  <si>
    <t>Adjusted equity in net income of affiliates</t>
  </si>
  <si>
    <t>3Q26E input (35): Gigapower / other affiliates ran (41) and (29) in 1Q26/2Q26.</t>
  </si>
  <si>
    <t>Adjusted other income (expense) - net</t>
  </si>
  <si>
    <t>3Q26E input 585 (1Q26 622, 2Q26 607 adjusted): pension/OPEB credit ~395/qtr plus interest income on lower average cash after the EchoStar payment.</t>
  </si>
  <si>
    <t>Adjusted income before income taxes</t>
  </si>
  <si>
    <t>Adjusted income tax expense</t>
  </si>
  <si>
    <t>Adjusted effective tax rate (%)</t>
  </si>
  <si>
    <t>3Q26E input 22.0%: adjusted ETR 21.9% 1Q26, 20.0% 2Q26, 22.1% 3Q25.</t>
  </si>
  <si>
    <t>Adjusted income from continuing operations</t>
  </si>
  <si>
    <t>Adjusted net income attributable to common stock</t>
  </si>
  <si>
    <t>Adjusted diluted EPS (consensus basis)</t>
  </si>
  <si>
    <t>FY25A Y/Y (E130) uses issuer-reported adjusted EPS from row 132 ($2.12 / $1.95 - 1 = 8.7%, as reported in S4) because reconstructed FY24A L129 (14,114 / 7,204 = $1.959) does not reconcile to reported $1.95. Quarterly columns use model EPS, which rounds to reported.</t>
  </si>
  <si>
    <t>Reported adjusted diluted EPS</t>
  </si>
  <si>
    <t>Check: adjusted EPS (rounded) vs reported (= 0)</t>
  </si>
  <si>
    <t>Prior-year J:N checks added in repair (memo; excluded from Cover C18). FY24A L133 = +$0.01: reconstructed $1.959 vs issuer-reported $1.95 (S4 Ex. 99.3) is an unreconciled historical gap. Historical net income, bridge items and shares are preserved, not rewritten.</t>
  </si>
  <si>
    <t>Check: GAAP NI (cont. ops) + adjustments = adjusted NI (= 0)</t>
  </si>
  <si>
    <t>Per-share bridge: GAAP diluted EPS (cont. ops) to adjusted EPS</t>
  </si>
  <si>
    <t>+ Transaction, legal and other costs (per share)</t>
  </si>
  <si>
    <t>+ Benefit-related (gain) loss (operating) (per share)</t>
  </si>
  <si>
    <t>+ Restructuring, impairments and abandonments (per share)</t>
  </si>
  <si>
    <t>+ Amortization of acquired intangibles (per share)</t>
  </si>
  <si>
    <t>+ Equity in net income of DIRECTV (per share)</t>
  </si>
  <si>
    <t>+ Gain on sale of DIRECTV (per share)</t>
  </si>
  <si>
    <t>+ Non-operating benefit/investment items (per share)</t>
  </si>
  <si>
    <t>+ Actuarial (gain) loss (per share)</t>
  </si>
  <si>
    <t>- Tax impact of adjustments (per share)</t>
  </si>
  <si>
    <t>- Tax-related items (per share)</t>
  </si>
  <si>
    <t>+ Preferred stock redemption gain (per share)</t>
  </si>
  <si>
    <t>Adjusted diluted EPS (bridge total)</t>
  </si>
  <si>
    <t>Check: bridge total = adjusted EPS (= 0)</t>
  </si>
  <si>
    <t>Cash flow metrics (issuer definitions)</t>
  </si>
  <si>
    <t>Cash from operations (continuing)</t>
  </si>
  <si>
    <t>3Q26E operating cash flow is guidance-anchored: it includes the Cash Flow Statement H20 composite working-capital/other plug (1,350); see Cash Flow Statement P20.</t>
  </si>
  <si>
    <t>Less: DIRECTV distributions, net of tax</t>
  </si>
  <si>
    <t>FY25A (1,675) = DIRECTV distributions (1,926) less cash taxes 251 (S4 Ex. 99.3). The issuer reports the same (1,675) for 6M25 YTD (S1 2Q26 Ex. 99.3; S2 10-Q) and 9M25 (S6), so 3Q25/4Q25 = 0. The 1Q25/2Q25 split is not modeled. Reconciliation: Cash Flow Statement J60 / E61.</t>
  </si>
  <si>
    <t>Less: capital expenditures</t>
  </si>
  <si>
    <t>Less: vendor financing payments</t>
  </si>
  <si>
    <t>Free cash flow (AT&amp;T definition)</t>
  </si>
  <si>
    <t>Company: 3Q26 FCF expected "relatively stable year over year" (22-Jul and 8-Sep-2026); 3Q25A FCF = $4,865M. 3Q26E FCF is guidance-anchored via the Cash Flow Statement H20 plug (1,350); it is not an independent validation of the FCF outlook.</t>
  </si>
  <si>
    <t>Capital investment (capex + vendor financing)</t>
  </si>
  <si>
    <t>Balance Sheet (as reported)</t>
  </si>
  <si>
    <t>Days in period (memo; balances are point-in-time)</t>
  </si>
  <si>
    <t>FY25A column = 4Q25A point-in-time balances (12/31/25); days in period are memo only.</t>
  </si>
  <si>
    <t>Assets</t>
  </si>
  <si>
    <t>Cash and cash equivalents</t>
  </si>
  <si>
    <t>Accounts receivable - net</t>
  </si>
  <si>
    <t>Inventories</t>
  </si>
  <si>
    <t>Prepaid and other current assets</t>
  </si>
  <si>
    <t>3Q26E held flat. AT&amp;T Mexico assets/liabilities will be reclassified to held-for-sale in the 3Q26 10-Q; reclassification within the balance sheet is not modeled (no effect on totals).</t>
  </si>
  <si>
    <t>Total current assets</t>
  </si>
  <si>
    <t>Property, plant and equipment - net</t>
  </si>
  <si>
    <t>3Q26E PP&amp;E = 2Q26A + aggregate cash capex 5,650 (CFS H26) - D&amp;A excl. acquired-intangible amortization 4,928 (IS H84). Capitalized interest (IS H98, 50) is assumed to sit within aggregate capex; the issuer classifies spectrum interest during construction within acquisitions (S2), so ~50 could be a conditional PP&amp;E-to-licenses reclassification within the same total cash outflow. No incremental cash outflow is asserted; allocation unresolved (see IS P98).</t>
  </si>
  <si>
    <t>Goodwill - net</t>
  </si>
  <si>
    <t>Licenses - net</t>
  </si>
  <si>
    <t>Other intangible assets - net</t>
  </si>
  <si>
    <t>Investments in and advances to equity affiliates</t>
  </si>
  <si>
    <t>Operating lease right-of-use assets</t>
  </si>
  <si>
    <t>Other assets</t>
  </si>
  <si>
    <t>Total assets</t>
  </si>
  <si>
    <t>Liabilities</t>
  </si>
  <si>
    <t>Debt maturing within one year</t>
  </si>
  <si>
    <t>Accounts payable and accrued liabilities</t>
  </si>
  <si>
    <t>3Q26E AP &amp; accrued = 2Q26A + composite working-capital plug 1,350 (CFS H52) - vendor-financing payment 450 (CFS H35). Simplification: new vendor-financed (non-cash) capex additions to PP&amp;E/AP are not modeled.</t>
  </si>
  <si>
    <t>Advanced billings and customer deposits</t>
  </si>
  <si>
    <t>Dividends payable</t>
  </si>
  <si>
    <t>Total current liabilities</t>
  </si>
  <si>
    <t>Long-term debt</t>
  </si>
  <si>
    <t>Noncurrent deferred tax liabilities</t>
  </si>
  <si>
    <t>Postemployment benefit obligation</t>
  </si>
  <si>
    <t>Operating lease liabilities</t>
  </si>
  <si>
    <t>Other noncurrent liabilities</t>
  </si>
  <si>
    <t>Total deferred credits and other noncurrent liabilities</t>
  </si>
  <si>
    <t>Total liabilities</t>
  </si>
  <si>
    <t>Mezzanine and equity</t>
  </si>
  <si>
    <t>Redeemable noncontrolling interest</t>
  </si>
  <si>
    <t>Common stock</t>
  </si>
  <si>
    <t>Additional paid-in capital</t>
  </si>
  <si>
    <t>Retained earnings</t>
  </si>
  <si>
    <t>Treasury stock</t>
  </si>
  <si>
    <t>Accumulated other comprehensive income (loss)</t>
  </si>
  <si>
    <t>Noncontrolling interest</t>
  </si>
  <si>
    <t>Total stockholders' equity</t>
  </si>
  <si>
    <t>Total liabilities and stockholders' equity</t>
  </si>
  <si>
    <t>Checks and memo</t>
  </si>
  <si>
    <t>Check: assets - liabilities - mezzanine - equity (= 0)</t>
  </si>
  <si>
    <t>Reported total liabilities and stockholders' equity</t>
  </si>
  <si>
    <t>Check: total L&amp;SE vs reported total (= 0)</t>
  </si>
  <si>
    <t>Net debt (total debt less cash)</t>
  </si>
  <si>
    <t>Net debt / LTM adjusted EBITDA (x)</t>
  </si>
  <si>
    <t>Company net-debt definition also deducts time deposits (500 at 4Q25); company-reported ratio 2.68x at 2Q26. Management expects ~3.2x after the EchoStar close.</t>
  </si>
  <si>
    <t>Cash Flow Statement (continuing operations; quarters derived from reported year-to-date)</t>
  </si>
  <si>
    <t>Reported year-to-date cash flows (inputs; quarters = YTD differences)</t>
  </si>
  <si>
    <t>6M25 YTD</t>
  </si>
  <si>
    <t>9M25 YTD</t>
  </si>
  <si>
    <t>FY25</t>
  </si>
  <si>
    <t>3M26 YTD</t>
  </si>
  <si>
    <t>6M26 YTD</t>
  </si>
  <si>
    <t>Operating activities</t>
  </si>
  <si>
    <t>Provision for uncollectible accounts</t>
  </si>
  <si>
    <t>Asset impairments and abandonments and restructuring</t>
  </si>
  <si>
    <t>Pension and postretirement benefit expense (credit)</t>
  </si>
  <si>
    <t>Net (gain) loss on investments</t>
  </si>
  <si>
    <t>Receivables</t>
  </si>
  <si>
    <t>Equipment installment receivables and related sales</t>
  </si>
  <si>
    <t>Contract asset and cost deferral</t>
  </si>
  <si>
    <t>Inventories, prepaid and other current assets</t>
  </si>
  <si>
    <t>Accounts payable and other accrued liabilities</t>
  </si>
  <si>
    <t>3Q26E: all working-capital and other operating items combined here (input 1,350) so that FCF lands near the 3Q25A level of $4,865M, per guidance that 3Q26 FCF will be "relatively stable year over year". Booked against accounts payable &amp; accrued liabilities on the Balance Sheet. Scope: provision for uncollectibles (H11; 1Q26 560, 2Q26 589) and the pension/postretirement credit (H13; 1Q26 (396), 2Q26 (395), which sits in adjusted other income IS H117) are set to 0 and absorbed in this composite; the entire 1,350 is booked to accounts payable &amp; accrued liabilities (Balance Sheet H24). Guidance-anchored assumption, not an independent FCF validation; retained unchanged.</t>
  </si>
  <si>
    <t>Changes in income taxes</t>
  </si>
  <si>
    <t>Postretirement claims and contributions</t>
  </si>
  <si>
    <t>Other - net (operating)</t>
  </si>
  <si>
    <t>Net cash provided by operating activities</t>
  </si>
  <si>
    <t>Investing activities</t>
  </si>
  <si>
    <t>Capital expenditures</t>
  </si>
  <si>
    <t>3Q26E capex (5,650) + vendor financing (450) = ~$6.1bn capital investment; FY26 guide $23-24bn, 1H26 $11.2bn, 2H "more ratable".</t>
  </si>
  <si>
    <t>Acquisitions, net (incl. spectrum)</t>
  </si>
  <si>
    <t>EchoStar 600 MHz / 3.45 GHz licenses, ~$23bn cash consideration closed 28-Jul-2026 (8-K). Any amounts pre-funded in 2Q26 are not separately identified; full $23bn assumed in 3Q26.</t>
  </si>
  <si>
    <t>Dispositions</t>
  </si>
  <si>
    <t>(Purchases), sales and settlements of securities - net</t>
  </si>
  <si>
    <t>Other - net (investing)</t>
  </si>
  <si>
    <t>Net cash used in investing activities</t>
  </si>
  <si>
    <t>Financing activities</t>
  </si>
  <si>
    <t>Issuance of long-term debt</t>
  </si>
  <si>
    <t>$14.5bn term loans (28-Jul-2026) + ~$8.04bn notes (EUR 4.1bn + GBP 0.55bn on 3-Aug; EUR 1.2bn + $1.1bn on 17-Aug-2026) converted at ~1.17 $/EUR and ~1.35 $/GBP.</t>
  </si>
  <si>
    <t>Repayment of long-term debt</t>
  </si>
  <si>
    <t>Assumption: scheduled maturities (incl. 1.800% notes due 5-Sep-2026) and partial term-loan prepayment; not disclosed.</t>
  </si>
  <si>
    <t>Payment of vendor financing</t>
  </si>
  <si>
    <t>Redemption of preferred stock</t>
  </si>
  <si>
    <t>Purchase of treasury stock</t>
  </si>
  <si>
    <t>Issuance of treasury stock</t>
  </si>
  <si>
    <t>Issuance of preferred interests in subsidiary</t>
  </si>
  <si>
    <t>Redemption of preferred interests in subsidiary</t>
  </si>
  <si>
    <t>Dividends paid (common and preferred)</t>
  </si>
  <si>
    <t>Common dividend $0.2775/share on ~2Q26 period-end shares plus preferred dividends.</t>
  </si>
  <si>
    <t>Other - net (financing, incl. NCI)</t>
  </si>
  <si>
    <t>Net cash used in financing activities</t>
  </si>
  <si>
    <t>Discontinued operations and cash reconciliation</t>
  </si>
  <si>
    <t>Net cash from discontinued operations</t>
  </si>
  <si>
    <t>Net change in cash and restricted cash</t>
  </si>
  <si>
    <t>Cash incl. restricted - beginning</t>
  </si>
  <si>
    <t>Cash incl. restricted - end</t>
  </si>
  <si>
    <t>Memo: dividend per common share ($)</t>
  </si>
  <si>
    <t>Memo: common dividends paid</t>
  </si>
  <si>
    <t>Memo: distributions to NCI (forecast)</t>
  </si>
  <si>
    <t>Memo: working capital &amp; other (forecast)</t>
  </si>
  <si>
    <t>Ties to Balance Sheet</t>
  </si>
  <si>
    <t>Restricted cash</t>
  </si>
  <si>
    <t>3Q26E restricted cash held flat at 2Q26A level (371).</t>
  </si>
  <si>
    <t>Cash &amp; equivalents (to Balance Sheet)</t>
  </si>
  <si>
    <t>Opening BS cash + restricted cash</t>
  </si>
  <si>
    <t>Opening balances for 3Q25A (30-Jun-2025) and FY25A (31-Dec-2024) are reported 10-Q values because those balance sheets are outside the model timeline; other periods link to the prior Balance Sheet column.</t>
  </si>
  <si>
    <t>Check: CF ending cash less restricted cash vs Balance Sheet cash (= 0)</t>
  </si>
  <si>
    <t>3Q26E (H57) is a structural identity: Balance Sheet H9 links to H55, so H57 = 0 by construction (not an independent test). Historical columns compare with reported balance-sheet cash.</t>
  </si>
  <si>
    <t>Check: change in cash per CF vs change in BS cash + restricted cash (= 0)</t>
  </si>
  <si>
    <t>3Q26E (H58) is a structural identity: H47 = G48 = H56 and Balance Sheet H9 = H55, so H58 = 0 by construction. Forecast integrity rests on Balance Sheet H46 (assets = liabilities + mezzanine + equity).</t>
  </si>
  <si>
    <t>Memo: DIRECTV distributions net of tax (YTD as reported)</t>
  </si>
  <si>
    <t>6M25 YTD (1,675) = distributions (1,926) less cash taxes 251 (S1 2Q26 Ex. 99.3 six-month 2025 column; S2 10-Q). 1Q25/2Q25 quarter split not modeled.</t>
  </si>
  <si>
    <t>Check: FY25 DIRECTV deduction = 6M25 YTD + 3Q25 + 4Q25 (= 0)</t>
  </si>
  <si>
    <t>Share Count: weighted shares, buybacks and forecast EPS share base</t>
  </si>
  <si>
    <t>Period-end common shares outstanding (millions)</t>
  </si>
  <si>
    <t>Opening shares outstanding</t>
  </si>
  <si>
    <t>Share repurchases ($M, cash flow)</t>
  </si>
  <si>
    <t>History links to Cash Flow Statement purchase of treasury stock. 3Q26E $2.7bn input: company targets ~$10bn of 2026 buybacks (22-Jul-2026), $4.7bn done in 1H26, "nearly $1 billion" in July.</t>
  </si>
  <si>
    <t>Average repurchase price ($/share)</t>
  </si>
  <si>
    <t>3Q26E input $24.50: AT&amp;T traded ~$22-26 in 3Q26 (2Q26 avg paid $25.01; 16-Oct-2026 close $23.44). Shares outstanding 6,852.4M at 16-Jul-2026 (10-Q cover) confirm early-July buying. Basis unreconciled: 2Q26 G13 $25.01 (input) x G16 86.234M = $2,156.7M vs cash G10 $2,194M (implied $25.44); 1Q26 F13 is derived cash / shares. Cash vs broker-average basis difference noted, not rebased.</t>
  </si>
  <si>
    <t>Shares repurchased (millions)</t>
  </si>
  <si>
    <t>Shares issued / other (derived)</t>
  </si>
  <si>
    <t>Closing shares outstanding</t>
  </si>
  <si>
    <t>Weighted average shares (millions)</t>
  </si>
  <si>
    <t>Weighted average basic shares</t>
  </si>
  <si>
    <t>Timing adj. vs simple average</t>
  </si>
  <si>
    <t>Reported basic shares exceeded the simple open/close average by 21/25/16/16M in 3Q25/4Q25/1Q26/2Q26 (C27:G27). The 3Q26E +5M is a discretionary structural offset, not an effect of July-front-loaded buying (front-loaded buying would lower the weighted average vs the simple average). Retained unchanged; share timing/provenance limitation (medium).</t>
  </si>
  <si>
    <t>Dilutive securities</t>
  </si>
  <si>
    <t>Weighted avg diluted shares (EPS base)</t>
  </si>
  <si>
    <t>Guidance tracker (company outlook vs actual)</t>
  </si>
  <si>
    <t>Date given</t>
  </si>
  <si>
    <t>Low</t>
  </si>
  <si>
    <t>High</t>
  </si>
  <si>
    <t>Midpoint</t>
  </si>
  <si>
    <t>Actual</t>
  </si>
  <si>
    <t>Beat / miss</t>
  </si>
  <si>
    <t>Source</t>
  </si>
  <si>
    <t>Units</t>
  </si>
  <si>
    <t>Adjusted EPS</t>
  </si>
  <si>
    <t>FY2026</t>
  </si>
  <si>
    <t>Pending</t>
  </si>
  <si>
    <t>S4</t>
  </si>
  <si>
    <t>$/share</t>
  </si>
  <si>
    <t>Pending (FY not complete); reiterated 22-Apr, 22-Jul, 8-Sep-2026</t>
  </si>
  <si>
    <t>Adjusted EBITDA growth (Y/Y)</t>
  </si>
  <si>
    <t>%</t>
  </si>
  <si>
    <t>Pending; 1H26 +3.7% (24,133 vs 23,264)</t>
  </si>
  <si>
    <t>Free cash flow</t>
  </si>
  <si>
    <t>$M (low = "$18bn+")</t>
  </si>
  <si>
    <t>Pending; 1H26 7,176</t>
  </si>
  <si>
    <t>Capital investment</t>
  </si>
  <si>
    <t>$M</t>
  </si>
  <si>
    <t>Pending; 1H26 11,220</t>
  </si>
  <si>
    <t>Consolidated service revenue growth</t>
  </si>
  <si>
    <t>low-single-digit</t>
  </si>
  <si>
    <t>Pending; 1H26 +2.0%</t>
  </si>
  <si>
    <t>Advanced Connectivity service revenue growth</t>
  </si>
  <si>
    <t>% ("5%+")</t>
  </si>
  <si>
    <t>Pending; 1H26 +4.4%</t>
  </si>
  <si>
    <t>Advanced Connectivity EBITDA growth</t>
  </si>
  <si>
    <t>% ("6%+")</t>
  </si>
  <si>
    <t>Pending; 1H26 +6.8%</t>
  </si>
  <si>
    <t>Legacy service revenue decline</t>
  </si>
  <si>
    <t>% ("20%+ decline")</t>
  </si>
  <si>
    <t>Pending; 1H26 -25.6%</t>
  </si>
  <si>
    <t>Share repurchases</t>
  </si>
  <si>
    <t>S1</t>
  </si>
  <si>
    <t>$M ("approximately")</t>
  </si>
  <si>
    <t>Pending; raised from ~$8bn (Jan-2026); 1H26 4,669</t>
  </si>
  <si>
    <t>2Q26</t>
  </si>
  <si>
    <t>Beat (above high end)</t>
  </si>
  <si>
    <t>S3</t>
  </si>
  <si>
    <t>Free cash flow (vs 3Q25A 4,865)</t>
  </si>
  <si>
    <t>3Q26</t>
  </si>
  <si>
    <t>relatively stable Y/Y</t>
  </si>
  <si>
    <t>Pending (3Q26E model: see Income Statement FCF row)</t>
  </si>
  <si>
    <t>Net debt / adjusted EBITDA after EchoStar</t>
  </si>
  <si>
    <t>Post-close</t>
  </si>
  <si>
    <t>x ("3.2-times range")</t>
  </si>
  <si>
    <t>Pending (3Q26E model: see Balance Sheet)</t>
  </si>
  <si>
    <t>FY2025 consolidated guidance (all metrics)</t>
  </si>
  <si>
    <t>FY2025</t>
  </si>
  <si>
    <t>unavailable</t>
  </si>
  <si>
    <t>Met or exceeded (per company)</t>
  </si>
  <si>
    <t>Met or exceeded all (company, 28-Jan-2026)</t>
  </si>
  <si>
    <t>Implied 2H26 adjusted EPS at FY26 guidance midpoint</t>
  </si>
  <si>
    <t>$2.30 FY26 guidance midpoint (G9) less 1H26 reported adjusted EPS $1.22 (G26); approximate per-share phasing, not an exact annual weighted-share identity.</t>
  </si>
  <si>
    <t>Model 3Q26E adjusted EPS as % of implied 2H26</t>
  </si>
  <si>
    <t>Phasing risk (approximate): implied 4Q26 = $2.30 - $1.22 - $0.6264 = ~$0.45 at midpoint (~$0.50 at $2.35 high end) vs 4Q25A $0.52; not an exact annual weighted-share identity; no EPS retune.</t>
  </si>
  <si>
    <t>No quarterly revenue, net income or EPS guidance is given; Cover shows guidance midpoint as n/a for 3Q26.</t>
  </si>
  <si>
    <t>Memo: 1H26 reported adjusted EPS (six-month period, issuer-explicit)</t>
  </si>
  <si>
    <t>2Q26 8-K Ex. 99.3 six-month 2026 adjusted EPS $1.22 (6,987M diluted shares); historical memo, outside the 3Q26E EPS chain</t>
  </si>
  <si>
    <t>Inputs: S&amp;P Capital IQ snapshot (frozen 18-Oct-2026) and prior calibration</t>
  </si>
  <si>
    <t>A. T_consensus.json - summary_row (complete; blank source values preserved as blank)</t>
  </si>
  <si>
    <t>Field</t>
  </si>
  <si>
    <t>Value (as captured)</t>
  </si>
  <si>
    <t>ticker</t>
  </si>
  <si>
    <t>T</t>
  </si>
  <si>
    <t>company_name</t>
  </si>
  <si>
    <t>exchange_ticker</t>
  </si>
  <si>
    <t>NYSE:T</t>
  </si>
  <si>
    <t>capiq_company_id</t>
  </si>
  <si>
    <t>currency_basis</t>
  </si>
  <si>
    <t>USD</t>
  </si>
  <si>
    <t>fiscal_year_end</t>
  </si>
  <si>
    <t>Dec-31</t>
  </si>
  <si>
    <t>fiscal_quarter</t>
  </si>
  <si>
    <t>FQ3 2026 - Sep 2026</t>
  </si>
  <si>
    <t>quarter_end_date</t>
  </si>
  <si>
    <t>expected_report_date</t>
  </si>
  <si>
    <t>eps_basis</t>
  </si>
  <si>
    <t>normalized diluted and GAAP diluted, as labelled</t>
  </si>
  <si>
    <t>eps_normalized_estimates</t>
  </si>
  <si>
    <t>eps_normalized_contributors</t>
  </si>
  <si>
    <t>detail_tab_total_contributors</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</si>
  <si>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</si>
  <si>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</si>
  <si>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</si>
  <si>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</si>
  <si>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</si>
  <si>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</si>
  <si>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</si>
  <si>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</si>
  <si>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</si>
  <si>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</si>
  <si>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</si>
  <si>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</si>
  <si>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</si>
  <si>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</si>
  <si>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</si>
  <si>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</si>
  <si>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eps_gaap_guidance_low</t>
  </si>
  <si>
    <t>eps_gaap_guidance_high</t>
  </si>
  <si>
    <t>revenue_mean</t>
  </si>
  <si>
    <t>revenue_median</t>
  </si>
  <si>
    <t>revenue_high</t>
  </si>
  <si>
    <t>revenue_low</t>
  </si>
  <si>
    <t>revenue_std_dev</t>
  </si>
  <si>
    <t>revenue_n_est</t>
  </si>
  <si>
    <t>revenue_guidance</t>
  </si>
  <si>
    <t>revenue_guidance_low</t>
  </si>
  <si>
    <t>revenue_guidance_high</t>
  </si>
  <si>
    <t>ebitda</t>
  </si>
  <si>
    <t>ebit</t>
  </si>
  <si>
    <t>ebt_excl_excep</t>
  </si>
  <si>
    <t>ebt_gaap</t>
  </si>
  <si>
    <t>net_income_excl_excep</t>
  </si>
  <si>
    <t>net_income_gaap</t>
  </si>
  <si>
    <t>gross_margin_pct</t>
  </si>
  <si>
    <t>effective_tax_rate_pct</t>
  </si>
  <si>
    <t>d_and_a</t>
  </si>
  <si>
    <t>capex</t>
  </si>
  <si>
    <t>cfo</t>
  </si>
  <si>
    <t>fcf</t>
  </si>
  <si>
    <t>interest_expense</t>
  </si>
  <si>
    <t>net_debt</t>
  </si>
  <si>
    <t>nav</t>
  </si>
  <si>
    <t>roe_pct</t>
  </si>
  <si>
    <t>target_price_mean</t>
  </si>
  <si>
    <t>target_price_median</t>
  </si>
  <si>
    <t>target_price_high</t>
  </si>
  <si>
    <t>target_price_low</t>
  </si>
  <si>
    <t>target_price_std_dev</t>
  </si>
  <si>
    <t>target_price_n_est</t>
  </si>
  <si>
    <t>recommendation</t>
  </si>
  <si>
    <t>Outperform</t>
  </si>
  <si>
    <t>recommendation_score</t>
  </si>
  <si>
    <t>last_close_price</t>
  </si>
  <si>
    <t>wk52_high_low</t>
  </si>
  <si>
    <t>NOTE2: GAAP EPS consensus rests on only 3 contributors versus 19 for normalized; use normalized for scoring. 52-week range not captured.</t>
  </si>
  <si>
    <t>estimates_captured_at</t>
  </si>
  <si>
    <t>notes</t>
  </si>
  <si>
    <t>bare ticker T resolves to foreign listings first in CapIQ search (SWX, BOVESPA, WBAG); resolved explicitly to NYSE:T | GAAP EPS consensus rests on only 3 contributors versus 19 for normalized; use normalized for scoring. 52-week range not captured.</t>
  </si>
  <si>
    <t>Top-level fields</t>
  </si>
  <si>
    <t>source</t>
  </si>
  <si>
    <t>S&amp;P Capital IQ</t>
  </si>
  <si>
    <t>as_of_date</t>
  </si>
  <si>
    <t>analyst_count</t>
  </si>
  <si>
    <t>consensus_eps</t>
  </si>
  <si>
    <t>consensus_revenue_m</t>
  </si>
  <si>
    <t>currency</t>
  </si>
  <si>
    <t>Normalized diluted EPS per ordinary/common share, USD; verify issuer adjustments and share identity</t>
  </si>
  <si>
    <t>summary_sha256</t>
  </si>
  <si>
    <t>e59b846434f90c9b5de8c2ed951fd1b25c1f6d0217c680f72dea41992051a49d</t>
  </si>
  <si>
    <t>captured_precision</t>
  </si>
  <si>
    <t>date only, user confirmed</t>
  </si>
  <si>
    <t>B. T_history.csv - all six rows (normalized = adjusted EPS basis)</t>
  </si>
  <si>
    <t>period_end_date</t>
  </si>
  <si>
    <t>report_date</t>
  </si>
  <si>
    <t>eps_normalized_consensus</t>
  </si>
  <si>
    <t>eps_normalized_actual</t>
  </si>
  <si>
    <t>eps_gaap_consensus</t>
  </si>
  <si>
    <t>eps_gaap_actual</t>
  </si>
  <si>
    <t>revenue_m_consensus</t>
  </si>
  <si>
    <t>revenue_m_actual</t>
  </si>
  <si>
    <t>Strict beat (normalized)</t>
  </si>
  <si>
    <t>Surprise ($/share)</t>
  </si>
  <si>
    <t>C. Prior calibration (forecasting playbook v2: size and issuer history)</t>
  </si>
  <si>
    <t>Market capitalization ($bn, 16-Oct-2026; stockanalysis.com)</t>
  </si>
  <si>
    <t>Size bucket (&gt;$10bn = large)</t>
  </si>
  <si>
    <t>large</t>
  </si>
  <si>
    <t>S&amp;P 500 member (S&amp;P DJI / Wikipedia constituent list, Sep/Oct-2026)</t>
  </si>
  <si>
    <t>Yes</t>
  </si>
  <si>
    <t>Cohort prior (large OR S&amp;P 500 = 0.78; applied once)</t>
  </si>
  <si>
    <t>b = strict normalized beats in six supplied pairs</t>
  </si>
  <si>
    <t>n = valid pairs (none excluded; all on normalized basis)</t>
  </si>
  <si>
    <t>Pseudo-count (fixed experimental weight)</t>
  </si>
  <si>
    <t>Starting p = (8 x prior + b) / (8 + n)</t>
  </si>
  <si>
    <t>Mean historical surprise ($/share)</t>
  </si>
  <si>
    <t>Seasonal comparable surprise, 3Q25 ($/share)</t>
  </si>
  <si>
    <t>Model 3Q26E adjusted EPS less frozen consensus ($/share)</t>
  </si>
  <si>
    <t>Evidence update to starting p (discretionary judgment; see D111)</t>
  </si>
  <si>
    <t>Discretionary +0.02. Only the brief rationale recorded in the original estimate is preserved (model EPS $0.026 above consensus, tempered by a -4.4% 30-day Zacks revision and the 3Q25 in-line print); no detailed contemporaneous derivation was preserved and none is reconstructed.</t>
  </si>
  <si>
    <t>Final P(reported adjusted EPS &gt; consensus)</t>
  </si>
  <si>
    <t>Sources (all published before the 18-Oct-2026 21:34 UTC information cutoff)</t>
  </si>
  <si>
    <t>ID</t>
  </si>
  <si>
    <t>Publication date</t>
  </si>
  <si>
    <t>Publisher</t>
  </si>
  <si>
    <t>URL or file</t>
  </si>
  <si>
    <t>What it feeds</t>
  </si>
  <si>
    <t>AT&amp;T (SEC 8-K Ex. 99.1-99.3)</t>
  </si>
  <si>
    <t>https://www.sec.gov/Archives/edgar/data/732717/000073271726000294/</t>
  </si>
  <si>
    <t>2Q26 results, segments, subscribers, non-GAAP bridge, outlook</t>
  </si>
  <si>
    <t>S2</t>
  </si>
  <si>
    <t>AT&amp;T (SEC 10-Q)</t>
  </si>
  <si>
    <t>https://www.sec.gov/Archives/edgar/data/732717/000073271726000297/t-20260630.htm</t>
  </si>
  <si>
    <t>Restricted cash, buybacks, debt rate, ETR, shares at 16-Jul-2026</t>
  </si>
  <si>
    <t>AT&amp;T Investor Relations</t>
  </si>
  <si>
    <t>https://investors.att.com/2q26-earnings-prepared-remarks</t>
  </si>
  <si>
    <t>2Q26 FCF vs $4.0-4.5bn guide; 3Q26 FCF stable; buybacks ~$10bn</t>
  </si>
  <si>
    <t>AT&amp;T (SEC 8-K Ex. 99.1-99.4)</t>
  </si>
  <si>
    <t>https://www.sec.gov/Archives/edgar/data/732717/000073271726000047/</t>
  </si>
  <si>
    <t>4Q25/FY25 results, recast segment history 2023-2025, 2026 outlook</t>
  </si>
  <si>
    <t>S5</t>
  </si>
  <si>
    <t>AT&amp;T (SEC 8-K Ex. 99.1-99.3 and 8.01 recast)</t>
  </si>
  <si>
    <t>https://www.sec.gov/Archives/edgar/data/732717/000073271726000203/</t>
  </si>
  <si>
    <t>1Q26 results and 1Q25 recast comparatives</t>
  </si>
  <si>
    <t>S6</t>
  </si>
  <si>
    <t>https://www.sec.gov/Archives/edgar/data/732717/000073271725000163/</t>
  </si>
  <si>
    <t>3Q25 results, 9M25 cash flow, legacy-format KPIs</t>
  </si>
  <si>
    <t>S7</t>
  </si>
  <si>
    <t>https://www.sec.gov/Archives/edgar/data/732717/000073271726000206/t-20260331.htm</t>
  </si>
  <si>
    <t>1Q26 restricted cash</t>
  </si>
  <si>
    <t>S8</t>
  </si>
  <si>
    <t>https://www.sec.gov/Archives/edgar/data/732717/000073271725000171/t-20250930.htm</t>
  </si>
  <si>
    <t>3Q25 restricted cash, capitalized interest</t>
  </si>
  <si>
    <t>S9</t>
  </si>
  <si>
    <t>AT&amp;T newsroom</t>
  </si>
  <si>
    <t>https://about.att.com/story/2026/stankey-goldman-sachs-communacopia.html</t>
  </si>
  <si>
    <t>3Q26 qualitative outlook: wireless service growth, fiber ARPU pressure, FCF</t>
  </si>
  <si>
    <t>S10</t>
  </si>
  <si>
    <t>AT&amp;T newsroom / SEC 8-K</t>
  </si>
  <si>
    <t>https://about.att.com/story/2026/echostar-spectrum.html</t>
  </si>
  <si>
    <t>EchoStar spectrum close ($23bn) and term-loan funding</t>
  </si>
  <si>
    <t>S11</t>
  </si>
  <si>
    <t>Stock Titan (AT&amp;T 8-K)</t>
  </si>
  <si>
    <t>https://www.stocktitan.net/sec-filings/T/8-k-at-t-inc-reports-material-event-9be29c37b547.html</t>
  </si>
  <si>
    <t>Aug-2026 note issuance (also 8-K 4-Aug-2026)</t>
  </si>
  <si>
    <t>S12</t>
  </si>
  <si>
    <t>https://about.att.com/story/2026/att-to-sell-att-mexico.html</t>
  </si>
  <si>
    <t>Mexico sale; held-for-sale in continuing operations in 3Q26 10-Q</t>
  </si>
  <si>
    <t>S13</t>
  </si>
  <si>
    <t>https://about.att.com/story/2026/forged-fiber-37-gigapower-joint-venture.html</t>
  </si>
  <si>
    <t>Forged Fiber 37 / Gigapower JV (discontinued ops context)</t>
  </si>
  <si>
    <t>S14</t>
  </si>
  <si>
    <t>https://about.att.com/story/2026/q3-earnings-reminder.html</t>
  </si>
  <si>
    <t>Report date confirmed: 21-Oct-2026 before market open</t>
  </si>
  <si>
    <t>S15</t>
  </si>
  <si>
    <t>Zacks via Yahoo Finance</t>
  </si>
  <si>
    <t>https://finance.yahoo.com/markets/stocks/articles/countdown-t-t-q3-earnings-121516715.html</t>
  </si>
  <si>
    <t>Alternative consensus (16-Oct-2026, older than the 18-Oct-2026 CapIQ snapshot; $0.61, 30-day revision -4.4%) and KPI consensus; recorded separately, not used for scoring</t>
  </si>
  <si>
    <t>S16</t>
  </si>
  <si>
    <t>stockanalysis.com</t>
  </si>
  <si>
    <t>https://stockanalysis.com/stocks/t/market-cap/</t>
  </si>
  <si>
    <t>Market cap $160.62bn (16-Oct-2026) for size bucket</t>
  </si>
  <si>
    <t>S17</t>
  </si>
  <si>
    <t>Wikipedia (S&amp;P 500 constituents)</t>
  </si>
  <si>
    <t>https://en.wikipedia.org/wiki/List_of_S%26P_500_companies</t>
  </si>
  <si>
    <t>S&amp;P 500 membership</t>
  </si>
  <si>
    <t>S18</t>
  </si>
  <si>
    <t>FRED / Federal Reserve G.5</t>
  </si>
  <si>
    <t>https://fred.stlouisfed.org/data/EXMXUS</t>
  </si>
  <si>
    <t>MXN per USD monthly averages for FX decomposition</t>
  </si>
  <si>
    <t>S19</t>
  </si>
  <si>
    <t>S&amp;P Capital IQ (attached file)</t>
  </si>
  <si>
    <t>T_consensus.json</t>
  </si>
  <si>
    <t>Frozen consensus: EPS 0.60 (19 est.), revenue 31,645.33, EBITDA, D&amp;A, interest</t>
  </si>
  <si>
    <t>S20</t>
  </si>
  <si>
    <t>T_history.csv</t>
  </si>
  <si>
    <t>Six quarters of consensus vs actual (beat-rate prior)</t>
  </si>
  <si>
    <t>S21</t>
  </si>
  <si>
    <t>CNBC</t>
  </si>
  <si>
    <t>https://www.cnbc.com/2026/10/09/verizon-att-tmobile-stocks-spacex-network.html</t>
  </si>
  <si>
    <t>SpaceX spectrum deal sector sell-off (sentiment; no 3Q26 P&amp;L effect)</t>
  </si>
  <si>
    <t>S22</t>
  </si>
  <si>
    <t>https://www.cnbc.com/2026/10/13/bernstein-downgrades-att-spacex-wireless.html</t>
  </si>
  <si>
    <t>Bernstein downgrade (pricing/seasonality concerns)</t>
  </si>
  <si>
    <t>S23</t>
  </si>
  <si>
    <t>T-Mobile newsroom</t>
  </si>
  <si>
    <t>https://www.t-mobile.com/news/business/t-mobile-to-host-q3-2026-earnings-call-on-october-28-2026</t>
  </si>
  <si>
    <t>Peer timing: T-Mobile reports 28-Oct (after cutoff); Verizon reports 20-Oct (after cutoff) - no peer 3Q26 results available</t>
  </si>
  <si>
    <t>Omitted tab: Geo - geographic revenue (U.S. vs Mexico) equals the segment split (Latin America = Mexico) per the FY2025 recast segment exhibit (8-K 28-Jan-2026, Ex. 99.4); folded into Revenue summary.</t>
  </si>
  <si>
    <t>No Dates, Consensus or Checks tabs: period labels sit in each tab header; consensus is on Cover (linked to Inputs); check summary is in artifacts/checks.md.</t>
  </si>
  <si>
    <t>Target-quarter (3Q26) actual results were not available or used: the issuer reports on 21-Oct-2026, after the information cutoff.</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</si>
</sst>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951" formatCode="$0.00_);($0.00);&quot;–&quot;_)"/>
    <numFmt numFmtId="7952" formatCode="#,##0.0_);(#,##0.0);&quot;–&quot;_)"/>
    <numFmt numFmtId="7956" formatCode="0.0%"/>
    <numFmt numFmtId="7958" formatCode="0.0%_);(0.0%);&quot;–&quot;_)"/>
    <numFmt numFmtId="7960" formatCode="mm/dd/yy"/>
    <numFmt numFmtId="7961" formatCode="#,##0_);(#,##0);&quot;–&quot;_)"/>
    <numFmt numFmtId="7970" formatCode="0.0x"/>
    <numFmt numFmtId="7996" formatCode="yyyy-mm-dd"/>
    <numFmt numFmtId="8003" formatCode="0.0000_);(0.0000);&quot;–&quot;_)"/>
    <numFmt numFmtId="8090" formatCode="$0.0000_);($0.0000);&quot;–&quot;_)"/>
  </numFmts>
  <fonts count="22">
    <font>
      <b val="0"/>
      <i val="0"/>
      <sz val="11"/>
      <color auto="1"/>
      <name val="Calibri"/>
    </font>
    <font>
      <b val="0"/>
      <i val="0"/>
      <sz val="10"/>
      <color rgb="FF000000"/>
      <name val="Arial"/>
    </font>
    <font>
      <b val="0"/>
      <i val="0"/>
      <sz val="10"/>
      <color rgb="FF006100"/>
      <name val="Arial"/>
    </font>
    <font>
      <b/>
      <i val="0"/>
      <sz val="10"/>
      <color rgb="FF006100"/>
      <name val="Arial"/>
    </font>
    <font>
      <b/>
      <i val="0"/>
      <sz val="10"/>
      <color rgb="FF000000"/>
      <name val="Arial"/>
    </font>
    <font>
      <b/>
      <i val="0"/>
      <sz val="10"/>
      <color rgb="FF0000FF"/>
      <name val="Arial"/>
    </font>
    <font>
      <b val="0"/>
      <i/>
      <sz val="10"/>
      <color rgb="FF000000"/>
      <name val="Arial"/>
    </font>
    <font>
      <b val="0"/>
      <i/>
      <sz val="9"/>
      <color rgb="FF808080"/>
      <name val="Arial"/>
    </font>
    <font>
      <b val="0"/>
      <i val="0"/>
      <sz val="10"/>
      <color rgb="FF808080"/>
      <name val="Arial"/>
    </font>
    <font>
      <b val="0"/>
      <i/>
      <sz val="10"/>
      <color rgb="FF0000FF"/>
      <name val="Arial"/>
    </font>
    <font>
      <b val="0"/>
      <i val="0"/>
      <sz val="10"/>
      <color rgb="FF0000FF"/>
      <name val="Arial"/>
    </font>
    <font>
      <b/>
      <i/>
      <sz val="10"/>
      <color rgb="FF808080"/>
      <name val="Arial"/>
    </font>
    <font>
      <b val="0"/>
      <i/>
      <sz val="10"/>
      <color rgb="FF808080"/>
      <name val="Arial"/>
    </font>
    <font>
      <b/>
      <i val="0"/>
      <sz val="12"/>
      <color rgb="FF000000"/>
      <name val="Arial"/>
    </font>
    <font>
      <b val="0"/>
      <i/>
      <sz val="10"/>
      <color rgb="FF006100"/>
      <name val="Arial"/>
    </font>
    <font>
      <b/>
      <i val="0"/>
      <sz val="10"/>
      <color rgb="FF808080"/>
      <name val="Arial"/>
    </font>
    <font>
      <b val="0"/>
      <i val="0"/>
      <sz val="10"/>
      <color rgb="FF000000"/>
      <name val="Calibri"/>
    </font>
    <font>
      <b val="0"/>
      <i/>
      <sz val="10"/>
      <color rgb="FF808080"/>
      <name val="Calibri"/>
    </font>
    <font>
      <b/>
      <i val="0"/>
      <sz val="10"/>
      <color rgb="FF000000"/>
      <name val="Calibri"/>
    </font>
    <font>
      <b val="0"/>
      <i val="0"/>
      <sz val="10"/>
      <color rgb="FF808080"/>
      <name val="Calibri"/>
    </font>
    <font>
      <b val="0"/>
      <i val="0"/>
      <sz val="10"/>
      <color rgb="FF006100"/>
      <name val="Calibri"/>
    </font>
    <font>
      <b val="0"/>
      <i/>
      <sz val="10"/>
      <color rgb="FF000000"/>
      <name val="Calibri"/>
    </font>
  </fonts>
  <fills count="4">
    <fill>
      <patternFill patternType="none"/>
    </fill>
    <fill>
      <patternFill patternType="gray125"/>
    </fill>
    <fill>
      <patternFill patternType="solid">
        <fgColor rgb="FFEAF1FB"/>
      </patternFill>
    </fill>
    <fill>
      <patternFill patternType="solid">
        <fgColor rgb="FFF2F2F2"/>
      </patternFill>
    </fill>
  </fills>
  <borders count="10">
    <border>
      <left/>
      <right/>
      <top/>
      <bottom/>
    </border>
    <border>
      <left/>
      <right/>
      <top/>
      <bottom/>
      <diagonal/>
    </border>
    <border>
      <top style="thin">
        <color rgb="FF808080"/>
      </top>
    </border>
    <border>
      <bottom style="thin">
        <color rgb="FF808080"/>
      </bottom>
    </border>
    <border>
      <top style="thin">
        <color rgb="FF000000"/>
      </top>
    </border>
    <border>
      <top style="thin">
        <color rgb="FF808080"/>
      </top>
      <bottom style="thin">
        <color rgb="FF808080"/>
      </bottom>
    </border>
    <border>
      <left/>
      <right/>
      <top style="thin">
        <color rgb="FF808080"/>
      </top>
      <bottom/>
      <diagonal/>
    </border>
    <border>
      <left/>
      <right/>
      <top/>
      <bottom style="thin">
        <color rgb="FF808080"/>
      </bottom>
      <diagonal/>
    </border>
    <border>
      <left/>
      <right/>
      <top style="thin">
        <color rgb="FF808080"/>
      </top>
      <bottom style="thin">
        <color rgb="FF808080"/>
      </bottom>
      <diagonal/>
    </border>
    <border>
      <left/>
      <right/>
      <top style="thin">
        <color rgb="FF000000"/>
      </top>
      <bottom/>
      <diagonal/>
    </border>
  </borders>
  <cellStyleXfs count="1">
    <xf numFmtId="0" fontId="0" fillId="0" borderId="1"/>
  </cellStyleXfs>
  <cellXfs count="131">
    <xf numFmtId="0" fontId="0" fillId="0" borderId="1" xfId="0"/>
    <xf numFmtId="0" fontId="1" fillId="0" borderId="1" xfId="0"/>
    <xf numFmtId="0" fontId="13" fillId="0" borderId="1" xfId="0"/>
    <xf numFmtId="0" fontId="4" fillId="0" borderId="1" xfId="0"/>
    <xf numFmtId="0" fontId="12" fillId="0" borderId="1" xfId="0"/>
    <xf numFmtId="0" fontId="4" fillId="3" borderId="6" xfId="0"/>
    <xf numFmtId="0" fontId="4" fillId="3" borderId="6" xfId="0">
      <alignment horizontal="right" vertical="bottom"/>
    </xf>
    <xf numFmtId="0" fontId="1" fillId="3" borderId="1" xfId="0"/>
    <xf numFmtId="7960" fontId="1" fillId="3" borderId="1" xfId="0">
      <alignment horizontal="right" vertical="bottom"/>
    </xf>
    <xf numFmtId="0" fontId="1" fillId="3" borderId="7" xfId="0"/>
    <xf numFmtId="1" fontId="1" fillId="3" borderId="7" xfId="0">
      <alignment horizontal="right" vertical="bottom"/>
    </xf>
    <xf numFmtId="0" fontId="4" fillId="3" borderId="8" xfId="0">
      <alignment horizontal="left" vertical="bottom" wrapText="1"/>
    </xf>
    <xf numFmtId="0" fontId="4" fillId="3" borderId="8" xfId="0">
      <alignment horizontal="right" vertical="bottom" wrapText="1"/>
    </xf>
    <xf numFmtId="7952" fontId="2" fillId="2" borderId="1" xfId="0">
      <alignment horizontal="right" vertical="bottom"/>
    </xf>
    <xf numFmtId="7952" fontId="2" fillId="0" borderId="1" xfId="0">
      <alignment horizontal="right" vertical="bottom"/>
    </xf>
    <xf numFmtId="7952" fontId="1" fillId="0" borderId="1" xfId="0">
      <alignment horizontal="right" vertical="bottom"/>
    </xf>
    <xf numFmtId="7958" fontId="6" fillId="0" borderId="1" xfId="0">
      <alignment horizontal="right" vertical="bottom"/>
    </xf>
    <xf numFmtId="0" fontId="8" fillId="0" borderId="1" xfId="0">
      <alignment horizontal="right" vertical="bottom"/>
    </xf>
    <xf numFmtId="7951" fontId="2" fillId="2" borderId="1" xfId="0">
      <alignment horizontal="right" vertical="bottom"/>
    </xf>
    <xf numFmtId="7951" fontId="2" fillId="0" borderId="1" xfId="0">
      <alignment horizontal="right" vertical="bottom"/>
    </xf>
    <xf numFmtId="7951" fontId="1" fillId="0" borderId="1" xfId="0">
      <alignment horizontal="right" vertical="bottom"/>
    </xf>
    <xf numFmtId="7952" fontId="8" fillId="0" borderId="1" xfId="0">
      <alignment horizontal="right" vertical="bottom"/>
    </xf>
    <xf numFmtId="0" fontId="4" fillId="0" borderId="9" xfId="0"/>
    <xf numFmtId="0" fontId="3" fillId="0" borderId="9" xfId="0">
      <alignment horizontal="right" vertical="bottom"/>
    </xf>
    <xf numFmtId="0" fontId="1" fillId="0" borderId="9" xfId="0"/>
    <xf numFmtId="7956" fontId="3" fillId="0" borderId="1" xfId="0">
      <alignment horizontal="right" vertical="bottom"/>
    </xf>
    <xf numFmtId="0" fontId="3" fillId="0" borderId="1" xfId="0">
      <alignment horizontal="right" vertical="bottom"/>
    </xf>
    <xf numFmtId="0" fontId="17" fillId="0" borderId="1" xfId="0"/>
    <xf numFmtId="0" fontId="16" fillId="0" borderId="1" xfId="0"/>
    <xf numFmtId="0" fontId="18" fillId="0" borderId="1" xfId="0"/>
    <xf numFmtId="0" fontId="18" fillId="3" borderId="8" xfId="0">
      <alignment horizontal="left" vertical="bottom"/>
    </xf>
    <xf numFmtId="0" fontId="18" fillId="3" borderId="8" xfId="0">
      <alignment horizontal="right" vertical="bottom"/>
    </xf>
    <xf numFmtId="7952" fontId="20" fillId="2" borderId="1" xfId="0">
      <alignment horizontal="right" vertical="bottom"/>
    </xf>
    <xf numFmtId="0" fontId="17" fillId="0" borderId="1" xfId="0">
      <alignment horizontal="left" vertical="bottom"/>
    </xf>
    <xf numFmtId="7958" fontId="20" fillId="2" borderId="1" xfId="0">
      <alignment horizontal="right" vertical="bottom"/>
    </xf>
    <xf numFmtId="0" fontId="19" fillId="0" borderId="1" xfId="0">
      <alignment horizontal="right" vertical="bottom"/>
    </xf>
    <xf numFmtId="8090" fontId="20" fillId="2" borderId="1" xfId="0">
      <alignment horizontal="right" vertical="bottom"/>
    </xf>
    <xf numFmtId="7951" fontId="16" fillId="0" borderId="1" xfId="0">
      <alignment horizontal="right" vertical="bottom"/>
    </xf>
    <xf numFmtId="8090" fontId="20" fillId="0" borderId="1" xfId="0">
      <alignment horizontal="right" vertical="bottom"/>
    </xf>
    <xf numFmtId="0" fontId="21" fillId="0" borderId="1" xfId="0"/>
    <xf numFmtId="8090" fontId="16" fillId="0" borderId="1" xfId="0">
      <alignment horizontal="right" vertical="bottom"/>
    </xf>
    <xf numFmtId="0" fontId="4" fillId="2" borderId="6" xfId="0">
      <alignment horizontal="right" vertical="bottom"/>
    </xf>
    <xf numFmtId="0" fontId="4" fillId="3" borderId="6" xfId="0">
      <alignment horizontal="left" vertical="bottom"/>
    </xf>
    <xf numFmtId="7960" fontId="1" fillId="2" borderId="1" xfId="0">
      <alignment horizontal="right" vertical="bottom"/>
    </xf>
    <xf numFmtId="0" fontId="1" fillId="3" borderId="1" xfId="0">
      <alignment horizontal="right" vertical="bottom"/>
    </xf>
    <xf numFmtId="0" fontId="1" fillId="3" borderId="1" xfId="0">
      <alignment horizontal="left" vertical="bottom"/>
    </xf>
    <xf numFmtId="1" fontId="1" fillId="2" borderId="7" xfId="0">
      <alignment horizontal="right" vertical="bottom"/>
    </xf>
    <xf numFmtId="1" fontId="1" fillId="3" borderId="7" xfId="0">
      <alignment horizontal="left" vertical="bottom"/>
    </xf>
    <xf numFmtId="0" fontId="1" fillId="2" borderId="1" xfId="0"/>
    <xf numFmtId="0" fontId="7" fillId="0" borderId="1" xfId="0"/>
    <xf numFmtId="0" fontId="6" fillId="0" borderId="1" xfId="0">
      <alignment horizontal="left" vertical="bottom" indent="2"/>
    </xf>
    <xf numFmtId="7958" fontId="6" fillId="2" borderId="1" xfId="0">
      <alignment horizontal="right" vertical="bottom"/>
    </xf>
    <xf numFmtId="7958" fontId="12" fillId="0" borderId="1" xfId="0">
      <alignment horizontal="right" vertical="bottom"/>
    </xf>
    <xf numFmtId="0" fontId="1" fillId="0" borderId="1" xfId="0">
      <alignment horizontal="left" vertical="bottom" indent="2"/>
    </xf>
    <xf numFmtId="7952" fontId="1" fillId="2" borderId="1" xfId="0">
      <alignment horizontal="right" vertical="bottom"/>
    </xf>
    <xf numFmtId="7958" fontId="14" fillId="0" borderId="1" xfId="0">
      <alignment horizontal="right" vertical="bottom"/>
    </xf>
    <xf numFmtId="7958" fontId="14" fillId="2" borderId="1" xfId="0">
      <alignment horizontal="right" vertical="bottom"/>
    </xf>
    <xf numFmtId="7958" fontId="9" fillId="0" borderId="1" xfId="0">
      <alignment horizontal="right" vertical="bottom"/>
    </xf>
    <xf numFmtId="7958" fontId="9" fillId="2" borderId="1" xfId="0">
      <alignment horizontal="right" vertical="bottom"/>
    </xf>
    <xf numFmtId="0" fontId="1" fillId="0" borderId="1" xfId="0">
      <alignment vertical="bottom" wrapText="1"/>
    </xf>
    <xf numFmtId="7952" fontId="10" fillId="0" borderId="1" xfId="0">
      <alignment horizontal="right" vertical="bottom"/>
    </xf>
    <xf numFmtId="7952" fontId="4" fillId="0" borderId="9" xfId="0">
      <alignment horizontal="right" vertical="bottom"/>
    </xf>
    <xf numFmtId="7952" fontId="4" fillId="2" borderId="9" xfId="0">
      <alignment horizontal="right" vertical="bottom"/>
    </xf>
    <xf numFmtId="0" fontId="1" fillId="0" borderId="1" xfId="0">
      <alignment horizontal="left" vertical="bottom" indent="1"/>
    </xf>
    <xf numFmtId="7952" fontId="8" fillId="2" borderId="1" xfId="0">
      <alignment horizontal="right" vertical="bottom"/>
    </xf>
    <xf numFmtId="0" fontId="1" fillId="0" borderId="1" xfId="0">
      <alignment horizontal="left" vertical="bottom" wrapText="1" indent="1"/>
    </xf>
    <xf numFmtId="0" fontId="6" fillId="0" borderId="1" xfId="0">
      <alignment horizontal="left" vertical="bottom" wrapText="1" indent="2"/>
    </xf>
    <xf numFmtId="7961" fontId="1" fillId="0" borderId="1" xfId="0">
      <alignment horizontal="right" vertical="bottom"/>
    </xf>
    <xf numFmtId="7961" fontId="1" fillId="2" borderId="1" xfId="0">
      <alignment horizontal="right" vertical="bottom"/>
    </xf>
    <xf numFmtId="7961" fontId="10" fillId="0" borderId="1" xfId="0">
      <alignment horizontal="right" vertical="bottom"/>
    </xf>
    <xf numFmtId="7961" fontId="10" fillId="2" borderId="1" xfId="0">
      <alignment horizontal="right" vertical="bottom"/>
    </xf>
    <xf numFmtId="7961" fontId="8" fillId="0" borderId="1" xfId="0">
      <alignment horizontal="right" vertical="bottom"/>
    </xf>
    <xf numFmtId="0" fontId="4" fillId="0" borderId="1" xfId="0">
      <alignment vertical="bottom" wrapText="1"/>
    </xf>
    <xf numFmtId="7961" fontId="5" fillId="0" borderId="9" xfId="0">
      <alignment horizontal="right" vertical="bottom"/>
    </xf>
    <xf numFmtId="7961" fontId="4" fillId="0" borderId="9" xfId="0">
      <alignment horizontal="right" vertical="bottom"/>
    </xf>
    <xf numFmtId="7961" fontId="4" fillId="2" borderId="9" xfId="0">
      <alignment horizontal="right" vertical="bottom"/>
    </xf>
    <xf numFmtId="0" fontId="6" fillId="0" borderId="1" xfId="0">
      <alignment horizontal="left" vertical="bottom" wrapText="1" indent="1"/>
    </xf>
    <xf numFmtId="7961" fontId="6" fillId="0" borderId="1" xfId="0">
      <alignment horizontal="right" vertical="bottom"/>
    </xf>
    <xf numFmtId="7961" fontId="6" fillId="2" borderId="1" xfId="0">
      <alignment horizontal="right" vertical="bottom"/>
    </xf>
    <xf numFmtId="7961" fontId="12" fillId="0" borderId="1" xfId="0">
      <alignment horizontal="right" vertical="bottom"/>
    </xf>
    <xf numFmtId="7961" fontId="15" fillId="0" borderId="9" xfId="0">
      <alignment horizontal="right" vertical="bottom"/>
    </xf>
    <xf numFmtId="7951" fontId="10" fillId="2" borderId="1" xfId="0">
      <alignment horizontal="right" vertical="bottom"/>
    </xf>
    <xf numFmtId="7951" fontId="8" fillId="0" borderId="1" xfId="0">
      <alignment horizontal="right" vertical="bottom"/>
    </xf>
    <xf numFmtId="7951" fontId="1" fillId="2" borderId="1" xfId="0">
      <alignment horizontal="right" vertical="bottom"/>
    </xf>
    <xf numFmtId="0" fontId="6" fillId="0" borderId="1" xfId="0">
      <alignment horizontal="left" vertical="bottom" indent="1"/>
    </xf>
    <xf numFmtId="7952" fontId="10" fillId="2" borderId="1" xfId="0">
      <alignment horizontal="right" vertical="bottom"/>
    </xf>
    <xf numFmtId="7952" fontId="5" fillId="0" borderId="1" xfId="0">
      <alignment horizontal="right" vertical="bottom"/>
    </xf>
    <xf numFmtId="7952" fontId="4" fillId="0" borderId="1" xfId="0">
      <alignment horizontal="right" vertical="bottom"/>
    </xf>
    <xf numFmtId="7952" fontId="4" fillId="2" borderId="1" xfId="0">
      <alignment horizontal="right" vertical="bottom"/>
    </xf>
    <xf numFmtId="8003" fontId="10" fillId="0" borderId="1" xfId="0">
      <alignment horizontal="right" vertical="bottom"/>
    </xf>
    <xf numFmtId="8003" fontId="10" fillId="2" borderId="1" xfId="0">
      <alignment horizontal="right" vertical="bottom"/>
    </xf>
    <xf numFmtId="8003" fontId="1" fillId="0" borderId="1" xfId="0">
      <alignment horizontal="right" vertical="bottom"/>
    </xf>
    <xf numFmtId="8003" fontId="8" fillId="0" borderId="1" xfId="0">
      <alignment horizontal="right" vertical="bottom"/>
    </xf>
    <xf numFmtId="8003" fontId="1" fillId="2" borderId="1" xfId="0">
      <alignment horizontal="right" vertical="bottom"/>
    </xf>
    <xf numFmtId="7951" fontId="4" fillId="0" borderId="9" xfId="0">
      <alignment horizontal="right" vertical="bottom"/>
    </xf>
    <xf numFmtId="7951" fontId="4" fillId="2" borderId="9" xfId="0">
      <alignment horizontal="right" vertical="bottom"/>
    </xf>
    <xf numFmtId="7951" fontId="10" fillId="0" borderId="1" xfId="0">
      <alignment horizontal="right" vertical="bottom"/>
    </xf>
    <xf numFmtId="7951" fontId="8" fillId="2" borderId="1" xfId="0">
      <alignment horizontal="right" vertical="bottom"/>
    </xf>
    <xf numFmtId="0" fontId="1" fillId="0" borderId="1" xfId="0">
      <alignment horizontal="left" vertical="bottom" wrapText="1" indent="2"/>
    </xf>
    <xf numFmtId="0" fontId="12" fillId="3" borderId="7" xfId="0">
      <alignment horizontal="left" vertical="bottom"/>
    </xf>
    <xf numFmtId="7970" fontId="2" fillId="0" borderId="1" xfId="0">
      <alignment horizontal="right" vertical="bottom"/>
    </xf>
    <xf numFmtId="7970" fontId="2" fillId="2" borderId="1" xfId="0">
      <alignment horizontal="right" vertical="bottom"/>
    </xf>
    <xf numFmtId="7952" fontId="5" fillId="0" borderId="9" xfId="0">
      <alignment horizontal="right" vertical="bottom"/>
    </xf>
    <xf numFmtId="0" fontId="4" fillId="3" borderId="8" xfId="0">
      <alignment horizontal="left" vertical="bottom"/>
    </xf>
    <xf numFmtId="0" fontId="4" fillId="3" borderId="8" xfId="0">
      <alignment horizontal="right" vertical="bottom"/>
    </xf>
    <xf numFmtId="7960" fontId="10" fillId="0" borderId="1" xfId="0">
      <alignment horizontal="right" vertical="bottom"/>
    </xf>
    <xf numFmtId="0" fontId="1" fillId="0" borderId="1" xfId="0">
      <alignment horizontal="left" vertical="bottom"/>
    </xf>
    <xf numFmtId="7958" fontId="10" fillId="0" borderId="1" xfId="0">
      <alignment horizontal="right" vertical="bottom"/>
    </xf>
    <xf numFmtId="7958" fontId="1" fillId="0" borderId="1" xfId="0">
      <alignment horizontal="right" vertical="bottom"/>
    </xf>
    <xf numFmtId="7958" fontId="8" fillId="0" borderId="1" xfId="0">
      <alignment horizontal="right" vertical="bottom"/>
    </xf>
    <xf numFmtId="7952" fontId="1" fillId="0" borderId="1" xfId="0">
      <alignment horizontal="left" vertical="bottom"/>
    </xf>
    <xf numFmtId="7970" fontId="10" fillId="0" borderId="1" xfId="0">
      <alignment horizontal="right" vertical="bottom"/>
    </xf>
    <xf numFmtId="7970" fontId="1" fillId="0" borderId="1" xfId="0">
      <alignment horizontal="right" vertical="bottom"/>
    </xf>
    <xf numFmtId="7970" fontId="8" fillId="0" borderId="1" xfId="0">
      <alignment horizontal="right" vertical="bottom"/>
    </xf>
    <xf numFmtId="0" fontId="12" fillId="0" borderId="1" xfId="0">
      <alignment vertical="top" wrapText="1"/>
    </xf>
    <xf numFmtId="0" fontId="4" fillId="3" borderId="1" xfId="0"/>
    <xf numFmtId="7996" fontId="1" fillId="0" borderId="1" xfId="0"/>
    <xf numFmtId="0" fontId="10" fillId="0" borderId="1" xfId="0">
      <alignment horizontal="right" vertical="bottom"/>
    </xf>
    <xf numFmtId="0" fontId="4" fillId="3" borderId="1" xfId="0">
      <alignment horizontal="right" vertical="bottom" wrapText="1"/>
    </xf>
    <xf numFmtId="7951" fontId="10" fillId="0" borderId="1" xfId="0"/>
    <xf numFmtId="7952" fontId="10" fillId="0" borderId="1" xfId="0"/>
    <xf numFmtId="1" fontId="1" fillId="0" borderId="1" xfId="0"/>
    <xf numFmtId="7951" fontId="1" fillId="0" borderId="1" xfId="0"/>
    <xf numFmtId="49" fontId="1" fillId="0" borderId="1" xfId="0">
      <alignment horizontal="right" vertical="bottom"/>
    </xf>
    <xf numFmtId="49" fontId="10" fillId="0" borderId="1" xfId="0">
      <alignment horizontal="right" vertical="bottom"/>
    </xf>
    <xf numFmtId="2" fontId="10" fillId="0" borderId="1" xfId="0">
      <alignment horizontal="right" vertical="bottom"/>
    </xf>
    <xf numFmtId="1" fontId="1" fillId="0" borderId="1" xfId="0">
      <alignment horizontal="right" vertical="bottom"/>
    </xf>
    <xf numFmtId="1" fontId="10" fillId="0" borderId="1" xfId="0">
      <alignment horizontal="right" vertical="bottom"/>
    </xf>
    <xf numFmtId="7956" fontId="1" fillId="0" borderId="1" xfId="0">
      <alignment horizontal="right" vertical="bottom"/>
    </xf>
    <xf numFmtId="7956" fontId="10" fillId="0" borderId="1" xfId="0">
      <alignment horizontal="right" vertical="bottom"/>
    </xf>
    <xf numFmtId="0" fontId="4" fillId="3" borderId="8" xfId="0"/>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tyles" Target="styles.xml"/><Relationship Id="rId14" Type="http://schemas.openxmlformats.org/officeDocument/2006/relationships/theme" Target="theme/theme1.xml"/><Relationship Id="rId1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0.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628650</xdr:colOff>
      <xdr:row>3</xdr:row>
      <xdr:rowOff>38100</xdr:rowOff>
    </xdr:to>
    <xdr:pic>
      <xdr:nvPicPr>
        <xdr:cNvPr id="2" name="Shortcut logo"/>
        <xdr:cNvPicPr>
          <a:picLocks noChangeAspect="1"/>
        </xdr:cNvPicPr>
      </xdr:nvPicPr>
      <xdr:blipFill>
        <a:blip xmlns:r="http://schemas.openxmlformats.org/officeDocument/2006/relationships" r:embed="rId1"/>
        <a:srcRect l="0" r="0" t="0" b="0"/>
        <a:stretch/>
      </xdr:blipFill>
      <xdr:spPr>
        <a:xfrm>
          <a:off x="57150" y="38100"/>
          <a:ext cx="571500" cy="571500"/>
        </a:xfrm>
        <a:prstGeom prst="rect">
          <a:avLst/>
        </a:prstGeom>
        <a:noFill/>
        <a:ln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ABEA8-D3DB-1AA8-3FF8-E8C2CBA65608}" mc:Ignorable="x14ac xr xr2 xr3">
  <dimension ref="A1:CV10000"/>
  <sheetViews>
    <sheetView showGridLines="0" topLeftCell="A1" zoomScale="90" workbookViewId="0" tabSelected="1">
      <selection activeCell="A1" sqref="A1"/>
    </sheetView>
  </sheetViews>
  <sheetFormatPr defaultRowHeight="15" defaultColWidth="8.421875" customHeight="1"/>
  <cols>
    <col min="1" max="1" width="10.00390625" customWidth="1"/>
    <col min="2" max="2" width="52.00390625" customWidth="1"/>
    <col min="3" max="4" width="14.00390625" customWidth="1"/>
    <col min="5" max="8" width="12.00390625" customWidth="1"/>
  </cols>
  <sheetData>
    <row r="1" ht="15" customHeight="1">
      <c r="A1" s="1"/>
      <c r="B1" s="2" t="s">
        <v>0</v>
      </c>
      <c r="C1" s="1"/>
      <c r="D1" s="1"/>
      <c r="E1" s="1"/>
      <c r="F1" s="1"/>
      <c r="G1" s="1"/>
      <c r="H1" s="1"/>
    </row>
    <row r="2" ht="15" customHeight="1">
      <c r="A2" s="1"/>
      <c r="B2" s="3" t="s">
        <v>1</v>
      </c>
      <c r="C2" s="1"/>
      <c r="D2" s="1"/>
      <c r="E2" s="1"/>
      <c r="F2" s="1"/>
      <c r="G2" s="1"/>
      <c r="H2" s="1"/>
    </row>
    <row r="3" ht="15" customHeight="1">
      <c r="A3" s="1"/>
      <c r="B3" s="4" t="s">
        <v>2</v>
      </c>
      <c r="C3" s="1"/>
      <c r="D3" s="1"/>
      <c r="E3" s="1"/>
      <c r="F3" s="1"/>
      <c r="G3" s="1"/>
      <c r="H3" s="1"/>
    </row>
    <row r="4" ht="15" customHeight="1">
      <c r="A4" s="1"/>
      <c r="B4" s="5" t="s">
        <v>3</v>
      </c>
      <c r="C4" s="6" t="s">
        <v>4</v>
      </c>
      <c r="D4" s="6"/>
      <c r="E4" s="6"/>
      <c r="F4" s="6"/>
      <c r="G4" s="6"/>
      <c r="H4" s="6"/>
    </row>
    <row r="5" ht="15" customHeight="1">
      <c r="A5" s="1"/>
      <c r="B5" s="7" t="s">
        <v>5</v>
      </c>
      <c r="C5" s="8">
        <v>46295</v>
      </c>
      <c r="D5" s="8"/>
      <c r="E5" s="8"/>
      <c r="F5" s="8"/>
      <c r="G5" s="8"/>
      <c r="H5" s="8"/>
    </row>
    <row r="6" ht="15" customHeight="1">
      <c r="A6" s="1"/>
      <c r="B6" s="9" t="s">
        <v>6</v>
      </c>
      <c r="C6" s="10">
        <f>C5-EOMONTH(C5,-3)</f>
        <v>92</v>
      </c>
      <c r="D6" s="10"/>
      <c r="E6" s="10"/>
      <c r="F6" s="10"/>
      <c r="G6" s="10"/>
      <c r="H6" s="10"/>
    </row>
    <row r="7" ht="15" customHeight="1">
      <c r="A7" s="1"/>
      <c r="B7" s="1"/>
      <c r="C7" s="1"/>
      <c r="D7" s="1"/>
      <c r="E7" s="1"/>
      <c r="F7" s="1"/>
      <c r="G7" s="1"/>
      <c r="H7" s="1"/>
    </row>
    <row r="8" ht="15" customHeight="1">
      <c r="A8" s="1"/>
      <c r="B8" s="3" t="s">
        <v>7</v>
      </c>
      <c r="C8" s="1"/>
      <c r="D8" s="1"/>
      <c r="E8" s="1"/>
      <c r="F8" s="1"/>
      <c r="G8" s="1"/>
      <c r="H8" s="1"/>
    </row>
    <row r="9" ht="34.5" customHeight="1">
      <c r="A9" s="1"/>
      <c r="B9" s="11"/>
      <c r="C9" s="12" t="s">
        <v>8</v>
      </c>
      <c r="D9" s="12" t="s">
        <v>9</v>
      </c>
      <c r="E9" s="12" t="s">
        <v>10</v>
      </c>
      <c r="F9" s="12" t="s">
        <v>11</v>
      </c>
      <c r="G9" s="12" t="s">
        <v>12</v>
      </c>
      <c r="H9" s="12" t="s">
        <v>13</v>
      </c>
    </row>
    <row r="10" ht="15" customHeight="1">
      <c r="A10" s="1"/>
      <c r="B10" s="1" t="s">
        <v>14</v>
      </c>
      <c r="C10" s="13">
        <f>'Income Statement'!H11</f>
        <v>31536.726150000002</v>
      </c>
      <c r="D10" s="14">
        <f>Inputs!C41</f>
        <v>31645.33</v>
      </c>
      <c r="E10" s="15">
        <f t="shared" si="0" ref="E10:E16">IF(ISNUMBER(D10),C10-D10,"n/a")</f>
        <v>-108.60384999999951</v>
      </c>
      <c r="F10" s="16">
        <f t="shared" si="1" ref="F10:F16">IF(ISNUMBER(D10),C10/D10-1,"n/a")</f>
        <v>-0.003431907646404664</v>
      </c>
      <c r="G10" s="17" t="s">
        <v>15</v>
      </c>
      <c r="H10" s="15" t="str">
        <f t="shared" si="2" ref="H10:H16">IF(ISNUMBER(G10),C10-G10,"n/a")</f>
        <v>n/a</v>
      </c>
    </row>
    <row r="11" ht="15" customHeight="1">
      <c r="A11" s="1"/>
      <c r="B11" s="1" t="s">
        <v>16</v>
      </c>
      <c r="C11" s="13">
        <f>'Income Statement'!H126</f>
        <v>4284.656165724997</v>
      </c>
      <c r="D11" s="14">
        <f>Inputs!C54</f>
        <v>4199.65</v>
      </c>
      <c r="E11" s="15">
        <f t="shared" si="0"/>
        <v>85.00616572499712</v>
      </c>
      <c r="F11" s="16">
        <f t="shared" si="1"/>
        <v>0.020241250038693037</v>
      </c>
      <c r="G11" s="17" t="s">
        <v>15</v>
      </c>
      <c r="H11" s="15" t="str">
        <f t="shared" si="2"/>
        <v>n/a</v>
      </c>
    </row>
    <row r="12" ht="15" customHeight="1">
      <c r="A12" s="1"/>
      <c r="B12" s="1" t="s">
        <v>17</v>
      </c>
      <c r="C12" s="18">
        <f>'Income Statement'!H129</f>
        <v>0.6263752768905164</v>
      </c>
      <c r="D12" s="19">
        <f>Inputs!C23</f>
        <v>0.6</v>
      </c>
      <c r="E12" s="20">
        <f t="shared" si="0"/>
        <v>0.02637527689051644</v>
      </c>
      <c r="F12" s="16">
        <f t="shared" si="1"/>
        <v>0.04395879481752751</v>
      </c>
      <c r="G12" s="17" t="s">
        <v>15</v>
      </c>
      <c r="H12" s="20" t="str">
        <f t="shared" si="2"/>
        <v>n/a</v>
      </c>
    </row>
    <row r="13" ht="15" customHeight="1">
      <c r="A13" s="1"/>
      <c r="B13" s="1" t="s">
        <v>18</v>
      </c>
      <c r="C13" s="18">
        <f>'Income Statement'!H64</f>
        <v>0.6056220983697538</v>
      </c>
      <c r="D13" s="19">
        <f>Inputs!C32</f>
        <v>0.62</v>
      </c>
      <c r="E13" s="20">
        <f t="shared" si="0"/>
        <v>-0.014377901630246215</v>
      </c>
      <c r="F13" s="16">
        <f t="shared" si="1"/>
        <v>-0.023190163919751927</v>
      </c>
      <c r="G13" s="17" t="s">
        <v>15</v>
      </c>
      <c r="H13" s="20" t="str">
        <f t="shared" si="2"/>
        <v>n/a</v>
      </c>
    </row>
    <row r="14" ht="15" customHeight="1">
      <c r="A14" s="1"/>
      <c r="B14" s="1" t="s">
        <v>19</v>
      </c>
      <c r="C14" s="13">
        <f>'Income Statement'!H56</f>
        <v>4112.696165724998</v>
      </c>
      <c r="D14" s="14">
        <f>Inputs!C55</f>
        <v>4225.5</v>
      </c>
      <c r="E14" s="15">
        <f t="shared" si="0"/>
        <v>-112.80383427500237</v>
      </c>
      <c r="F14" s="16">
        <f t="shared" si="1"/>
        <v>-0.026695973086025893</v>
      </c>
      <c r="G14" s="17" t="s">
        <v>15</v>
      </c>
      <c r="H14" s="15" t="str">
        <f t="shared" si="2"/>
        <v>n/a</v>
      </c>
    </row>
    <row r="15" ht="15" customHeight="1">
      <c r="A15" s="1"/>
      <c r="B15" s="1" t="s">
        <v>20</v>
      </c>
      <c r="C15" s="13">
        <f>'Income Statement'!H75</f>
        <v>12378.482263749998</v>
      </c>
      <c r="D15" s="14">
        <f>Inputs!C50</f>
        <v>12322.52</v>
      </c>
      <c r="E15" s="15">
        <f t="shared" si="0"/>
        <v>55.962263749997874</v>
      </c>
      <c r="F15" s="16">
        <f t="shared" si="1"/>
        <v>0.004541462602616786</v>
      </c>
      <c r="G15" s="17" t="s">
        <v>15</v>
      </c>
      <c r="H15" s="15" t="str">
        <f t="shared" si="2"/>
        <v>n/a</v>
      </c>
    </row>
    <row r="16" ht="15" customHeight="1">
      <c r="A16" s="1"/>
      <c r="B16" s="1" t="s">
        <v>21</v>
      </c>
      <c r="C16" s="13">
        <f>'Income Statement'!H155</f>
        <v>4853.696165724998</v>
      </c>
      <c r="D16" s="21" t="s">
        <v>15</v>
      </c>
      <c r="E16" s="15" t="str">
        <f t="shared" si="0"/>
        <v>n/a</v>
      </c>
      <c r="F16" s="16" t="str">
        <f t="shared" si="1"/>
        <v>n/a</v>
      </c>
      <c r="G16" s="17" t="s">
        <v>15</v>
      </c>
      <c r="H16" s="15" t="str">
        <f t="shared" si="2"/>
        <v>n/a</v>
      </c>
    </row>
    <row r="17" ht="15" customHeight="1">
      <c r="A17" s="1"/>
      <c r="B17" s="1" t="s">
        <v>22</v>
      </c>
      <c r="C17" s="14">
        <f>ABS(C10-'Income Statement'!H11)+ABS(C11-'Income Statement'!H126)+ABS(C12-'Income Statement'!H129)+ABS(C13-'Income Statement'!H64)+ABS(C14-'Income Statement'!H56)+ABS(C15-'Income Statement'!H75)+ABS(C16-'Income Statement'!H155)</f>
        <v>0</v>
      </c>
      <c r="D17" s="1"/>
      <c r="E17" s="1"/>
      <c r="F17" s="1"/>
      <c r="G17" s="1"/>
      <c r="H17" s="1"/>
    </row>
    <row r="18" ht="15" customHeight="1">
      <c r="A18" s="1"/>
      <c r="B18" s="22" t="s">
        <v>23</v>
      </c>
      <c r="C18" s="23" t="str">
        <f>IF(SUM(ABS(ROUND('Revenue summary'!C49,4)),ABS(ROUND('Revenue summary'!D49,4)),ABS(ROUND('Revenue summary'!E49,4)),ABS(ROUND('Revenue summary'!F49,4)),ABS(ROUND('Revenue summary'!G49,4)),ABS(ROUND('Revenue summary'!C67,4)),ABS(ROUND('Revenue summary'!D67,4)),ABS(ROUND('Revenue summary'!E67,4)),ABS(ROUND('Revenue summary'!F67,4)),ABS(ROUND('Revenue summary'!G67,4)),ABS(ROUND('Revenue summary'!H67,4)),ABS(ROUND('Revenue summary'!C72,4)),ABS(ROUND('Revenue summary'!D72,4)),ABS(ROUND('Revenue summary'!E72,4)),ABS(ROUND('Revenue summary'!F72,4)),ABS(ROUND('Revenue summary'!G72,4)),ABS(ROUND('Revenue summary'!H72,4)),ABS(ROUND('Balance Sheet'!C46,4)),ABS(ROUND('Balance Sheet'!D46,4)),ABS(ROUND('Balance Sheet'!E46,4)),ABS(ROUND('Balance Sheet'!F46,4)),ABS(ROUND('Balance Sheet'!G46,4)),ABS(ROUND('Balance Sheet'!H46,4)),ABS(ROUND('Balance Sheet'!C48,4)),ABS(ROUND('Balance Sheet'!D48,4)),ABS(ROUND('Balance Sheet'!E48,4)),ABS(ROUND('Balance Sheet'!F48,4)),ABS(ROUND('Balance Sheet'!G48,4)),ABS(ROUND('Cash Flow Statement'!C57,4)),ABS(ROUND('Cash Flow Statement'!D57,4)),ABS(ROUND('Cash Flow Statement'!E57,4)),ABS(ROUND('Cash Flow Statement'!F57,4)),ABS(ROUND('Cash Flow Statement'!G57,4)),ABS(ROUND('Cash Flow Statement'!H57,4)),ABS(ROUND('Cash Flow Statement'!C58,4)),ABS(ROUND('Cash Flow Statement'!D58,4)),ABS(ROUND('Cash Flow Statement'!E58,4)),ABS(ROUND('Cash Flow Statement'!F58,4)),ABS(ROUND('Cash Flow Statement'!G58,4)),ABS(ROUND('Cash Flow Statement'!H58,4)),ABS(ROUND('Income Statement'!C69,4)),ABS(ROUND('Income Statement'!D69,4)),ABS(ROUND('Income Statement'!F69,4)),ABS(ROUND('Income Statement'!G69,4)),ABS(ROUND('Income Statement'!C133,4)),ABS(ROUND('Income Statement'!D133,4)),ABS(ROUND('Income Statement'!E133,4)),ABS(ROUND('Income Statement'!F133,4)),ABS(ROUND('Income Statement'!G133,4)),ABS(ROUND('Income Statement'!C92,4)),ABS(ROUND('Income Statement'!D92,4)),ABS(ROUND('Income Statement'!E92,4)),ABS(ROUND('Income Statement'!F92,4)),ABS(ROUND('Income Statement'!G92,4)),ABS(ROUND('Income Statement'!C134,4)),ABS(ROUND('Income Statement'!D134,4)),ABS(ROUND('Income Statement'!E134,4)),ABS(ROUND('Income Statement'!F134,4)),ABS(ROUND('Income Statement'!G134,4)),ABS(ROUND('Income Statement'!H134,4)),ABS(ROUND('Income Statement'!C149,4)),ABS(ROUND('Income Statement'!D149,4)),ABS(ROUND('Income Statement'!E149,4)),ABS(ROUND('Income Statement'!F149,4)),ABS(ROUND('Income Statement'!G149,4)),ABS(ROUND('Income Statement'!H149,4)),ABS(ROUND('Segment - Advanced Connectivity'!C297,4)),ABS(ROUND('Segment - Advanced Connectivity'!D297,4)),ABS(ROUND('Segment - Advanced Connectivity'!E297,4)),ABS(ROUND('Segment - Advanced Connectivity'!F297,4)),ABS(ROUND('Segment - Advanced Connectivity'!G297,4)),ABS(ROUND('Revenue summary'!J49,4)),ABS(ROUND('Revenue summary'!K49,4)),ABS(ROUND('Revenue summary'!L49,4)),ABS(ROUND('Revenue summary'!M49,4)),ABS(ROUND('Revenue summary'!N49,4)),ABS(ROUND('Cash Flow Statement'!E61,4)),ABS(ROUND(Cover!C17,4)))=0,"PASS","FAIL")</f>
        <v>PASS</v>
      </c>
      <c r="D18" s="24"/>
      <c r="E18" s="24"/>
      <c r="F18" s="24"/>
      <c r="G18" s="24"/>
      <c r="H18" s="24"/>
    </row>
    <row r="19" ht="15" customHeight="1">
      <c r="A19" s="1"/>
      <c r="B19" s="3" t="s">
        <v>25</v>
      </c>
      <c r="C19" s="25">
        <f>Inputs!C112</f>
        <v>0.75</v>
      </c>
      <c r="D19" s="1"/>
      <c r="E19" s="1"/>
      <c r="F19" s="1"/>
      <c r="G19" s="1"/>
      <c r="H19" s="1"/>
    </row>
    <row r="20" ht="15" customHeight="1">
      <c r="A20" s="1"/>
      <c r="B20" s="3" t="s">
        <v>26</v>
      </c>
      <c r="C20" s="26" t="str">
        <f>Inputs!C113</f>
        <v>medium</v>
      </c>
      <c r="D20" s="1"/>
      <c r="E20" s="1"/>
      <c r="F20" s="1"/>
      <c r="G20" s="1"/>
      <c r="H20" s="1"/>
    </row>
    <row r="21" ht="15" customHeight="1">
      <c r="A21" s="1"/>
      <c r="B21" s="3" t="s">
        <v>28</v>
      </c>
      <c r="C21" s="1" t="s">
        <v>29</v>
      </c>
      <c r="D21" s="1"/>
      <c r="E21" s="1"/>
      <c r="F21" s="1"/>
      <c r="G21" s="1"/>
      <c r="H21" s="1"/>
    </row>
    <row r="22" ht="15" customHeight="1">
      <c r="A22" s="1"/>
      <c r="B22" s="3" t="s">
        <v>30</v>
      </c>
      <c r="C22" s="1" t="s">
        <v>31</v>
      </c>
      <c r="D22" s="1"/>
      <c r="E22" s="1"/>
      <c r="F22" s="1"/>
      <c r="G22" s="1"/>
      <c r="H22" s="1"/>
    </row>
    <row r="23" ht="15" customHeight="1">
      <c r="A23" s="1"/>
      <c r="B23" s="3" t="s">
        <v>32</v>
      </c>
      <c r="C23" s="1" t="s">
        <v>33</v>
      </c>
      <c r="D23" s="1"/>
      <c r="E23" s="1"/>
      <c r="F23" s="1"/>
      <c r="G23" s="1"/>
      <c r="H23" s="1"/>
    </row>
    <row r="24" ht="15" customHeight="1">
      <c r="A24" s="1"/>
      <c r="B24" s="3" t="s">
        <v>34</v>
      </c>
      <c r="C24" s="1" t="s">
        <v>35</v>
      </c>
      <c r="D24" s="1"/>
      <c r="E24" s="1"/>
      <c r="F24" s="1"/>
      <c r="G24" s="1"/>
      <c r="H24" s="1"/>
    </row>
    <row r="25" ht="15" customHeight="1">
      <c r="A25" s="1"/>
      <c r="B25" s="3" t="s">
        <v>36</v>
      </c>
      <c r="C25" s="1" t="s">
        <v>37</v>
      </c>
      <c r="D25" s="1"/>
      <c r="E25" s="1"/>
      <c r="F25" s="1"/>
      <c r="G25" s="1"/>
      <c r="H25" s="1"/>
    </row>
    <row r="26" ht="15" customHeight="1">
      <c r="A26" s="1"/>
      <c r="B26" s="3" t="s">
        <v>38</v>
      </c>
      <c r="C26" s="1" t="s">
        <v>39</v>
      </c>
      <c r="D26" s="1"/>
      <c r="E26" s="1"/>
      <c r="F26" s="1"/>
      <c r="G26" s="1"/>
      <c r="H26" s="1"/>
    </row>
    <row r="27" ht="15" customHeight="1">
      <c r="A27" s="1"/>
      <c r="B27" s="3" t="s">
        <v>40</v>
      </c>
      <c r="C27" s="1" t="s">
        <v>41</v>
      </c>
      <c r="D27" s="1"/>
      <c r="E27" s="1"/>
      <c r="F27" s="1"/>
      <c r="G27" s="1"/>
      <c r="H27" s="1"/>
    </row>
    <row r="28" ht="15" customHeight="1">
      <c r="A28" s="1"/>
      <c r="B28" s="3" t="s">
        <v>42</v>
      </c>
      <c r="C28" s="1" t="s">
        <v>43</v>
      </c>
      <c r="D28" s="1"/>
      <c r="E28" s="1"/>
      <c r="F28" s="1"/>
      <c r="G28" s="1"/>
      <c r="H28" s="1"/>
    </row>
    <row r="29" ht="15" customHeight="1">
      <c r="A29" s="1"/>
      <c r="B29" s="3" t="s">
        <v>44</v>
      </c>
      <c r="C29" s="1" t="s">
        <v>45</v>
      </c>
      <c r="D29" s="1"/>
      <c r="E29" s="1"/>
      <c r="F29" s="1"/>
      <c r="G29" s="1"/>
      <c r="H29" s="1"/>
    </row>
    <row r="30" ht="15" customHeight="1">
      <c r="A30" s="1"/>
      <c r="B30" s="3" t="s">
        <v>46</v>
      </c>
      <c r="C30" s="1" t="s">
        <v>47</v>
      </c>
      <c r="D30" s="1"/>
      <c r="E30" s="1"/>
      <c r="F30" s="1"/>
      <c r="G30" s="1"/>
      <c r="H30" s="1"/>
    </row>
    <row r="31" ht="15" customHeight="1">
      <c r="B31" s="4" t="s">
        <v>48</v>
      </c>
    </row>
    <row r="32" ht="15" customHeight="1">
      <c r="B32" s="4" t="s">
        <v>49</v>
      </c>
    </row>
    <row r="33" ht="15" customHeight="1">
      <c r="B33" s="4" t="s">
        <v>50</v>
      </c>
    </row>
    <row r="34" ht="15" customHeight="1">
      <c r="B34" s="4" t="s">
        <v>51</v>
      </c>
    </row>
    <row r="35" ht="15" customHeight="1">
      <c r="B35" s="4" t="s">
        <v>52</v>
      </c>
    </row>
    <row r="36" ht="15" customHeight="1">
      <c r="B36" s="27" t="s">
        <v>53</v>
      </c>
      <c r="C36" s="28"/>
      <c r="D36" s="28"/>
      <c r="E36" s="28"/>
      <c r="F36" s="28"/>
      <c r="G36" s="28"/>
      <c r="H36" s="28"/>
    </row>
    <row r="37" ht="15" customHeight="1">
      <c r="B37" s="28"/>
      <c r="C37" s="28"/>
      <c r="D37" s="28"/>
      <c r="E37" s="28"/>
      <c r="F37" s="28"/>
      <c r="G37" s="28"/>
      <c r="H37" s="28"/>
    </row>
    <row r="38" ht="15" customHeight="1">
      <c r="B38" s="29" t="s">
        <v>54</v>
      </c>
      <c r="C38" s="28"/>
      <c r="D38" s="28"/>
      <c r="E38" s="28"/>
      <c r="F38" s="28"/>
      <c r="G38" s="28"/>
      <c r="H38" s="28"/>
    </row>
    <row r="39" ht="15" customHeight="1">
      <c r="B39" s="30" t="s">
        <v>55</v>
      </c>
      <c r="C39" s="31" t="s">
        <v>8</v>
      </c>
      <c r="D39" s="30" t="s">
        <v>56</v>
      </c>
      <c r="E39" s="30" t="s">
        <v>57</v>
      </c>
      <c r="F39" s="30"/>
      <c r="G39" s="30"/>
      <c r="H39" s="30"/>
    </row>
    <row r="40" ht="15" customHeight="1">
      <c r="B40" s="28" t="s">
        <v>58</v>
      </c>
      <c r="C40" s="32">
        <f>'Share Count'!H29</f>
        <v>6840.397959183673</v>
      </c>
      <c r="D40" s="33" t="s">
        <v>59</v>
      </c>
      <c r="E40" s="33" t="s">
        <v>60</v>
      </c>
      <c r="F40" s="28"/>
      <c r="G40" s="28"/>
      <c r="H40" s="28"/>
    </row>
    <row r="41" ht="15" customHeight="1">
      <c r="B41" s="28" t="s">
        <v>61</v>
      </c>
      <c r="C41" s="34">
        <f>'Income Statement'!H12</f>
        <v>0.026953862059982514</v>
      </c>
      <c r="D41" s="33" t="s">
        <v>62</v>
      </c>
      <c r="E41" s="33" t="s">
        <v>63</v>
      </c>
      <c r="F41" s="28"/>
      <c r="G41" s="28"/>
      <c r="H41" s="28"/>
    </row>
    <row r="42" ht="15" customHeight="1">
      <c r="B42" s="28" t="s">
        <v>64</v>
      </c>
      <c r="C42" s="32">
        <f>'Revenue summary'!H9</f>
        <v>28731.44115</v>
      </c>
      <c r="D42" s="33" t="s">
        <v>65</v>
      </c>
      <c r="E42" s="33" t="s">
        <v>66</v>
      </c>
      <c r="F42" s="28"/>
      <c r="G42" s="28"/>
      <c r="H42" s="28"/>
    </row>
    <row r="43" ht="15" customHeight="1">
      <c r="B43" s="28" t="s">
        <v>67</v>
      </c>
      <c r="C43" s="32">
        <f>'Revenue summary'!H17</f>
        <v>1499.685</v>
      </c>
      <c r="D43" s="33" t="s">
        <v>68</v>
      </c>
      <c r="E43" s="33" t="s">
        <v>66</v>
      </c>
      <c r="F43" s="28"/>
      <c r="G43" s="28"/>
      <c r="H43" s="28"/>
    </row>
    <row r="44" ht="15" customHeight="1">
      <c r="B44" s="28" t="s">
        <v>69</v>
      </c>
      <c r="C44" s="32">
        <f>'Revenue summary'!H25</f>
        <v>1217.4</v>
      </c>
      <c r="D44" s="33" t="s">
        <v>70</v>
      </c>
      <c r="E44" s="33" t="s">
        <v>71</v>
      </c>
      <c r="F44" s="28"/>
      <c r="G44" s="28"/>
      <c r="H44" s="28"/>
    </row>
    <row r="45" ht="15" customHeight="1">
      <c r="B45" s="28" t="s">
        <v>72</v>
      </c>
      <c r="C45" s="32">
        <f>'Income Statement'!H33</f>
        <v>7268.4822637499965</v>
      </c>
      <c r="D45" s="33" t="s">
        <v>73</v>
      </c>
      <c r="E45" s="33" t="s">
        <v>74</v>
      </c>
      <c r="F45" s="28"/>
      <c r="G45" s="28"/>
      <c r="H45" s="28"/>
    </row>
    <row r="46" ht="15" customHeight="1">
      <c r="B46" s="28" t="s">
        <v>75</v>
      </c>
      <c r="C46" s="34">
        <f>'Income Statement'!H36</f>
        <v>0.23047675364838072</v>
      </c>
      <c r="D46" s="33" t="s">
        <v>76</v>
      </c>
      <c r="E46" s="33" t="s">
        <v>77</v>
      </c>
      <c r="F46" s="28"/>
      <c r="G46" s="28"/>
      <c r="H46" s="28"/>
    </row>
    <row r="47" ht="15" customHeight="1">
      <c r="B47" s="28" t="s">
        <v>78</v>
      </c>
      <c r="C47" s="34">
        <f>'Revenue summary'!H47</f>
        <v>0.016291858703677775</v>
      </c>
      <c r="D47" s="33" t="s">
        <v>79</v>
      </c>
      <c r="E47" s="33" t="s">
        <v>80</v>
      </c>
      <c r="F47" s="28"/>
      <c r="G47" s="28"/>
      <c r="H47" s="28"/>
    </row>
    <row r="48" ht="15" customHeight="1">
      <c r="B48" s="28" t="s">
        <v>81</v>
      </c>
      <c r="C48" s="32">
        <f>'Cash Flow Statement'!H24</f>
        <v>10953.696165724998</v>
      </c>
      <c r="D48" s="33" t="s">
        <v>82</v>
      </c>
      <c r="E48" s="33" t="s">
        <v>83</v>
      </c>
      <c r="F48" s="28"/>
      <c r="G48" s="28"/>
      <c r="H48" s="28"/>
    </row>
    <row r="49" ht="15" customHeight="1">
      <c r="B49" s="28" t="s">
        <v>84</v>
      </c>
      <c r="C49" s="32">
        <f>'Cash Flow Statement'!H26</f>
        <v>-5650</v>
      </c>
      <c r="D49" s="33" t="s">
        <v>85</v>
      </c>
      <c r="E49" s="33" t="s">
        <v>86</v>
      </c>
      <c r="F49" s="28"/>
      <c r="G49" s="28"/>
      <c r="H49" s="28"/>
    </row>
    <row r="50" ht="15" customHeight="1">
      <c r="B50" s="28" t="s">
        <v>87</v>
      </c>
      <c r="C50" s="35" t="s">
        <v>15</v>
      </c>
      <c r="D50" s="33" t="s">
        <v>15</v>
      </c>
      <c r="E50" s="33" t="s">
        <v>88</v>
      </c>
      <c r="F50" s="28"/>
      <c r="G50" s="28"/>
      <c r="H50" s="28"/>
    </row>
    <row r="51" ht="15" customHeight="1">
      <c r="B51" s="28"/>
      <c r="C51" s="28"/>
      <c r="D51" s="28"/>
      <c r="E51" s="28"/>
      <c r="F51" s="28"/>
      <c r="G51" s="28"/>
      <c r="H51" s="28"/>
    </row>
    <row r="52" ht="15" customHeight="1">
      <c r="B52" s="29" t="s">
        <v>89</v>
      </c>
      <c r="C52" s="28"/>
      <c r="D52" s="28"/>
      <c r="E52" s="28"/>
      <c r="F52" s="28"/>
      <c r="G52" s="28"/>
      <c r="H52" s="28"/>
    </row>
    <row r="53" ht="15" customHeight="1">
      <c r="B53" s="30" t="s">
        <v>90</v>
      </c>
      <c r="C53" s="31" t="s">
        <v>91</v>
      </c>
      <c r="D53" s="31" t="s">
        <v>92</v>
      </c>
      <c r="E53" s="30" t="s">
        <v>57</v>
      </c>
      <c r="F53" s="30"/>
      <c r="G53" s="30"/>
      <c r="H53" s="30"/>
    </row>
    <row r="54" ht="15" customHeight="1">
      <c r="B54" s="28" t="s">
        <v>93</v>
      </c>
      <c r="C54" s="36">
        <f>'Income Statement'!H129</f>
        <v>0.6263752768905164</v>
      </c>
      <c r="D54" s="37">
        <f t="shared" si="3" ref="D54:D55">ROUND(C54,2)</f>
        <v>0.63</v>
      </c>
      <c r="E54" s="33" t="s">
        <v>94</v>
      </c>
      <c r="F54" s="28"/>
      <c r="G54" s="28"/>
      <c r="H54" s="28"/>
    </row>
    <row r="55" ht="15" customHeight="1">
      <c r="B55" s="28" t="s">
        <v>95</v>
      </c>
      <c r="C55" s="38">
        <f>('Income Statement'!H126+'Income Statement'!H98*(1-'Income Statement'!H122))/'Income Statement'!H62</f>
        <v>0.6206738542199772</v>
      </c>
      <c r="D55" s="37">
        <f t="shared" si="3"/>
        <v>0.62</v>
      </c>
      <c r="E55" s="33" t="s">
        <v>96</v>
      </c>
      <c r="F55" s="28"/>
      <c r="G55" s="28"/>
      <c r="H55" s="28"/>
    </row>
    <row r="56" ht="15" customHeight="1">
      <c r="B56" s="39" t="s">
        <v>97</v>
      </c>
      <c r="C56" s="40">
        <f t="shared" si="4" ref="C56:D56">C55-C54</f>
        <v>-0.005701422670539191</v>
      </c>
      <c r="D56" s="37">
        <f t="shared" si="4"/>
        <v>-0.010000000000000009</v>
      </c>
      <c r="E56" s="33"/>
      <c r="F56" s="28"/>
      <c r="G56" s="28"/>
      <c r="H56" s="28"/>
    </row>
    <row r="57" ht="15" customHeight="1">
      <c r="B57" s="27" t="s">
        <v>98</v>
      </c>
      <c r="C57" s="28"/>
      <c r="D57" s="28"/>
      <c r="E57" s="28"/>
      <c r="F57" s="28"/>
      <c r="G57" s="28"/>
      <c r="H57" s="28"/>
    </row>
    <row r="58" ht="15" customHeight="1">
      <c r="B58" s="27" t="s">
        <v>99</v>
      </c>
      <c r="C58" s="28"/>
      <c r="D58" s="28"/>
      <c r="E58" s="28"/>
      <c r="F58" s="28"/>
      <c r="G58" s="28"/>
      <c r="H58" s="28"/>
    </row>
  </sheetData>
  <printOptions/>
  <pageMargins left="0.7" right="0.7" top="0.75" bottom="0.75" header="0.3" footer="0.3"/>
  <pageSetup paperSize="1" orientation="portrait"/>
  <headerFooter>
    <oddHeader>&amp;L&amp;C&amp;R</oddHeader>
    <oddFooter>&amp;L&amp;C&amp;R</oddFooter>
  </headerFooter>
  <drawing r:id="rId1"/>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FFB04-1017-A174-2163-2A1951012C37}"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100</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113</v>
      </c>
      <c r="C8" s="1"/>
      <c r="D8" s="1"/>
      <c r="E8" s="1"/>
      <c r="F8" s="1"/>
      <c r="G8" s="1"/>
      <c r="H8" s="48"/>
      <c r="I8" s="1"/>
      <c r="J8" s="1"/>
      <c r="K8" s="1"/>
      <c r="L8" s="1"/>
      <c r="M8" s="1"/>
      <c r="N8" s="1"/>
      <c r="O8" s="1"/>
      <c r="P8" s="49"/>
    </row>
    <row r="9" ht="15" customHeight="1">
      <c r="A9" s="1"/>
      <c r="B9" s="1" t="s">
        <v>114</v>
      </c>
      <c r="C9" s="14">
        <f>'Segment - Advanced Connectivity'!C270</f>
        <v>27503</v>
      </c>
      <c r="D9" s="14">
        <f>'Segment - Advanced Connectivity'!D270</f>
        <v>30232</v>
      </c>
      <c r="E9" s="14">
        <f>'Segment - Advanced Connectivity'!E270</f>
        <v>112424</v>
      </c>
      <c r="F9" s="14">
        <f>'Segment - Advanced Connectivity'!F270</f>
        <v>28471</v>
      </c>
      <c r="G9" s="14">
        <f>'Segment - Advanced Connectivity'!G270</f>
        <v>28615</v>
      </c>
      <c r="H9" s="13">
        <f>'Segment - Advanced Connectivity'!H270</f>
        <v>28731.44115</v>
      </c>
      <c r="I9" s="1"/>
      <c r="J9" s="14">
        <f>'Segment - Advanced Connectivity'!J270</f>
        <v>26497</v>
      </c>
      <c r="K9" s="14">
        <f>'Segment - Advanced Connectivity'!K270</f>
        <v>28705</v>
      </c>
      <c r="L9" s="14">
        <f>'Segment - Advanced Connectivity'!L270</f>
        <v>107084</v>
      </c>
      <c r="M9" s="14">
        <f>'Segment - Advanced Connectivity'!M270</f>
        <v>27192</v>
      </c>
      <c r="N9" s="14">
        <f>'Segment - Advanced Connectivity'!N270</f>
        <v>27497</v>
      </c>
      <c r="O9" s="1"/>
      <c r="P9" s="49"/>
    </row>
    <row r="10" ht="15" customHeight="1">
      <c r="A10" s="1"/>
      <c r="B10" s="50" t="s">
        <v>115</v>
      </c>
      <c r="C10" s="16">
        <f t="shared" si="2" ref="C10:G60">IF(AND(ISNUMBER(C9),ISNUMBER(J9)),IF(J9&lt;&gt;0,C9/J9-1,"n/a"),"n/a")</f>
        <v>0.037966562252330416</v>
      </c>
      <c r="D10" s="16">
        <f t="shared" si="2"/>
        <v>0.05319630726354285</v>
      </c>
      <c r="E10" s="16">
        <f t="shared" si="2"/>
        <v>0.04986739382167271</v>
      </c>
      <c r="F10" s="16">
        <f t="shared" si="2"/>
        <v>0.047035892909679244</v>
      </c>
      <c r="G10" s="16">
        <f t="shared" si="2"/>
        <v>0.0406589809797433</v>
      </c>
      <c r="H10" s="51">
        <f t="shared" si="7" ref="H10:H60">IF(AND(ISNUMBER(H9),ISNUMBER(C9)),IF(C9&lt;&gt;0,H9/C9-1,"n/a"),"n/a")</f>
        <v>0.04466571464931102</v>
      </c>
      <c r="I10" s="1"/>
      <c r="J10" s="16"/>
      <c r="K10" s="16"/>
      <c r="L10" s="16"/>
      <c r="M10" s="16"/>
      <c r="N10" s="16"/>
      <c r="O10" s="1"/>
      <c r="P10" s="49"/>
    </row>
    <row r="11" ht="15" customHeight="1">
      <c r="A11" s="1"/>
      <c r="B11" s="50" t="s">
        <v>116</v>
      </c>
      <c r="C11" s="16">
        <f t="shared" si="8" ref="C11:C61">IF(AND(ISNUMBER(C9),ISNUMBER(N9)),IF(N9&lt;&gt;0,C9/N9-1,"n/a"),"n/a")</f>
        <v>0.0002182056224315776</v>
      </c>
      <c r="D11" s="16">
        <f t="shared" si="3" ref="D11:H61">IF(AND(ISNUMBER(D9),ISNUMBER(C9)),IF(C9&lt;&gt;0,D9/C9-1,"n/a"),"n/a")</f>
        <v>0.09922553903210551</v>
      </c>
      <c r="E11" s="52" t="s">
        <v>15</v>
      </c>
      <c r="F11" s="16">
        <f t="shared" si="9" ref="F11:F61">IF(AND(ISNUMBER(F9),ISNUMBER(D9)),IF(D9&lt;&gt;0,F9/D9-1,"n/a"),"n/a")</f>
        <v>-0.05824953691452761</v>
      </c>
      <c r="G11" s="16">
        <f t="shared" si="3"/>
        <v>0.005057778089986309</v>
      </c>
      <c r="H11" s="51">
        <f t="shared" si="3"/>
        <v>0.004069234667132493</v>
      </c>
      <c r="I11" s="1"/>
      <c r="J11" s="16"/>
      <c r="K11" s="16"/>
      <c r="L11" s="16"/>
      <c r="M11" s="16"/>
      <c r="N11" s="16"/>
      <c r="O11" s="1"/>
      <c r="P11" s="49"/>
    </row>
    <row r="12" ht="15" customHeight="1">
      <c r="A12" s="1"/>
      <c r="B12" s="50" t="s">
        <v>117</v>
      </c>
      <c r="C12" s="16">
        <f t="shared" si="4" ref="C12:H12">IF(AND(ISNUMBER(C9),ISNUMBER(C41)),C9/C41,"n/a")</f>
        <v>0.8956006382493732</v>
      </c>
      <c r="D12" s="16">
        <f t="shared" si="4"/>
        <v>0.9033646088567502</v>
      </c>
      <c r="E12" s="16">
        <f t="shared" si="4"/>
        <v>0.8947535973513308</v>
      </c>
      <c r="F12" s="16">
        <f t="shared" si="4"/>
        <v>0.9036691423855774</v>
      </c>
      <c r="G12" s="16">
        <f t="shared" si="4"/>
        <v>0.9067431396159452</v>
      </c>
      <c r="H12" s="51">
        <f t="shared" si="4"/>
        <v>0.9110470444314016</v>
      </c>
      <c r="I12" s="1"/>
      <c r="J12" s="16"/>
      <c r="K12" s="16"/>
      <c r="L12" s="16"/>
      <c r="M12" s="16"/>
      <c r="N12" s="16"/>
      <c r="O12" s="1"/>
      <c r="P12" s="49"/>
    </row>
    <row r="13" ht="15" customHeight="1">
      <c r="A13" s="1"/>
      <c r="B13" s="53" t="s">
        <v>118</v>
      </c>
      <c r="C13" s="15">
        <f t="shared" si="11" ref="C13:C63">IF(AND(ISNUMBER(C9),ISNUMBER(N9)),C9-N9,"n/a")</f>
        <v>6</v>
      </c>
      <c r="D13" s="15">
        <f t="shared" si="5" ref="D13:H63">IF(AND(ISNUMBER(D9),ISNUMBER(C9)),D9-C9,"n/a")</f>
        <v>2729</v>
      </c>
      <c r="E13" s="21" t="s">
        <v>15</v>
      </c>
      <c r="F13" s="15">
        <f t="shared" si="12" ref="F13:F63">IF(AND(ISNUMBER(F9),ISNUMBER(D9)),F9-D9,"n/a")</f>
        <v>-1761</v>
      </c>
      <c r="G13" s="15">
        <f t="shared" si="5"/>
        <v>144</v>
      </c>
      <c r="H13" s="54">
        <f t="shared" si="5"/>
        <v>116.44114999999874</v>
      </c>
      <c r="I13" s="1"/>
      <c r="J13" s="15"/>
      <c r="K13" s="15"/>
      <c r="L13" s="15"/>
      <c r="M13" s="15"/>
      <c r="N13" s="15"/>
      <c r="O13" s="1"/>
      <c r="P13" s="49"/>
    </row>
    <row r="14" ht="15" customHeight="1">
      <c r="A14" s="1"/>
      <c r="B14" s="50" t="s">
        <v>119</v>
      </c>
      <c r="C14" s="55">
        <f>'Segment - Advanced Connectivity'!C274</f>
        <v>0</v>
      </c>
      <c r="D14" s="55">
        <f>'Segment - Advanced Connectivity'!D274</f>
        <v>0</v>
      </c>
      <c r="E14" s="55">
        <f>'Segment - Advanced Connectivity'!E274</f>
        <v>0</v>
      </c>
      <c r="F14" s="55">
        <f>'Segment - Advanced Connectivity'!F274</f>
        <v>0.006047920319715365</v>
      </c>
      <c r="G14" s="55">
        <f>'Segment - Advanced Connectivity'!G274</f>
        <v>0.008634317481983721</v>
      </c>
      <c r="H14" s="56">
        <f>'Segment - Advanced Connectivity'!H274</f>
        <v>0.008547202123404719</v>
      </c>
      <c r="I14" s="1"/>
      <c r="J14" s="16"/>
      <c r="K14" s="16"/>
      <c r="L14" s="16"/>
      <c r="M14" s="16"/>
      <c r="N14" s="16"/>
      <c r="O14" s="1"/>
      <c r="P14" s="49"/>
    </row>
    <row r="15" ht="15" customHeight="1">
      <c r="A15" s="1"/>
      <c r="B15" s="50" t="s">
        <v>120</v>
      </c>
      <c r="C15" s="57">
        <v>0</v>
      </c>
      <c r="D15" s="57">
        <v>0</v>
      </c>
      <c r="E15" s="57">
        <v>0</v>
      </c>
      <c r="F15" s="57">
        <v>0</v>
      </c>
      <c r="G15" s="57">
        <v>0</v>
      </c>
      <c r="H15" s="58">
        <v>0</v>
      </c>
      <c r="I15" s="1"/>
      <c r="J15" s="16"/>
      <c r="K15" s="16"/>
      <c r="L15" s="16"/>
      <c r="M15" s="16"/>
      <c r="N15" s="16"/>
      <c r="O15" s="1"/>
      <c r="P15" s="49"/>
    </row>
    <row r="16" ht="15" customHeight="1">
      <c r="A16" s="1"/>
      <c r="B16" s="50" t="s">
        <v>121</v>
      </c>
      <c r="C16" s="16">
        <f t="shared" si="6" ref="C16:H66">IF(AND(ISNUMBER(C10),ISNUMBER(C14),ISNUMBER(C15)),(1+C10)/((1+C14)*(1+C15))-1,"unavailable")</f>
        <v>0.037966562252330416</v>
      </c>
      <c r="D16" s="16">
        <f t="shared" si="6"/>
        <v>0.05319630726354285</v>
      </c>
      <c r="E16" s="16">
        <f t="shared" si="6"/>
        <v>0.04986739382167271</v>
      </c>
      <c r="F16" s="16">
        <f t="shared" si="6"/>
        <v>0.04074157081596885</v>
      </c>
      <c r="G16" s="16">
        <f t="shared" si="6"/>
        <v>0.031750519432759416</v>
      </c>
      <c r="H16" s="51">
        <f t="shared" si="6"/>
        <v>0.035812416563014704</v>
      </c>
      <c r="I16" s="1"/>
      <c r="J16" s="16"/>
      <c r="K16" s="16"/>
      <c r="L16" s="16"/>
      <c r="M16" s="16"/>
      <c r="N16" s="16"/>
      <c r="O16" s="1"/>
      <c r="P16" s="49"/>
    </row>
    <row r="17" ht="15" customHeight="1">
      <c r="A17" s="1"/>
      <c r="B17" s="1" t="s">
        <v>122</v>
      </c>
      <c r="C17" s="14">
        <f>'Segment - Legacy'!C9</f>
        <v>2013</v>
      </c>
      <c r="D17" s="14">
        <f>'Segment - Legacy'!D9</f>
        <v>1889</v>
      </c>
      <c r="E17" s="14">
        <f>'Segment - Legacy'!E9</f>
        <v>8472</v>
      </c>
      <c r="F17" s="14">
        <f>'Segment - Legacy'!F9</f>
        <v>1768</v>
      </c>
      <c r="G17" s="14">
        <f>'Segment - Legacy'!G9</f>
        <v>1632</v>
      </c>
      <c r="H17" s="13">
        <f>'Segment - Legacy'!H9</f>
        <v>1499.685</v>
      </c>
      <c r="I17" s="1"/>
      <c r="J17" s="14">
        <f>'Segment - Legacy'!J9</f>
        <v>2577</v>
      </c>
      <c r="K17" s="14">
        <f>'Segment - Legacy'!K9</f>
        <v>2434</v>
      </c>
      <c r="L17" s="14">
        <f>'Segment - Legacy'!L9</f>
        <v>10568</v>
      </c>
      <c r="M17" s="14">
        <f>'Segment - Legacy'!M9</f>
        <v>2368</v>
      </c>
      <c r="N17" s="14">
        <f>'Segment - Legacy'!N9</f>
        <v>2202</v>
      </c>
      <c r="O17" s="1"/>
      <c r="P17" s="49"/>
    </row>
    <row r="18" ht="15" customHeight="1">
      <c r="A18" s="1"/>
      <c r="B18" s="50" t="s">
        <v>115</v>
      </c>
      <c r="C18" s="16">
        <f t="shared" si="2"/>
        <v>-0.21885913853317807</v>
      </c>
      <c r="D18" s="16">
        <f t="shared" si="2"/>
        <v>-0.22391125718981097</v>
      </c>
      <c r="E18" s="16">
        <f t="shared" si="2"/>
        <v>-0.19833459500378503</v>
      </c>
      <c r="F18" s="16">
        <f t="shared" si="2"/>
        <v>-0.2533783783783784</v>
      </c>
      <c r="G18" s="16">
        <f t="shared" si="2"/>
        <v>-0.2588555858310627</v>
      </c>
      <c r="H18" s="51">
        <f t="shared" si="7"/>
        <v>-0.255</v>
      </c>
      <c r="I18" s="1"/>
      <c r="J18" s="16"/>
      <c r="K18" s="16"/>
      <c r="L18" s="16"/>
      <c r="M18" s="16"/>
      <c r="N18" s="16"/>
      <c r="O18" s="1"/>
      <c r="P18" s="49"/>
    </row>
    <row r="19" ht="15" customHeight="1">
      <c r="A19" s="1"/>
      <c r="B19" s="50" t="s">
        <v>116</v>
      </c>
      <c r="C19" s="16">
        <f t="shared" si="8"/>
        <v>-0.08583106267029972</v>
      </c>
      <c r="D19" s="16">
        <f t="shared" si="3"/>
        <v>-0.06159960258320918</v>
      </c>
      <c r="E19" s="52" t="s">
        <v>15</v>
      </c>
      <c r="F19" s="16">
        <f t="shared" si="9"/>
        <v>-0.0640550555849656</v>
      </c>
      <c r="G19" s="16">
        <f t="shared" si="3"/>
        <v>-0.07692307692307687</v>
      </c>
      <c r="H19" s="51">
        <f t="shared" si="3"/>
        <v>-0.0810753676470588</v>
      </c>
      <c r="I19" s="1"/>
      <c r="J19" s="16"/>
      <c r="K19" s="16"/>
      <c r="L19" s="16"/>
      <c r="M19" s="16"/>
      <c r="N19" s="16"/>
      <c r="O19" s="1"/>
      <c r="P19" s="49"/>
    </row>
    <row r="20" ht="15" customHeight="1">
      <c r="A20" s="1"/>
      <c r="B20" s="50" t="s">
        <v>117</v>
      </c>
      <c r="C20" s="16">
        <f t="shared" si="10" ref="C20:H20">IF(AND(ISNUMBER(C17),ISNUMBER(C41)),C17/C41,"n/a")</f>
        <v>0.06555081572177537</v>
      </c>
      <c r="D20" s="16">
        <f t="shared" si="10"/>
        <v>0.05644534751688281</v>
      </c>
      <c r="E20" s="16">
        <f t="shared" si="10"/>
        <v>0.06742646122500955</v>
      </c>
      <c r="F20" s="16">
        <f t="shared" si="10"/>
        <v>0.05611629530883006</v>
      </c>
      <c r="G20" s="16">
        <f t="shared" si="10"/>
        <v>0.051714303821534954</v>
      </c>
      <c r="H20" s="51">
        <f t="shared" si="10"/>
        <v>0.04755360441876431</v>
      </c>
      <c r="I20" s="1"/>
      <c r="J20" s="16"/>
      <c r="K20" s="16"/>
      <c r="L20" s="16"/>
      <c r="M20" s="16"/>
      <c r="N20" s="16"/>
      <c r="O20" s="1"/>
      <c r="P20" s="49"/>
    </row>
    <row r="21" ht="15" customHeight="1">
      <c r="A21" s="1"/>
      <c r="B21" s="53" t="s">
        <v>118</v>
      </c>
      <c r="C21" s="15">
        <f t="shared" si="11"/>
        <v>-189</v>
      </c>
      <c r="D21" s="15">
        <f t="shared" si="5"/>
        <v>-124</v>
      </c>
      <c r="E21" s="21" t="s">
        <v>15</v>
      </c>
      <c r="F21" s="15">
        <f t="shared" si="12"/>
        <v>-121</v>
      </c>
      <c r="G21" s="15">
        <f t="shared" si="5"/>
        <v>-136</v>
      </c>
      <c r="H21" s="54">
        <f t="shared" si="5"/>
        <v>-132.31500000000005</v>
      </c>
      <c r="I21" s="1"/>
      <c r="J21" s="15"/>
      <c r="K21" s="15"/>
      <c r="L21" s="15"/>
      <c r="M21" s="15"/>
      <c r="N21" s="15"/>
      <c r="O21" s="1"/>
      <c r="P21" s="49"/>
    </row>
    <row r="22" ht="15" customHeight="1">
      <c r="A22" s="1"/>
      <c r="B22" s="50" t="s">
        <v>119</v>
      </c>
      <c r="C22" s="57">
        <v>0</v>
      </c>
      <c r="D22" s="57">
        <v>0</v>
      </c>
      <c r="E22" s="57">
        <v>0</v>
      </c>
      <c r="F22" s="57">
        <v>0</v>
      </c>
      <c r="G22" s="57">
        <v>0</v>
      </c>
      <c r="H22" s="58">
        <v>0</v>
      </c>
      <c r="I22" s="1"/>
      <c r="J22" s="16"/>
      <c r="K22" s="16"/>
      <c r="L22" s="16"/>
      <c r="M22" s="16"/>
      <c r="N22" s="16"/>
      <c r="O22" s="1"/>
      <c r="P22" s="49"/>
    </row>
    <row r="23" ht="15" customHeight="1">
      <c r="A23" s="1"/>
      <c r="B23" s="50" t="s">
        <v>120</v>
      </c>
      <c r="C23" s="57">
        <v>0</v>
      </c>
      <c r="D23" s="57">
        <v>0</v>
      </c>
      <c r="E23" s="57">
        <v>0</v>
      </c>
      <c r="F23" s="57">
        <v>0</v>
      </c>
      <c r="G23" s="57">
        <v>0</v>
      </c>
      <c r="H23" s="58">
        <v>0</v>
      </c>
      <c r="I23" s="1"/>
      <c r="J23" s="16"/>
      <c r="K23" s="16"/>
      <c r="L23" s="16"/>
      <c r="M23" s="16"/>
      <c r="N23" s="16"/>
      <c r="O23" s="1"/>
      <c r="P23" s="49"/>
    </row>
    <row r="24" ht="15" customHeight="1">
      <c r="A24" s="1"/>
      <c r="B24" s="50" t="s">
        <v>121</v>
      </c>
      <c r="C24" s="16">
        <f t="shared" si="6"/>
        <v>-0.21885913853317807</v>
      </c>
      <c r="D24" s="16">
        <f t="shared" si="6"/>
        <v>-0.22391125718981097</v>
      </c>
      <c r="E24" s="16">
        <f t="shared" si="6"/>
        <v>-0.19833459500378503</v>
      </c>
      <c r="F24" s="16">
        <f t="shared" si="6"/>
        <v>-0.2533783783783784</v>
      </c>
      <c r="G24" s="16">
        <f t="shared" si="6"/>
        <v>-0.2588555858310627</v>
      </c>
      <c r="H24" s="51">
        <f t="shared" si="6"/>
        <v>-0.255</v>
      </c>
      <c r="I24" s="1"/>
      <c r="J24" s="16"/>
      <c r="K24" s="16"/>
      <c r="L24" s="16"/>
      <c r="M24" s="16"/>
      <c r="N24" s="16"/>
      <c r="O24" s="1"/>
      <c r="P24" s="49"/>
    </row>
    <row r="25" ht="15" customHeight="1">
      <c r="A25" s="1"/>
      <c r="B25" s="1" t="s">
        <v>123</v>
      </c>
      <c r="C25" s="14">
        <f>'Segment - Latin America'!C74</f>
        <v>1095</v>
      </c>
      <c r="D25" s="14">
        <f>'Segment - Latin America'!D74</f>
        <v>1259</v>
      </c>
      <c r="E25" s="14">
        <f>'Segment - Latin America'!E74</f>
        <v>4379</v>
      </c>
      <c r="F25" s="14">
        <f>'Segment - Latin America'!F74</f>
        <v>1173</v>
      </c>
      <c r="G25" s="14">
        <f>'Segment - Latin America'!G74</f>
        <v>1224</v>
      </c>
      <c r="H25" s="13">
        <f>'Segment - Latin America'!H74</f>
        <v>1217.4</v>
      </c>
      <c r="I25" s="1"/>
      <c r="J25" s="14">
        <f>'Segment - Latin America'!J74</f>
        <v>1022</v>
      </c>
      <c r="K25" s="14">
        <f>'Segment - Latin America'!K74</f>
        <v>1044</v>
      </c>
      <c r="L25" s="14">
        <f>'Segment - Latin America'!L74</f>
        <v>4232</v>
      </c>
      <c r="M25" s="14">
        <f>'Segment - Latin America'!M74</f>
        <v>971</v>
      </c>
      <c r="N25" s="14">
        <f>'Segment - Latin America'!N74</f>
        <v>1054</v>
      </c>
      <c r="O25" s="1"/>
      <c r="P25" s="49"/>
    </row>
    <row r="26" ht="15" customHeight="1">
      <c r="A26" s="1"/>
      <c r="B26" s="50" t="s">
        <v>115</v>
      </c>
      <c r="C26" s="16">
        <f t="shared" si="2"/>
        <v>0.0714285714285714</v>
      </c>
      <c r="D26" s="16">
        <f t="shared" si="2"/>
        <v>0.20593869731800774</v>
      </c>
      <c r="E26" s="16">
        <f t="shared" si="2"/>
        <v>0.03473534971644621</v>
      </c>
      <c r="F26" s="16">
        <f t="shared" si="2"/>
        <v>0.20803295571575697</v>
      </c>
      <c r="G26" s="16">
        <f t="shared" si="2"/>
        <v>0.16129032258064524</v>
      </c>
      <c r="H26" s="51">
        <f t="shared" si="7"/>
        <v>0.11178082191780825</v>
      </c>
      <c r="I26" s="1"/>
      <c r="J26" s="16"/>
      <c r="K26" s="16"/>
      <c r="L26" s="16"/>
      <c r="M26" s="16"/>
      <c r="N26" s="16"/>
      <c r="O26" s="1"/>
      <c r="P26" s="49"/>
    </row>
    <row r="27" ht="15" customHeight="1">
      <c r="A27" s="1"/>
      <c r="B27" s="50" t="s">
        <v>116</v>
      </c>
      <c r="C27" s="16">
        <f t="shared" si="8"/>
        <v>0.03889943074003788</v>
      </c>
      <c r="D27" s="16">
        <f t="shared" si="3"/>
        <v>0.1497716894977168</v>
      </c>
      <c r="E27" s="52" t="s">
        <v>15</v>
      </c>
      <c r="F27" s="16">
        <f t="shared" si="9"/>
        <v>-0.06830818109610803</v>
      </c>
      <c r="G27" s="16">
        <f t="shared" si="3"/>
        <v>0.04347826086956519</v>
      </c>
      <c r="H27" s="51">
        <f t="shared" si="3"/>
        <v>-0.005392156862745079</v>
      </c>
      <c r="I27" s="1"/>
      <c r="J27" s="16"/>
      <c r="K27" s="16"/>
      <c r="L27" s="16"/>
      <c r="M27" s="16"/>
      <c r="N27" s="16"/>
      <c r="O27" s="1"/>
      <c r="P27" s="49"/>
    </row>
    <row r="28" ht="15" customHeight="1">
      <c r="A28" s="1"/>
      <c r="B28" s="50" t="s">
        <v>117</v>
      </c>
      <c r="C28" s="16">
        <f t="shared" si="13" ref="C28:H28">IF(AND(ISNUMBER(C25),ISNUMBER(C41)),C25/C41,"n/a")</f>
        <v>0.03565729916311179</v>
      </c>
      <c r="D28" s="16">
        <f t="shared" si="13"/>
        <v>0.037620271320145816</v>
      </c>
      <c r="E28" s="16">
        <f t="shared" si="13"/>
        <v>0.03485133070164268</v>
      </c>
      <c r="F28" s="16">
        <f t="shared" si="13"/>
        <v>0.037231003618358405</v>
      </c>
      <c r="G28" s="16">
        <f t="shared" si="13"/>
        <v>0.03878572786615121</v>
      </c>
      <c r="H28" s="51">
        <f t="shared" si="13"/>
        <v>0.03860261189476702</v>
      </c>
      <c r="I28" s="1"/>
      <c r="J28" s="16"/>
      <c r="K28" s="16"/>
      <c r="L28" s="16"/>
      <c r="M28" s="16"/>
      <c r="N28" s="16"/>
      <c r="O28" s="1"/>
      <c r="P28" s="49"/>
    </row>
    <row r="29" ht="15" customHeight="1">
      <c r="A29" s="1"/>
      <c r="B29" s="53" t="s">
        <v>118</v>
      </c>
      <c r="C29" s="15">
        <f t="shared" si="11"/>
        <v>41</v>
      </c>
      <c r="D29" s="15">
        <f t="shared" si="5"/>
        <v>164</v>
      </c>
      <c r="E29" s="21" t="s">
        <v>15</v>
      </c>
      <c r="F29" s="15">
        <f t="shared" si="12"/>
        <v>-86</v>
      </c>
      <c r="G29" s="15">
        <f t="shared" si="5"/>
        <v>51</v>
      </c>
      <c r="H29" s="54">
        <f t="shared" si="5"/>
        <v>-6.599999999999909</v>
      </c>
      <c r="I29" s="1"/>
      <c r="J29" s="15"/>
      <c r="K29" s="15"/>
      <c r="L29" s="15"/>
      <c r="M29" s="15"/>
      <c r="N29" s="15"/>
      <c r="O29" s="1"/>
      <c r="P29" s="49"/>
    </row>
    <row r="30" ht="15" customHeight="1">
      <c r="A30" s="1"/>
      <c r="B30" s="50" t="s">
        <v>119</v>
      </c>
      <c r="C30" s="57">
        <v>0</v>
      </c>
      <c r="D30" s="57">
        <v>0</v>
      </c>
      <c r="E30" s="57">
        <v>0</v>
      </c>
      <c r="F30" s="57">
        <v>0</v>
      </c>
      <c r="G30" s="57">
        <v>0</v>
      </c>
      <c r="H30" s="58">
        <v>0</v>
      </c>
      <c r="I30" s="1"/>
      <c r="J30" s="16"/>
      <c r="K30" s="16"/>
      <c r="L30" s="16"/>
      <c r="M30" s="16"/>
      <c r="N30" s="16"/>
      <c r="O30" s="1"/>
      <c r="P30" s="49"/>
    </row>
    <row r="31" ht="15" customHeight="1">
      <c r="A31" s="1"/>
      <c r="B31" s="50" t="s">
        <v>120</v>
      </c>
      <c r="C31" s="55">
        <f>'Segment - Latin America'!C79</f>
        <v>0.01719768478249195</v>
      </c>
      <c r="D31" s="55">
        <f>'Segment - Latin America'!D79</f>
        <v>0.09839441898071022</v>
      </c>
      <c r="E31" s="55">
        <f>'Segment - Latin America'!E79</f>
        <v>-0.04611300523124162</v>
      </c>
      <c r="F31" s="55">
        <f>'Segment - Latin America'!F79</f>
        <v>0.16318563897991178</v>
      </c>
      <c r="G31" s="55">
        <f>'Segment - Latin America'!G79</f>
        <v>0.12220604902970456</v>
      </c>
      <c r="H31" s="56">
        <f>'Segment - Latin America'!H79</f>
        <v>0.0789363920750783</v>
      </c>
      <c r="I31" s="1"/>
      <c r="J31" s="16"/>
      <c r="K31" s="16"/>
      <c r="L31" s="16"/>
      <c r="M31" s="16"/>
      <c r="N31" s="16"/>
      <c r="O31" s="1"/>
      <c r="P31" s="49"/>
    </row>
    <row r="32" ht="15" customHeight="1">
      <c r="A32" s="1"/>
      <c r="B32" s="50" t="s">
        <v>121</v>
      </c>
      <c r="C32" s="16">
        <f t="shared" si="6"/>
        <v>0.05331400912269646</v>
      </c>
      <c r="D32" s="16">
        <f t="shared" si="6"/>
        <v>0.09791043770697283</v>
      </c>
      <c r="E32" s="16">
        <f t="shared" si="6"/>
        <v>0.08475674308494696</v>
      </c>
      <c r="F32" s="16">
        <f t="shared" si="6"/>
        <v>0.0385555970027065</v>
      </c>
      <c r="G32" s="16">
        <f t="shared" si="6"/>
        <v>0.034828072424608836</v>
      </c>
      <c r="H32" s="51">
        <f t="shared" si="6"/>
        <v>0.030441488565939867</v>
      </c>
      <c r="I32" s="1"/>
      <c r="J32" s="16"/>
      <c r="K32" s="16"/>
      <c r="L32" s="16"/>
      <c r="M32" s="16"/>
      <c r="N32" s="16"/>
      <c r="O32" s="1"/>
      <c r="P32" s="49"/>
    </row>
    <row r="33" ht="15" customHeight="1">
      <c r="A33" s="1"/>
      <c r="B33" s="59" t="s">
        <v>124</v>
      </c>
      <c r="C33" s="60">
        <v>98</v>
      </c>
      <c r="D33" s="60">
        <v>86</v>
      </c>
      <c r="E33" s="15">
        <f>M33+N33+C33+D33</f>
        <v>373</v>
      </c>
      <c r="F33" s="60">
        <v>94</v>
      </c>
      <c r="G33" s="60">
        <v>87</v>
      </c>
      <c r="H33" s="54">
        <f>C33*(1+H34)</f>
        <v>88.2</v>
      </c>
      <c r="I33" s="1"/>
      <c r="J33" s="60">
        <v>117</v>
      </c>
      <c r="K33" s="60">
        <v>115</v>
      </c>
      <c r="L33" s="60">
        <v>452</v>
      </c>
      <c r="M33" s="60">
        <v>95</v>
      </c>
      <c r="N33" s="60">
        <v>94</v>
      </c>
      <c r="O33" s="1"/>
      <c r="P33" s="49" t="s">
        <v>125</v>
      </c>
    </row>
    <row r="34" ht="15" customHeight="1">
      <c r="A34" s="1"/>
      <c r="B34" s="50" t="s">
        <v>115</v>
      </c>
      <c r="C34" s="16">
        <f t="shared" si="2"/>
        <v>-0.16239316239316237</v>
      </c>
      <c r="D34" s="16">
        <f t="shared" si="2"/>
        <v>-0.25217391304347825</v>
      </c>
      <c r="E34" s="16">
        <f t="shared" si="2"/>
        <v>-0.1747787610619469</v>
      </c>
      <c r="F34" s="16">
        <f t="shared" si="2"/>
        <v>-0.010526315789473717</v>
      </c>
      <c r="G34" s="16">
        <f t="shared" si="2"/>
        <v>-0.07446808510638303</v>
      </c>
      <c r="H34" s="58">
        <v>-0.1</v>
      </c>
      <c r="I34" s="1"/>
      <c r="J34" s="16"/>
      <c r="K34" s="16"/>
      <c r="L34" s="16"/>
      <c r="M34" s="16"/>
      <c r="N34" s="16"/>
      <c r="O34" s="1"/>
      <c r="P34" s="49"/>
    </row>
    <row r="35" ht="15" customHeight="1">
      <c r="A35" s="1"/>
      <c r="B35" s="50" t="s">
        <v>116</v>
      </c>
      <c r="C35" s="16">
        <f t="shared" si="8"/>
        <v>0.042553191489361764</v>
      </c>
      <c r="D35" s="16">
        <f t="shared" si="3"/>
        <v>-0.12244897959183676</v>
      </c>
      <c r="E35" s="52" t="s">
        <v>15</v>
      </c>
      <c r="F35" s="16">
        <f t="shared" si="9"/>
        <v>0.09302325581395343</v>
      </c>
      <c r="G35" s="16">
        <f t="shared" si="3"/>
        <v>-0.07446808510638303</v>
      </c>
      <c r="H35" s="51">
        <f t="shared" si="3"/>
        <v>0.01379310344827589</v>
      </c>
      <c r="I35" s="1"/>
      <c r="J35" s="16"/>
      <c r="K35" s="16"/>
      <c r="L35" s="16"/>
      <c r="M35" s="16"/>
      <c r="N35" s="16"/>
      <c r="O35" s="1"/>
      <c r="P35" s="49"/>
    </row>
    <row r="36" ht="15" customHeight="1">
      <c r="A36" s="1"/>
      <c r="B36" s="50" t="s">
        <v>117</v>
      </c>
      <c r="C36" s="16">
        <f t="shared" si="14" ref="C36:H36">IF(AND(ISNUMBER(C33),ISNUMBER(C41)),C33/C41,"n/a")</f>
        <v>0.0031912468657396852</v>
      </c>
      <c r="D36" s="16">
        <f t="shared" si="14"/>
        <v>0.0025697723062212395</v>
      </c>
      <c r="E36" s="16">
        <f t="shared" si="14"/>
        <v>0.0029686107220170638</v>
      </c>
      <c r="F36" s="16">
        <f t="shared" si="14"/>
        <v>0.0029835586872341774</v>
      </c>
      <c r="G36" s="16">
        <f t="shared" si="14"/>
        <v>0.002756828696368591</v>
      </c>
      <c r="H36" s="51">
        <f t="shared" si="14"/>
        <v>0.0027967392550669054</v>
      </c>
      <c r="I36" s="1"/>
      <c r="J36" s="16"/>
      <c r="K36" s="16"/>
      <c r="L36" s="16"/>
      <c r="M36" s="16"/>
      <c r="N36" s="16"/>
      <c r="O36" s="1"/>
      <c r="P36" s="49"/>
    </row>
    <row r="37" ht="15" customHeight="1">
      <c r="A37" s="1"/>
      <c r="B37" s="53" t="s">
        <v>118</v>
      </c>
      <c r="C37" s="15">
        <f t="shared" si="11"/>
        <v>4</v>
      </c>
      <c r="D37" s="15">
        <f t="shared" si="5"/>
        <v>-12</v>
      </c>
      <c r="E37" s="21" t="s">
        <v>15</v>
      </c>
      <c r="F37" s="15">
        <f t="shared" si="12"/>
        <v>8</v>
      </c>
      <c r="G37" s="15">
        <f t="shared" si="5"/>
        <v>-7</v>
      </c>
      <c r="H37" s="54">
        <f t="shared" si="5"/>
        <v>1.2000000000000028</v>
      </c>
      <c r="I37" s="1"/>
      <c r="J37" s="15"/>
      <c r="K37" s="15"/>
      <c r="L37" s="15"/>
      <c r="M37" s="15"/>
      <c r="N37" s="15"/>
      <c r="O37" s="1"/>
      <c r="P37" s="49"/>
    </row>
    <row r="38" ht="15" customHeight="1">
      <c r="A38" s="1"/>
      <c r="B38" s="50" t="s">
        <v>119</v>
      </c>
      <c r="C38" s="57">
        <v>0</v>
      </c>
      <c r="D38" s="57">
        <v>0</v>
      </c>
      <c r="E38" s="57">
        <v>0</v>
      </c>
      <c r="F38" s="57">
        <v>0</v>
      </c>
      <c r="G38" s="57">
        <v>0</v>
      </c>
      <c r="H38" s="58">
        <v>0</v>
      </c>
      <c r="I38" s="1"/>
      <c r="J38" s="16"/>
      <c r="K38" s="16"/>
      <c r="L38" s="16"/>
      <c r="M38" s="16"/>
      <c r="N38" s="16"/>
      <c r="O38" s="1"/>
      <c r="P38" s="49"/>
    </row>
    <row r="39" ht="15" customHeight="1">
      <c r="A39" s="1"/>
      <c r="B39" s="50" t="s">
        <v>120</v>
      </c>
      <c r="C39" s="57">
        <v>0</v>
      </c>
      <c r="D39" s="57">
        <v>0</v>
      </c>
      <c r="E39" s="57">
        <v>0</v>
      </c>
      <c r="F39" s="57">
        <v>0</v>
      </c>
      <c r="G39" s="57">
        <v>0</v>
      </c>
      <c r="H39" s="58">
        <v>0</v>
      </c>
      <c r="I39" s="1"/>
      <c r="J39" s="16"/>
      <c r="K39" s="16"/>
      <c r="L39" s="16"/>
      <c r="M39" s="16"/>
      <c r="N39" s="16"/>
      <c r="O39" s="1"/>
      <c r="P39" s="49"/>
    </row>
    <row r="40" ht="15" customHeight="1">
      <c r="A40" s="1"/>
      <c r="B40" s="50" t="s">
        <v>121</v>
      </c>
      <c r="C40" s="16">
        <f t="shared" si="6"/>
        <v>-0.16239316239316237</v>
      </c>
      <c r="D40" s="16">
        <f t="shared" si="6"/>
        <v>-0.25217391304347825</v>
      </c>
      <c r="E40" s="16">
        <f t="shared" si="6"/>
        <v>-0.1747787610619469</v>
      </c>
      <c r="F40" s="16">
        <f t="shared" si="6"/>
        <v>-0.010526315789473717</v>
      </c>
      <c r="G40" s="16">
        <f t="shared" si="6"/>
        <v>-0.07446808510638303</v>
      </c>
      <c r="H40" s="51">
        <f t="shared" si="6"/>
        <v>-0.09999999999999998</v>
      </c>
      <c r="I40" s="1"/>
      <c r="J40" s="16"/>
      <c r="K40" s="16"/>
      <c r="L40" s="16"/>
      <c r="M40" s="16"/>
      <c r="N40" s="16"/>
      <c r="O40" s="1"/>
      <c r="P40" s="49"/>
    </row>
    <row r="41" ht="15" customHeight="1">
      <c r="A41" s="1"/>
      <c r="B41" s="3" t="s">
        <v>14</v>
      </c>
      <c r="C41" s="61">
        <f t="shared" si="15" ref="C41:N41">C9+C17+C25+C33</f>
        <v>30709</v>
      </c>
      <c r="D41" s="61">
        <f t="shared" si="15"/>
        <v>33466</v>
      </c>
      <c r="E41" s="61">
        <f t="shared" si="15"/>
        <v>125648</v>
      </c>
      <c r="F41" s="61">
        <f t="shared" si="15"/>
        <v>31506</v>
      </c>
      <c r="G41" s="61">
        <f t="shared" si="15"/>
        <v>31558</v>
      </c>
      <c r="H41" s="62">
        <f t="shared" si="15"/>
        <v>31536.726150000002</v>
      </c>
      <c r="I41" s="1"/>
      <c r="J41" s="61">
        <f t="shared" si="15"/>
        <v>30213</v>
      </c>
      <c r="K41" s="61">
        <f t="shared" si="15"/>
        <v>32298</v>
      </c>
      <c r="L41" s="61">
        <f t="shared" si="15"/>
        <v>122336</v>
      </c>
      <c r="M41" s="61">
        <f t="shared" si="15"/>
        <v>30626</v>
      </c>
      <c r="N41" s="61">
        <f t="shared" si="15"/>
        <v>30847</v>
      </c>
      <c r="O41" s="1"/>
      <c r="P41" s="49"/>
    </row>
    <row r="42" ht="15" customHeight="1">
      <c r="A42" s="1"/>
      <c r="B42" s="50" t="s">
        <v>115</v>
      </c>
      <c r="C42" s="16">
        <f t="shared" si="2"/>
        <v>0.016416774236255982</v>
      </c>
      <c r="D42" s="16">
        <f t="shared" si="2"/>
        <v>0.036163229921357454</v>
      </c>
      <c r="E42" s="16">
        <f t="shared" si="2"/>
        <v>0.027072979335600378</v>
      </c>
      <c r="F42" s="16">
        <f t="shared" si="2"/>
        <v>0.02873375563246916</v>
      </c>
      <c r="G42" s="16">
        <f t="shared" si="2"/>
        <v>0.02304924303822098</v>
      </c>
      <c r="H42" s="51">
        <f t="shared" si="7"/>
        <v>0.026953862059982514</v>
      </c>
      <c r="I42" s="1"/>
      <c r="J42" s="16"/>
      <c r="K42" s="16"/>
      <c r="L42" s="16"/>
      <c r="M42" s="16"/>
      <c r="N42" s="16"/>
      <c r="O42" s="1"/>
      <c r="P42" s="49"/>
    </row>
    <row r="43" ht="15" customHeight="1">
      <c r="A43" s="1"/>
      <c r="B43" s="50" t="s">
        <v>116</v>
      </c>
      <c r="C43" s="16">
        <f t="shared" si="8"/>
        <v>-0.004473692741595592</v>
      </c>
      <c r="D43" s="16">
        <f t="shared" si="3"/>
        <v>0.0897782409065746</v>
      </c>
      <c r="E43" s="52" t="s">
        <v>15</v>
      </c>
      <c r="F43" s="16">
        <f t="shared" si="9"/>
        <v>-0.05856690372318174</v>
      </c>
      <c r="G43" s="16">
        <f t="shared" si="3"/>
        <v>0.0016504792737890295</v>
      </c>
      <c r="H43" s="51">
        <f t="shared" si="3"/>
        <v>-0.0006741190823245091</v>
      </c>
      <c r="I43" s="1"/>
      <c r="J43" s="16"/>
      <c r="K43" s="16"/>
      <c r="L43" s="16"/>
      <c r="M43" s="16"/>
      <c r="N43" s="16"/>
      <c r="O43" s="1"/>
      <c r="P43" s="49"/>
    </row>
    <row r="44" ht="15" customHeight="1">
      <c r="A44" s="1"/>
      <c r="B44" s="53" t="s">
        <v>118</v>
      </c>
      <c r="C44" s="15">
        <f>IF(AND(ISNUMBER(C41),ISNUMBER(N41)),C41-N41,"n/a")</f>
        <v>-138</v>
      </c>
      <c r="D44" s="15">
        <f t="shared" si="16" ref="D44:H44">IF(AND(ISNUMBER(D41),ISNUMBER(C41)),D41-C41,"n/a")</f>
        <v>2757</v>
      </c>
      <c r="E44" s="21" t="s">
        <v>15</v>
      </c>
      <c r="F44" s="15">
        <f>IF(AND(ISNUMBER(F41),ISNUMBER(D41)),F41-D41,"n/a")</f>
        <v>-1960</v>
      </c>
      <c r="G44" s="15">
        <f t="shared" si="16"/>
        <v>52</v>
      </c>
      <c r="H44" s="54">
        <f t="shared" si="16"/>
        <v>-21.273849999997765</v>
      </c>
      <c r="I44" s="1"/>
      <c r="J44" s="15"/>
      <c r="K44" s="15"/>
      <c r="L44" s="15"/>
      <c r="M44" s="15"/>
      <c r="N44" s="15"/>
      <c r="O44" s="1"/>
      <c r="P44" s="49"/>
    </row>
    <row r="45" ht="15" customHeight="1">
      <c r="A45" s="1"/>
      <c r="B45" s="50" t="s">
        <v>119</v>
      </c>
      <c r="C45" s="57">
        <v>0</v>
      </c>
      <c r="D45" s="57">
        <v>0</v>
      </c>
      <c r="E45" s="57">
        <v>0</v>
      </c>
      <c r="F45" s="55">
        <f>_xlfn.IFERROR('Segment - Advanced Connectivity'!F148/M41,"unavailable")</f>
        <v>0.00536978545463659</v>
      </c>
      <c r="G45" s="55">
        <f>_xlfn.IFERROR('Segment - Advanced Connectivity'!G148/N41,"unavailable")</f>
        <v>0.007696626180896241</v>
      </c>
      <c r="H45" s="56">
        <f>_xlfn.IFERROR('Segment - Advanced Connectivity'!H148/C41,"unavailable")</f>
        <v>0.007654879676967664</v>
      </c>
      <c r="I45" s="1"/>
      <c r="J45" s="16"/>
      <c r="K45" s="16"/>
      <c r="L45" s="16"/>
      <c r="M45" s="16"/>
      <c r="N45" s="16"/>
      <c r="O45" s="1"/>
      <c r="P45" s="49"/>
    </row>
    <row r="46" ht="15" customHeight="1">
      <c r="A46" s="1"/>
      <c r="B46" s="50" t="s">
        <v>120</v>
      </c>
      <c r="C46" s="55">
        <f>_xlfn.IFERROR('Segment - Latin America'!C79*'Segment - Latin America'!J74/J41,"unavailable")</f>
        <v>0.0005817374589649083</v>
      </c>
      <c r="D46" s="55">
        <f>_xlfn.IFERROR('Segment - Latin America'!D79*'Segment - Latin America'!K74/K41,"unavailable")</f>
        <v>0.003180499517489054</v>
      </c>
      <c r="E46" s="55">
        <f>_xlfn.IFERROR('Segment - Latin America'!E79*'Segment - Latin America'!L74/L41,"unavailable")</f>
        <v>-0.0015951987815411208</v>
      </c>
      <c r="F46" s="55">
        <f>_xlfn.IFERROR('Segment - Latin America'!F79*'Segment - Latin America'!M74/M41,"unavailable")</f>
        <v>0.005173814910517023</v>
      </c>
      <c r="G46" s="55">
        <f>_xlfn.IFERROR('Segment - Latin America'!G79*'Segment - Latin America'!N74/N41,"unavailable")</f>
        <v>0.004175614344257419</v>
      </c>
      <c r="H46" s="56">
        <f>_xlfn.IFERROR('Segment - Latin America'!H79*'Segment - Latin America'!C74/C41,"unavailable")</f>
        <v>0.0028146585470777536</v>
      </c>
      <c r="I46" s="1"/>
      <c r="J46" s="16"/>
      <c r="K46" s="16"/>
      <c r="L46" s="16"/>
      <c r="M46" s="16"/>
      <c r="N46" s="16"/>
      <c r="O46" s="1"/>
      <c r="P46" s="49"/>
    </row>
    <row r="47" ht="15" customHeight="1">
      <c r="A47" s="1"/>
      <c r="B47" s="50" t="s">
        <v>121</v>
      </c>
      <c r="C47" s="16">
        <f t="shared" si="17" ref="C47:H47">IF(AND(ISNUMBER(C42),ISNUMBER(C45),ISNUMBER(C46)),(1+C42)/((1+C45)*(1+C46))-1,"unavailable")</f>
        <v>0.015825830298986876</v>
      </c>
      <c r="D47" s="16">
        <f t="shared" si="17"/>
        <v>0.03287816142731281</v>
      </c>
      <c r="E47" s="16">
        <f t="shared" si="17"/>
        <v>0.028713982627241785</v>
      </c>
      <c r="F47" s="16">
        <f t="shared" si="17"/>
        <v>0.017972380084418482</v>
      </c>
      <c r="G47" s="16">
        <f t="shared" si="17"/>
        <v>0.01101375249018699</v>
      </c>
      <c r="H47" s="51">
        <f t="shared" si="17"/>
        <v>0.016291858703677775</v>
      </c>
      <c r="I47" s="1"/>
      <c r="J47" s="16"/>
      <c r="K47" s="16"/>
      <c r="L47" s="16"/>
      <c r="M47" s="16"/>
      <c r="N47" s="16"/>
      <c r="O47" s="1"/>
      <c r="P47" s="49"/>
    </row>
    <row r="48" ht="15" customHeight="1">
      <c r="A48" s="1"/>
      <c r="B48" s="63" t="s">
        <v>126</v>
      </c>
      <c r="C48" s="14">
        <f>Inputs!I94</f>
        <v>30709</v>
      </c>
      <c r="D48" s="14">
        <f>Inputs!I95</f>
        <v>33466</v>
      </c>
      <c r="E48" s="60">
        <v>125648</v>
      </c>
      <c r="F48" s="14">
        <f>Inputs!I96</f>
        <v>31506</v>
      </c>
      <c r="G48" s="14">
        <f>Inputs!I97</f>
        <v>31558</v>
      </c>
      <c r="H48" s="64" t="s">
        <v>15</v>
      </c>
      <c r="I48" s="1"/>
      <c r="J48" s="60">
        <v>30213</v>
      </c>
      <c r="K48" s="60">
        <v>32298</v>
      </c>
      <c r="L48" s="60">
        <v>122336</v>
      </c>
      <c r="M48" s="14">
        <f>Inputs!I92</f>
        <v>30626</v>
      </c>
      <c r="N48" s="14">
        <f>Inputs!I93</f>
        <v>30847</v>
      </c>
      <c r="O48" s="1"/>
      <c r="P48" s="49" t="s">
        <v>127</v>
      </c>
    </row>
    <row r="49" ht="15" customHeight="1">
      <c r="A49" s="1"/>
      <c r="B49" s="65" t="s">
        <v>128</v>
      </c>
      <c r="C49" s="15">
        <f t="shared" si="18" ref="C49:N49">C41-C48</f>
        <v>0</v>
      </c>
      <c r="D49" s="15">
        <f t="shared" si="18"/>
        <v>0</v>
      </c>
      <c r="E49" s="15">
        <f t="shared" si="18"/>
        <v>0</v>
      </c>
      <c r="F49" s="15">
        <f t="shared" si="18"/>
        <v>0</v>
      </c>
      <c r="G49" s="15">
        <f t="shared" si="18"/>
        <v>0</v>
      </c>
      <c r="H49" s="64" t="s">
        <v>15</v>
      </c>
      <c r="I49" s="1"/>
      <c r="J49" s="15">
        <f t="shared" si="18"/>
        <v>0</v>
      </c>
      <c r="K49" s="15">
        <f t="shared" si="18"/>
        <v>0</v>
      </c>
      <c r="L49" s="15">
        <f t="shared" si="18"/>
        <v>0</v>
      </c>
      <c r="M49" s="15">
        <f t="shared" si="18"/>
        <v>0</v>
      </c>
      <c r="N49" s="15">
        <f t="shared" si="18"/>
        <v>0</v>
      </c>
      <c r="O49" s="1"/>
      <c r="P49" s="49"/>
    </row>
    <row r="50" ht="15" customHeight="1">
      <c r="A50" s="1"/>
      <c r="B50" s="3" t="s">
        <v>129</v>
      </c>
      <c r="C50" s="1"/>
      <c r="D50" s="1"/>
      <c r="E50" s="1"/>
      <c r="F50" s="1"/>
      <c r="G50" s="1"/>
      <c r="H50" s="48"/>
      <c r="I50" s="1"/>
      <c r="J50" s="1"/>
      <c r="K50" s="1"/>
      <c r="L50" s="1"/>
      <c r="M50" s="1"/>
      <c r="N50" s="1"/>
      <c r="O50" s="1"/>
      <c r="P50" s="49"/>
    </row>
    <row r="51" ht="15" customHeight="1">
      <c r="A51" s="1"/>
      <c r="B51" s="1" t="s">
        <v>130</v>
      </c>
      <c r="C51" s="14">
        <f>'Segment - Advanced Connectivity'!C254+'Segment - Legacy'!C9+'Segment - Latin America'!C58+C33</f>
        <v>25336</v>
      </c>
      <c r="D51" s="14">
        <f>'Segment - Advanced Connectivity'!D254+'Segment - Legacy'!D9+'Segment - Latin America'!D58+D33</f>
        <v>25392</v>
      </c>
      <c r="E51" s="14">
        <f>'Segment - Advanced Connectivity'!E254+'Segment - Legacy'!E9+'Segment - Latin America'!E58+E33</f>
        <v>101158</v>
      </c>
      <c r="F51" s="14">
        <f>'Segment - Advanced Connectivity'!F254+'Segment - Legacy'!F9+'Segment - Latin America'!F58+F33</f>
        <v>25478</v>
      </c>
      <c r="G51" s="14">
        <f>'Segment - Advanced Connectivity'!G254+'Segment - Legacy'!G9+'Segment - Latin America'!G58+G33</f>
        <v>25977</v>
      </c>
      <c r="H51" s="13">
        <f>'Segment - Advanced Connectivity'!H254+'Segment - Legacy'!H9+'Segment - Latin America'!H58+H33</f>
        <v>26070.20115</v>
      </c>
      <c r="I51" s="1"/>
      <c r="J51" s="14">
        <f>'Segment - Advanced Connectivity'!J254+'Segment - Legacy'!J9+'Segment - Latin America'!J58+J33</f>
        <v>25134</v>
      </c>
      <c r="K51" s="14">
        <f>'Segment - Advanced Connectivity'!K254+'Segment - Legacy'!K9+'Segment - Latin America'!K58+K33</f>
        <v>25153</v>
      </c>
      <c r="L51" s="14">
        <f>'Segment - Advanced Connectivity'!L254+'Segment - Legacy'!L9+'Segment - Latin America'!L58+L33</f>
        <v>100135</v>
      </c>
      <c r="M51" s="14">
        <f>'Segment - Advanced Connectivity'!M254+'Segment - Legacy'!M9+'Segment - Latin America'!M58+M33</f>
        <v>25138</v>
      </c>
      <c r="N51" s="14">
        <f>'Segment - Advanced Connectivity'!N254+'Segment - Legacy'!N9+'Segment - Latin America'!N58+N33</f>
        <v>25292</v>
      </c>
      <c r="O51" s="1"/>
      <c r="P51" s="49"/>
    </row>
    <row r="52" ht="15" customHeight="1">
      <c r="A52" s="1"/>
      <c r="B52" s="50" t="s">
        <v>115</v>
      </c>
      <c r="C52" s="16">
        <f t="shared" si="2"/>
        <v>0.008036922097557131</v>
      </c>
      <c r="D52" s="16">
        <f t="shared" si="2"/>
        <v>0.009501848686041425</v>
      </c>
      <c r="E52" s="16">
        <f t="shared" si="2"/>
        <v>0.010216208119039338</v>
      </c>
      <c r="F52" s="16">
        <f t="shared" si="2"/>
        <v>0.01352534012252371</v>
      </c>
      <c r="G52" s="16">
        <f t="shared" si="2"/>
        <v>0.02708366281828245</v>
      </c>
      <c r="H52" s="51">
        <f t="shared" si="7"/>
        <v>0.028978573965898313</v>
      </c>
      <c r="I52" s="1"/>
      <c r="J52" s="16"/>
      <c r="K52" s="16"/>
      <c r="L52" s="16"/>
      <c r="M52" s="16"/>
      <c r="N52" s="16"/>
      <c r="O52" s="1"/>
      <c r="P52" s="49"/>
    </row>
    <row r="53" ht="15" customHeight="1">
      <c r="A53" s="1"/>
      <c r="B53" s="50" t="s">
        <v>116</v>
      </c>
      <c r="C53" s="16">
        <f t="shared" si="8"/>
        <v>0.001739680531393395</v>
      </c>
      <c r="D53" s="16">
        <f t="shared" si="3"/>
        <v>0.002210293653299722</v>
      </c>
      <c r="E53" s="52" t="s">
        <v>15</v>
      </c>
      <c r="F53" s="16">
        <f t="shared" si="9"/>
        <v>0.003386893509766953</v>
      </c>
      <c r="G53" s="16">
        <f t="shared" si="3"/>
        <v>0.019585524766465134</v>
      </c>
      <c r="H53" s="51">
        <f t="shared" si="3"/>
        <v>0.0035878334680679025</v>
      </c>
      <c r="I53" s="1"/>
      <c r="J53" s="16"/>
      <c r="K53" s="16"/>
      <c r="L53" s="16"/>
      <c r="M53" s="16"/>
      <c r="N53" s="16"/>
      <c r="O53" s="1"/>
      <c r="P53" s="49"/>
    </row>
    <row r="54" ht="15" customHeight="1">
      <c r="A54" s="1"/>
      <c r="B54" s="50" t="s">
        <v>117</v>
      </c>
      <c r="C54" s="16">
        <f t="shared" si="19" ref="C54:H54">IF(AND(ISNUMBER(C51),ISNUMBER(C41)),C51/C41,"n/a")</f>
        <v>0.8250350060242926</v>
      </c>
      <c r="D54" s="16">
        <f t="shared" si="19"/>
        <v>0.758740213948485</v>
      </c>
      <c r="E54" s="16">
        <f t="shared" si="19"/>
        <v>0.8050904113077805</v>
      </c>
      <c r="F54" s="16">
        <f t="shared" si="19"/>
        <v>0.8086713641845997</v>
      </c>
      <c r="G54" s="16">
        <f t="shared" si="19"/>
        <v>0.8231510235122631</v>
      </c>
      <c r="H54" s="51">
        <f t="shared" si="19"/>
        <v>0.8266616206768184</v>
      </c>
      <c r="I54" s="1"/>
      <c r="J54" s="16"/>
      <c r="K54" s="16"/>
      <c r="L54" s="16"/>
      <c r="M54" s="16"/>
      <c r="N54" s="16"/>
      <c r="O54" s="1"/>
      <c r="P54" s="49"/>
    </row>
    <row r="55" ht="15" customHeight="1">
      <c r="A55" s="1"/>
      <c r="B55" s="53" t="s">
        <v>118</v>
      </c>
      <c r="C55" s="15">
        <f t="shared" si="11"/>
        <v>44</v>
      </c>
      <c r="D55" s="15">
        <f t="shared" si="5"/>
        <v>56</v>
      </c>
      <c r="E55" s="21" t="s">
        <v>15</v>
      </c>
      <c r="F55" s="15">
        <f t="shared" si="12"/>
        <v>86</v>
      </c>
      <c r="G55" s="15">
        <f t="shared" si="5"/>
        <v>499</v>
      </c>
      <c r="H55" s="54">
        <f t="shared" si="5"/>
        <v>93.20115000000078</v>
      </c>
      <c r="I55" s="1"/>
      <c r="J55" s="15"/>
      <c r="K55" s="15"/>
      <c r="L55" s="15"/>
      <c r="M55" s="15"/>
      <c r="N55" s="15"/>
      <c r="O55" s="1"/>
      <c r="P55" s="49"/>
    </row>
    <row r="56" ht="15" customHeight="1">
      <c r="A56" s="1"/>
      <c r="B56" s="50" t="s">
        <v>119</v>
      </c>
      <c r="C56" s="57">
        <v>0</v>
      </c>
      <c r="D56" s="57">
        <v>0</v>
      </c>
      <c r="E56" s="57">
        <v>0</v>
      </c>
      <c r="F56" s="55">
        <f>_xlfn.IFERROR('Segment - Advanced Connectivity'!F148/M51,"unavailable")</f>
        <v>0.00654208963854325</v>
      </c>
      <c r="G56" s="55">
        <f>_xlfn.IFERROR('Segment - Advanced Connectivity'!G148/N51,"unavailable")</f>
        <v>0.009387072109841308</v>
      </c>
      <c r="H56" s="56">
        <f>_xlfn.IFERROR('Segment - Advanced Connectivity'!H148/C51,"unavailable")</f>
        <v>0.00927824834227976</v>
      </c>
      <c r="I56" s="1"/>
      <c r="J56" s="16"/>
      <c r="K56" s="16"/>
      <c r="L56" s="16"/>
      <c r="M56" s="16"/>
      <c r="N56" s="16"/>
      <c r="O56" s="1"/>
      <c r="P56" s="49"/>
    </row>
    <row r="57" ht="15" customHeight="1">
      <c r="A57" s="1"/>
      <c r="B57" s="50" t="s">
        <v>120</v>
      </c>
      <c r="C57" s="55">
        <f>_xlfn.IFERROR('Segment - Latin America'!C63*'Segment - Latin America'!J58/J51,"unavailable")</f>
        <v>0.000441334713324871</v>
      </c>
      <c r="D57" s="55">
        <f>_xlfn.IFERROR('Segment - Latin America'!D63*'Segment - Latin America'!K58/K51,"unavailable")</f>
        <v>0.0024801042274786417</v>
      </c>
      <c r="E57" s="55">
        <f>_xlfn.IFERROR('Segment - Latin America'!E63*'Segment - Latin America'!L58/L51,"unavailable")</f>
        <v>-0.001228636320536802</v>
      </c>
      <c r="F57" s="55">
        <f>_xlfn.IFERROR('Segment - Latin America'!F63*'Segment - Latin America'!M58/M51,"unavailable")</f>
        <v>0.0039923290624809355</v>
      </c>
      <c r="G57" s="55">
        <f>_xlfn.IFERROR('Segment - Latin America'!G63*'Segment - Latin America'!N58/N51,"unavailable")</f>
        <v>0.00319865587765556</v>
      </c>
      <c r="H57" s="56">
        <f>_xlfn.IFERROR('Segment - Latin America'!H63*'Segment - Latin America'!C58/C51,"unavailable")</f>
        <v>0.0021684452511941308</v>
      </c>
      <c r="I57" s="1"/>
      <c r="J57" s="16"/>
      <c r="K57" s="16"/>
      <c r="L57" s="16"/>
      <c r="M57" s="16"/>
      <c r="N57" s="16"/>
      <c r="O57" s="1"/>
      <c r="P57" s="49"/>
    </row>
    <row r="58" ht="15" customHeight="1">
      <c r="A58" s="1"/>
      <c r="B58" s="50" t="s">
        <v>121</v>
      </c>
      <c r="C58" s="16">
        <f t="shared" si="6"/>
        <v>0.00759223666663944</v>
      </c>
      <c r="D58" s="16">
        <f t="shared" si="6"/>
        <v>0.007004372883762988</v>
      </c>
      <c r="E58" s="16">
        <f t="shared" si="6"/>
        <v>0.011458923288923284</v>
      </c>
      <c r="F58" s="16">
        <f t="shared" si="6"/>
        <v>0.002933820527043718</v>
      </c>
      <c r="G58" s="16">
        <f t="shared" si="6"/>
        <v>0.01428765922339692</v>
      </c>
      <c r="H58" s="51">
        <f t="shared" si="6"/>
        <v>0.017313233389732785</v>
      </c>
      <c r="I58" s="1"/>
      <c r="J58" s="16"/>
      <c r="K58" s="16"/>
      <c r="L58" s="16"/>
      <c r="M58" s="16"/>
      <c r="N58" s="16"/>
      <c r="O58" s="1"/>
      <c r="P58" s="49"/>
    </row>
    <row r="59" ht="15" customHeight="1">
      <c r="A59" s="1"/>
      <c r="B59" s="1" t="s">
        <v>131</v>
      </c>
      <c r="C59" s="14">
        <f>'Segment - Advanced Connectivity'!C262+'Segment - Latin America'!C66</f>
        <v>5373</v>
      </c>
      <c r="D59" s="14">
        <f>'Segment - Advanced Connectivity'!D262+'Segment - Latin America'!D66</f>
        <v>8074</v>
      </c>
      <c r="E59" s="14">
        <f>'Segment - Advanced Connectivity'!E262+'Segment - Latin America'!E66</f>
        <v>24490</v>
      </c>
      <c r="F59" s="14">
        <f>'Segment - Advanced Connectivity'!F262+'Segment - Latin America'!F66</f>
        <v>6028</v>
      </c>
      <c r="G59" s="14">
        <f>'Segment - Advanced Connectivity'!G262+'Segment - Latin America'!G66</f>
        <v>5581</v>
      </c>
      <c r="H59" s="13">
        <f>'Segment - Advanced Connectivity'!H262+'Segment - Latin America'!H66</f>
        <v>5466.525</v>
      </c>
      <c r="I59" s="1"/>
      <c r="J59" s="14">
        <f>'Segment - Advanced Connectivity'!J262+'Segment - Latin America'!J66</f>
        <v>5079</v>
      </c>
      <c r="K59" s="14">
        <f>'Segment - Advanced Connectivity'!K262+'Segment - Latin America'!K66</f>
        <v>7145</v>
      </c>
      <c r="L59" s="14">
        <f>'Segment - Advanced Connectivity'!L262+'Segment - Latin America'!L66</f>
        <v>22201</v>
      </c>
      <c r="M59" s="14">
        <f>'Segment - Advanced Connectivity'!M262+'Segment - Latin America'!M66</f>
        <v>5488</v>
      </c>
      <c r="N59" s="14">
        <f>'Segment - Advanced Connectivity'!N262+'Segment - Latin America'!N66</f>
        <v>5555</v>
      </c>
      <c r="O59" s="1"/>
      <c r="P59" s="49"/>
    </row>
    <row r="60" ht="15" customHeight="1">
      <c r="A60" s="1"/>
      <c r="B60" s="50" t="s">
        <v>115</v>
      </c>
      <c r="C60" s="16">
        <f t="shared" si="2"/>
        <v>0.05788541051388063</v>
      </c>
      <c r="D60" s="16">
        <f t="shared" si="2"/>
        <v>0.13002099370188946</v>
      </c>
      <c r="E60" s="16">
        <f t="shared" si="2"/>
        <v>0.10310346380793667</v>
      </c>
      <c r="F60" s="16">
        <f t="shared" si="2"/>
        <v>0.09839650145772594</v>
      </c>
      <c r="G60" s="16">
        <f t="shared" si="2"/>
        <v>0.0046804680468046644</v>
      </c>
      <c r="H60" s="51">
        <f t="shared" si="7"/>
        <v>0.017406476828587314</v>
      </c>
      <c r="I60" s="1"/>
      <c r="J60" s="16"/>
      <c r="K60" s="16"/>
      <c r="L60" s="16"/>
      <c r="M60" s="16"/>
      <c r="N60" s="16"/>
      <c r="O60" s="1"/>
      <c r="P60" s="49"/>
    </row>
    <row r="61" ht="15" customHeight="1">
      <c r="A61" s="1"/>
      <c r="B61" s="50" t="s">
        <v>116</v>
      </c>
      <c r="C61" s="16">
        <f t="shared" si="8"/>
        <v>-0.03276327632763276</v>
      </c>
      <c r="D61" s="16">
        <f t="shared" si="3"/>
        <v>0.5026986785780756</v>
      </c>
      <c r="E61" s="52" t="s">
        <v>15</v>
      </c>
      <c r="F61" s="16">
        <f t="shared" si="9"/>
        <v>-0.2534059945504087</v>
      </c>
      <c r="G61" s="16">
        <f t="shared" si="3"/>
        <v>-0.07415394824153954</v>
      </c>
      <c r="H61" s="51">
        <f t="shared" si="3"/>
        <v>-0.02051155706862573</v>
      </c>
      <c r="I61" s="1"/>
      <c r="J61" s="16"/>
      <c r="K61" s="16"/>
      <c r="L61" s="16"/>
      <c r="M61" s="16"/>
      <c r="N61" s="16"/>
      <c r="O61" s="1"/>
      <c r="P61" s="49"/>
    </row>
    <row r="62" ht="15" customHeight="1">
      <c r="A62" s="1"/>
      <c r="B62" s="50" t="s">
        <v>117</v>
      </c>
      <c r="C62" s="16">
        <f t="shared" si="20" ref="C62:H62">IF(AND(ISNUMBER(C59),ISNUMBER(C41)),C59/C41,"n/a")</f>
        <v>0.17496499397570744</v>
      </c>
      <c r="D62" s="16">
        <f t="shared" si="20"/>
        <v>0.24125978605151496</v>
      </c>
      <c r="E62" s="16">
        <f t="shared" si="20"/>
        <v>0.19490958869221953</v>
      </c>
      <c r="F62" s="16">
        <f t="shared" si="20"/>
        <v>0.19132863581540024</v>
      </c>
      <c r="G62" s="16">
        <f t="shared" si="20"/>
        <v>0.17684897648773687</v>
      </c>
      <c r="H62" s="51">
        <f t="shared" si="20"/>
        <v>0.17333837932318155</v>
      </c>
      <c r="I62" s="1"/>
      <c r="J62" s="16"/>
      <c r="K62" s="16"/>
      <c r="L62" s="16"/>
      <c r="M62" s="16"/>
      <c r="N62" s="16"/>
      <c r="O62" s="1"/>
      <c r="P62" s="49"/>
    </row>
    <row r="63" ht="15" customHeight="1">
      <c r="A63" s="1"/>
      <c r="B63" s="53" t="s">
        <v>118</v>
      </c>
      <c r="C63" s="15">
        <f t="shared" si="11"/>
        <v>-182</v>
      </c>
      <c r="D63" s="15">
        <f t="shared" si="5"/>
        <v>2701</v>
      </c>
      <c r="E63" s="21" t="s">
        <v>15</v>
      </c>
      <c r="F63" s="15">
        <f t="shared" si="12"/>
        <v>-2046</v>
      </c>
      <c r="G63" s="15">
        <f t="shared" si="5"/>
        <v>-447</v>
      </c>
      <c r="H63" s="54">
        <f t="shared" si="5"/>
        <v>-114.47500000000036</v>
      </c>
      <c r="I63" s="1"/>
      <c r="J63" s="15"/>
      <c r="K63" s="15"/>
      <c r="L63" s="15"/>
      <c r="M63" s="15"/>
      <c r="N63" s="15"/>
      <c r="O63" s="1"/>
      <c r="P63" s="49"/>
    </row>
    <row r="64" ht="15" customHeight="1">
      <c r="A64" s="1"/>
      <c r="B64" s="50" t="s">
        <v>119</v>
      </c>
      <c r="C64" s="57">
        <v>0</v>
      </c>
      <c r="D64" s="57">
        <v>0</v>
      </c>
      <c r="E64" s="57">
        <v>0</v>
      </c>
      <c r="F64" s="57">
        <v>0</v>
      </c>
      <c r="G64" s="57">
        <v>0</v>
      </c>
      <c r="H64" s="58">
        <v>0</v>
      </c>
      <c r="I64" s="1"/>
      <c r="J64" s="16"/>
      <c r="K64" s="16"/>
      <c r="L64" s="16"/>
      <c r="M64" s="16"/>
      <c r="N64" s="16"/>
      <c r="O64" s="1"/>
      <c r="P64" s="49"/>
    </row>
    <row r="65" ht="15" customHeight="1">
      <c r="A65" s="1"/>
      <c r="B65" s="50" t="s">
        <v>120</v>
      </c>
      <c r="C65" s="55">
        <f>_xlfn.IFERROR('Segment - Latin America'!C71*'Segment - Latin America'!J66/J59,"unavailable")</f>
        <v>0.0012765361612521097</v>
      </c>
      <c r="D65" s="55">
        <f>_xlfn.IFERROR('Segment - Latin America'!D71*'Segment - Latin America'!K66/K59,"unavailable")</f>
        <v>0.005646145805751041</v>
      </c>
      <c r="E65" s="55">
        <f>_xlfn.IFERROR('Segment - Latin America'!E71*'Segment - Latin America'!L66/L59,"unavailable")</f>
        <v>-0.0032485356597298275</v>
      </c>
      <c r="F65" s="55">
        <f>_xlfn.IFERROR('Segment - Latin America'!F71*'Segment - Latin America'!M66/M59,"unavailable")</f>
        <v>0.01058565733907591</v>
      </c>
      <c r="G65" s="55">
        <f>_xlfn.IFERROR('Segment - Latin America'!G71*'Segment - Latin America'!N66/N59,"unavailable")</f>
        <v>0.00862372119165512</v>
      </c>
      <c r="H65" s="56">
        <f>_xlfn.IFERROR('Segment - Latin America'!H71*'Segment - Latin America'!C66/C59,"unavailable")</f>
        <v>0.005861831460628372</v>
      </c>
      <c r="I65" s="1"/>
      <c r="J65" s="16"/>
      <c r="K65" s="16"/>
      <c r="L65" s="16"/>
      <c r="M65" s="16"/>
      <c r="N65" s="16"/>
      <c r="O65" s="1"/>
      <c r="P65" s="49"/>
    </row>
    <row r="66" ht="15" customHeight="1">
      <c r="A66" s="1"/>
      <c r="B66" s="50" t="s">
        <v>121</v>
      </c>
      <c r="C66" s="16">
        <f t="shared" si="6"/>
        <v>0.056536703206547356</v>
      </c>
      <c r="D66" s="16">
        <f t="shared" si="6"/>
        <v>0.12367655205050876</v>
      </c>
      <c r="E66" s="16">
        <f t="shared" si="6"/>
        <v>0.106698613719177</v>
      </c>
      <c r="F66" s="16">
        <f t="shared" si="6"/>
        <v>0.08689104528740343</v>
      </c>
      <c r="G66" s="16">
        <f t="shared" si="6"/>
        <v>-0.003909538375908572</v>
      </c>
      <c r="H66" s="51">
        <f t="shared" si="6"/>
        <v>0.01147736697712709</v>
      </c>
      <c r="I66" s="1"/>
      <c r="J66" s="16"/>
      <c r="K66" s="16"/>
      <c r="L66" s="16"/>
      <c r="M66" s="16"/>
      <c r="N66" s="16"/>
      <c r="O66" s="1"/>
      <c r="P66" s="49"/>
    </row>
    <row r="67" ht="15" customHeight="1">
      <c r="A67" s="1"/>
      <c r="B67" s="65" t="s">
        <v>132</v>
      </c>
      <c r="C67" s="15">
        <f t="shared" si="21" ref="C67:H67">C51+C59-C41</f>
        <v>0</v>
      </c>
      <c r="D67" s="15">
        <f t="shared" si="21"/>
        <v>0</v>
      </c>
      <c r="E67" s="15">
        <f t="shared" si="21"/>
        <v>0</v>
      </c>
      <c r="F67" s="15">
        <f t="shared" si="21"/>
        <v>0</v>
      </c>
      <c r="G67" s="15">
        <f t="shared" si="21"/>
        <v>0</v>
      </c>
      <c r="H67" s="54">
        <f t="shared" si="21"/>
        <v>0</v>
      </c>
      <c r="I67" s="1"/>
      <c r="J67" s="15"/>
      <c r="K67" s="15"/>
      <c r="L67" s="15"/>
      <c r="M67" s="15"/>
      <c r="N67" s="15"/>
      <c r="O67" s="1"/>
      <c r="P67" s="49"/>
    </row>
    <row r="68" ht="15" customHeight="1">
      <c r="A68" s="1"/>
      <c r="B68" s="3" t="s">
        <v>133</v>
      </c>
      <c r="C68" s="1"/>
      <c r="D68" s="1"/>
      <c r="E68" s="1"/>
      <c r="F68" s="1"/>
      <c r="G68" s="1"/>
      <c r="H68" s="48"/>
      <c r="I68" s="1"/>
      <c r="J68" s="1"/>
      <c r="K68" s="1"/>
      <c r="L68" s="1"/>
      <c r="M68" s="1"/>
      <c r="N68" s="1"/>
      <c r="O68" s="1"/>
      <c r="P68" s="49"/>
    </row>
    <row r="69" ht="15" customHeight="1">
      <c r="A69" s="1"/>
      <c r="B69" s="65" t="s">
        <v>134</v>
      </c>
      <c r="C69" s="15">
        <f t="shared" si="22" ref="C69:N69">C9+C17+C33</f>
        <v>29614</v>
      </c>
      <c r="D69" s="15">
        <f t="shared" si="22"/>
        <v>32207</v>
      </c>
      <c r="E69" s="15">
        <f t="shared" si="22"/>
        <v>121269</v>
      </c>
      <c r="F69" s="15">
        <f t="shared" si="22"/>
        <v>30333</v>
      </c>
      <c r="G69" s="15">
        <f t="shared" si="22"/>
        <v>30334</v>
      </c>
      <c r="H69" s="54">
        <f t="shared" si="22"/>
        <v>30319.32615</v>
      </c>
      <c r="I69" s="1"/>
      <c r="J69" s="15">
        <f t="shared" si="22"/>
        <v>29191</v>
      </c>
      <c r="K69" s="15">
        <f t="shared" si="22"/>
        <v>31254</v>
      </c>
      <c r="L69" s="15">
        <f t="shared" si="22"/>
        <v>118104</v>
      </c>
      <c r="M69" s="15">
        <f t="shared" si="22"/>
        <v>29655</v>
      </c>
      <c r="N69" s="15">
        <f t="shared" si="22"/>
        <v>29793</v>
      </c>
      <c r="O69" s="1"/>
      <c r="P69" s="49" t="s">
        <v>135</v>
      </c>
    </row>
    <row r="70" ht="15" customHeight="1">
      <c r="A70" s="1"/>
      <c r="B70" s="66" t="s">
        <v>136</v>
      </c>
      <c r="C70" s="16">
        <f t="shared" si="23" ref="C70:H70">C69/C41</f>
        <v>0.9643427008368882</v>
      </c>
      <c r="D70" s="16">
        <f t="shared" si="23"/>
        <v>0.9623797286798542</v>
      </c>
      <c r="E70" s="16">
        <f t="shared" si="23"/>
        <v>0.9651486692983573</v>
      </c>
      <c r="F70" s="16">
        <f t="shared" si="23"/>
        <v>0.9627689963816416</v>
      </c>
      <c r="G70" s="16">
        <f t="shared" si="23"/>
        <v>0.9612142721338488</v>
      </c>
      <c r="H70" s="51">
        <f t="shared" si="23"/>
        <v>0.9613973881052329</v>
      </c>
      <c r="I70" s="1"/>
      <c r="J70" s="16"/>
      <c r="K70" s="16"/>
      <c r="L70" s="16"/>
      <c r="M70" s="16"/>
      <c r="N70" s="16"/>
      <c r="O70" s="1"/>
      <c r="P70" s="49"/>
    </row>
    <row r="71" ht="15" customHeight="1">
      <c r="A71" s="1"/>
      <c r="B71" s="65" t="s">
        <v>137</v>
      </c>
      <c r="C71" s="15">
        <f t="shared" si="24" ref="C71:N71">C25</f>
        <v>1095</v>
      </c>
      <c r="D71" s="15">
        <f t="shared" si="24"/>
        <v>1259</v>
      </c>
      <c r="E71" s="15">
        <f t="shared" si="24"/>
        <v>4379</v>
      </c>
      <c r="F71" s="15">
        <f t="shared" si="24"/>
        <v>1173</v>
      </c>
      <c r="G71" s="15">
        <f t="shared" si="24"/>
        <v>1224</v>
      </c>
      <c r="H71" s="54">
        <f t="shared" si="24"/>
        <v>1217.4</v>
      </c>
      <c r="I71" s="1"/>
      <c r="J71" s="15">
        <f t="shared" si="24"/>
        <v>1022</v>
      </c>
      <c r="K71" s="15">
        <f t="shared" si="24"/>
        <v>1044</v>
      </c>
      <c r="L71" s="15">
        <f t="shared" si="24"/>
        <v>4232</v>
      </c>
      <c r="M71" s="15">
        <f t="shared" si="24"/>
        <v>971</v>
      </c>
      <c r="N71" s="15">
        <f t="shared" si="24"/>
        <v>1054</v>
      </c>
      <c r="O71" s="1"/>
      <c r="P71" s="49"/>
    </row>
    <row r="72" ht="15" customHeight="1">
      <c r="A72" s="1"/>
      <c r="B72" s="65" t="s">
        <v>138</v>
      </c>
      <c r="C72" s="15">
        <f t="shared" si="25" ref="C72:H72">C69+C71-C41</f>
        <v>0</v>
      </c>
      <c r="D72" s="15">
        <f t="shared" si="25"/>
        <v>0</v>
      </c>
      <c r="E72" s="15">
        <f t="shared" si="25"/>
        <v>0</v>
      </c>
      <c r="F72" s="15">
        <f t="shared" si="25"/>
        <v>0</v>
      </c>
      <c r="G72" s="15">
        <f t="shared" si="25"/>
        <v>0</v>
      </c>
      <c r="H72" s="54">
        <f t="shared" si="25"/>
        <v>0</v>
      </c>
      <c r="I72" s="1"/>
      <c r="J72" s="15"/>
      <c r="K72" s="15"/>
      <c r="L72" s="15"/>
      <c r="M72" s="15"/>
      <c r="N72" s="15"/>
      <c r="O72" s="1"/>
      <c r="P72"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2BB58-C999-9D34-9D9A-BE5EA32773AE}"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139</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140</v>
      </c>
      <c r="C8" s="1"/>
      <c r="D8" s="1"/>
      <c r="E8" s="1"/>
      <c r="F8" s="1"/>
      <c r="G8" s="1"/>
      <c r="H8" s="48"/>
      <c r="I8" s="1"/>
      <c r="J8" s="1"/>
      <c r="K8" s="1"/>
      <c r="L8" s="1"/>
      <c r="M8" s="1"/>
      <c r="N8" s="1"/>
      <c r="O8" s="1"/>
      <c r="P8" s="49"/>
    </row>
    <row r="9" ht="15" customHeight="1">
      <c r="A9" s="1"/>
      <c r="B9" s="3" t="s">
        <v>141</v>
      </c>
      <c r="C9" s="1"/>
      <c r="D9" s="1"/>
      <c r="E9" s="1"/>
      <c r="F9" s="1"/>
      <c r="G9" s="1"/>
      <c r="H9" s="48"/>
      <c r="I9" s="1"/>
      <c r="J9" s="1"/>
      <c r="K9" s="1"/>
      <c r="L9" s="1"/>
      <c r="M9" s="1"/>
      <c r="N9" s="1"/>
      <c r="O9" s="1"/>
      <c r="P9" s="49"/>
    </row>
    <row r="10" ht="15" customHeight="1">
      <c r="A10" s="1"/>
      <c r="B10" s="65" t="s">
        <v>142</v>
      </c>
      <c r="C10" s="67">
        <f t="shared" si="15" ref="C10:C111">N15</f>
        <v>73408</v>
      </c>
      <c r="D10" s="67">
        <f t="shared" si="2" ref="D10:H111">C15</f>
        <v>73801</v>
      </c>
      <c r="E10" s="67">
        <f t="shared" si="16" ref="E10:E111">K15</f>
        <v>72749</v>
      </c>
      <c r="F10" s="67">
        <f t="shared" si="17" ref="F10:F111">D15</f>
        <v>74214</v>
      </c>
      <c r="G10" s="67">
        <f t="shared" si="2"/>
        <v>74503</v>
      </c>
      <c r="H10" s="68">
        <f t="shared" si="2"/>
        <v>74921</v>
      </c>
      <c r="I10" s="1"/>
      <c r="J10" s="67"/>
      <c r="K10" s="67"/>
      <c r="L10" s="67"/>
      <c r="M10" s="67"/>
      <c r="N10" s="67"/>
      <c r="O10" s="1"/>
      <c r="P10" s="49"/>
    </row>
    <row r="11" ht="15" customHeight="1">
      <c r="A11" s="1"/>
      <c r="B11" s="63" t="s">
        <v>143</v>
      </c>
      <c r="C11" s="69">
        <v>405</v>
      </c>
      <c r="D11" s="69">
        <v>421</v>
      </c>
      <c r="E11" s="67">
        <f t="shared" si="18" ref="E11:E287">M11+N11+C11+D11</f>
        <v>1551</v>
      </c>
      <c r="F11" s="69">
        <v>294</v>
      </c>
      <c r="G11" s="69">
        <v>432</v>
      </c>
      <c r="H11" s="70">
        <v>380</v>
      </c>
      <c r="I11" s="1"/>
      <c r="J11" s="69">
        <v>403</v>
      </c>
      <c r="K11" s="69">
        <v>482</v>
      </c>
      <c r="L11" s="69">
        <v>1653</v>
      </c>
      <c r="M11" s="69">
        <v>324</v>
      </c>
      <c r="N11" s="69">
        <v>401</v>
      </c>
      <c r="O11" s="1"/>
      <c r="P11" s="49"/>
    </row>
    <row r="12" ht="15" customHeight="1">
      <c r="A12" s="1"/>
      <c r="B12" s="53" t="s">
        <v>144</v>
      </c>
      <c r="C12" s="67">
        <f t="shared" si="3" ref="C12:G113">IF(AND(ISNUMBER(C11),ISNUMBER(J11)),C11-J11,"n/a")</f>
        <v>2</v>
      </c>
      <c r="D12" s="67">
        <f t="shared" si="3"/>
        <v>-61</v>
      </c>
      <c r="E12" s="67">
        <f t="shared" si="3"/>
        <v>-102</v>
      </c>
      <c r="F12" s="67">
        <f t="shared" si="3"/>
        <v>-30</v>
      </c>
      <c r="G12" s="67">
        <f t="shared" si="3"/>
        <v>31</v>
      </c>
      <c r="H12" s="68">
        <f t="shared" si="19" ref="H12:H113">IF(AND(ISNUMBER(H11),ISNUMBER(C11)),H11-C11,"n/a")</f>
        <v>-25</v>
      </c>
      <c r="I12" s="1"/>
      <c r="J12" s="67"/>
      <c r="K12" s="67"/>
      <c r="L12" s="67"/>
      <c r="M12" s="67"/>
      <c r="N12" s="67"/>
      <c r="O12" s="1"/>
      <c r="P12" s="49"/>
    </row>
    <row r="13" ht="15" customHeight="1">
      <c r="A13" s="1"/>
      <c r="B13" s="53" t="s">
        <v>118</v>
      </c>
      <c r="C13" s="67">
        <f t="shared" si="7" ref="C13:C292">IF(AND(ISNUMBER(C11),ISNUMBER(N11)),C11-N11,"n/a")</f>
        <v>4</v>
      </c>
      <c r="D13" s="67">
        <f t="shared" si="4" ref="D13:H292">IF(AND(ISNUMBER(D11),ISNUMBER(C11)),D11-C11,"n/a")</f>
        <v>16</v>
      </c>
      <c r="E13" s="71" t="s">
        <v>15</v>
      </c>
      <c r="F13" s="67">
        <f t="shared" si="8" ref="F13:F292">IF(AND(ISNUMBER(F11),ISNUMBER(D11)),F11-D11,"n/a")</f>
        <v>-127</v>
      </c>
      <c r="G13" s="67">
        <f t="shared" si="4"/>
        <v>138</v>
      </c>
      <c r="H13" s="68">
        <f t="shared" si="4"/>
        <v>-52</v>
      </c>
      <c r="I13" s="1"/>
      <c r="J13" s="67"/>
      <c r="K13" s="67"/>
      <c r="L13" s="67"/>
      <c r="M13" s="67"/>
      <c r="N13" s="67"/>
      <c r="O13" s="1"/>
      <c r="P13" s="49"/>
    </row>
    <row r="14" ht="15" customHeight="1">
      <c r="A14" s="1"/>
      <c r="B14" s="65" t="s">
        <v>145</v>
      </c>
      <c r="C14" s="67">
        <f t="shared" si="5" ref="C14:G91">C15-C10-C11</f>
        <v>-12</v>
      </c>
      <c r="D14" s="67">
        <f t="shared" si="5"/>
        <v>-8</v>
      </c>
      <c r="E14" s="67">
        <f t="shared" si="5"/>
        <v>-86</v>
      </c>
      <c r="F14" s="67">
        <f t="shared" si="5"/>
        <v>-5</v>
      </c>
      <c r="G14" s="67">
        <f t="shared" si="5"/>
        <v>-14</v>
      </c>
      <c r="H14" s="70">
        <v>0</v>
      </c>
      <c r="I14" s="1"/>
      <c r="J14" s="67"/>
      <c r="K14" s="67"/>
      <c r="L14" s="67"/>
      <c r="M14" s="67"/>
      <c r="N14" s="67"/>
      <c r="O14" s="1"/>
      <c r="P14" s="49"/>
    </row>
    <row r="15" ht="15" customHeight="1">
      <c r="A15" s="1"/>
      <c r="B15" s="72" t="s">
        <v>146</v>
      </c>
      <c r="C15" s="73">
        <v>73801</v>
      </c>
      <c r="D15" s="73">
        <v>74214</v>
      </c>
      <c r="E15" s="74">
        <f t="shared" si="21" ref="E15:E116">D15</f>
        <v>74214</v>
      </c>
      <c r="F15" s="73">
        <v>74503</v>
      </c>
      <c r="G15" s="73">
        <v>74921</v>
      </c>
      <c r="H15" s="75">
        <f t="shared" si="22" ref="H15:H116">H10+H11+H14</f>
        <v>75301</v>
      </c>
      <c r="I15" s="1"/>
      <c r="J15" s="73">
        <v>72285</v>
      </c>
      <c r="K15" s="73">
        <v>72749</v>
      </c>
      <c r="L15" s="74">
        <f t="shared" si="23" ref="L15:L116">IF(ISNUMBER(K15),K15,"n/a")</f>
        <v>72749</v>
      </c>
      <c r="M15" s="73">
        <v>73031</v>
      </c>
      <c r="N15" s="73">
        <v>73408</v>
      </c>
      <c r="O15" s="1"/>
      <c r="P15" s="49"/>
    </row>
    <row r="16" ht="15" customHeight="1">
      <c r="A16" s="1"/>
      <c r="B16" s="50" t="s">
        <v>115</v>
      </c>
      <c r="C16" s="16">
        <f t="shared" si="6" ref="C16:G291">IF(AND(ISNUMBER(C15),ISNUMBER(J15)),IF(J15&lt;&gt;0,C15/J15-1,"n/a"),"n/a")</f>
        <v>0.020972539254340505</v>
      </c>
      <c r="D16" s="16">
        <f t="shared" si="6"/>
        <v>0.020137733852011674</v>
      </c>
      <c r="E16" s="16">
        <f t="shared" si="6"/>
        <v>0.020137733852011674</v>
      </c>
      <c r="F16" s="16">
        <f t="shared" si="6"/>
        <v>0.020155824239021847</v>
      </c>
      <c r="G16" s="16">
        <f t="shared" si="6"/>
        <v>0.02061083260680041</v>
      </c>
      <c r="H16" s="51">
        <f t="shared" si="10" ref="H16:H291">IF(AND(ISNUMBER(H15),ISNUMBER(C15)),IF(C15&lt;&gt;0,H15/C15-1,"n/a"),"n/a")</f>
        <v>0.02032492784650608</v>
      </c>
      <c r="I16" s="1"/>
      <c r="J16" s="16"/>
      <c r="K16" s="16"/>
      <c r="L16" s="16"/>
      <c r="M16" s="16"/>
      <c r="N16" s="16"/>
      <c r="O16" s="1"/>
      <c r="P16" s="49"/>
    </row>
    <row r="17" ht="15" customHeight="1">
      <c r="A17" s="1"/>
      <c r="B17" s="53" t="s">
        <v>118</v>
      </c>
      <c r="C17" s="67">
        <f t="shared" si="7"/>
        <v>393</v>
      </c>
      <c r="D17" s="67">
        <f t="shared" si="4"/>
        <v>413</v>
      </c>
      <c r="E17" s="71" t="s">
        <v>15</v>
      </c>
      <c r="F17" s="67">
        <f t="shared" si="8"/>
        <v>289</v>
      </c>
      <c r="G17" s="67">
        <f t="shared" si="4"/>
        <v>418</v>
      </c>
      <c r="H17" s="68">
        <f t="shared" si="4"/>
        <v>380</v>
      </c>
      <c r="I17" s="1"/>
      <c r="J17" s="67"/>
      <c r="K17" s="67"/>
      <c r="L17" s="67"/>
      <c r="M17" s="67"/>
      <c r="N17" s="67"/>
      <c r="O17" s="1"/>
      <c r="P17" s="49"/>
    </row>
    <row r="18" ht="15" customHeight="1">
      <c r="A18" s="1"/>
      <c r="B18" s="65" t="s">
        <v>147</v>
      </c>
      <c r="C18" s="67">
        <f t="shared" si="9" ref="C18:H95">AVERAGE(C10,C15)</f>
        <v>73604.5</v>
      </c>
      <c r="D18" s="67">
        <f t="shared" si="9"/>
        <v>74007.5</v>
      </c>
      <c r="E18" s="67">
        <f t="shared" si="33" ref="E18:E83">AVERAGE(K15,D15)</f>
        <v>73481.5</v>
      </c>
      <c r="F18" s="67">
        <f t="shared" si="9"/>
        <v>74358.5</v>
      </c>
      <c r="G18" s="67">
        <f t="shared" si="9"/>
        <v>74712</v>
      </c>
      <c r="H18" s="68">
        <f t="shared" si="9"/>
        <v>75111</v>
      </c>
      <c r="I18" s="1"/>
      <c r="J18" s="67"/>
      <c r="K18" s="67"/>
      <c r="L18" s="67"/>
      <c r="M18" s="67"/>
      <c r="N18" s="67"/>
      <c r="O18" s="1"/>
      <c r="P18" s="49"/>
    </row>
    <row r="19" ht="15" customHeight="1">
      <c r="A19" s="1"/>
      <c r="B19" s="50" t="s">
        <v>115</v>
      </c>
      <c r="C19" s="16" t="str">
        <f t="shared" si="6"/>
        <v>n/a</v>
      </c>
      <c r="D19" s="16" t="str">
        <f t="shared" si="6"/>
        <v>n/a</v>
      </c>
      <c r="E19" s="16" t="str">
        <f t="shared" si="6"/>
        <v>n/a</v>
      </c>
      <c r="F19" s="16" t="str">
        <f t="shared" si="6"/>
        <v>n/a</v>
      </c>
      <c r="G19" s="16" t="str">
        <f t="shared" si="6"/>
        <v>n/a</v>
      </c>
      <c r="H19" s="51">
        <f t="shared" si="10"/>
        <v>0.020467498590439392</v>
      </c>
      <c r="I19" s="1"/>
      <c r="J19" s="16"/>
      <c r="K19" s="16"/>
      <c r="L19" s="16"/>
      <c r="M19" s="16"/>
      <c r="N19" s="16"/>
      <c r="O19" s="1"/>
      <c r="P19" s="49"/>
    </row>
    <row r="20" ht="15" customHeight="1">
      <c r="A20" s="1"/>
      <c r="B20" s="53" t="s">
        <v>118</v>
      </c>
      <c r="C20" s="67" t="str">
        <f t="shared" si="7"/>
        <v>n/a</v>
      </c>
      <c r="D20" s="67">
        <f t="shared" si="4"/>
        <v>403</v>
      </c>
      <c r="E20" s="71" t="s">
        <v>15</v>
      </c>
      <c r="F20" s="67">
        <f t="shared" si="8"/>
        <v>351</v>
      </c>
      <c r="G20" s="67">
        <f t="shared" si="4"/>
        <v>353.5</v>
      </c>
      <c r="H20" s="68">
        <f t="shared" si="4"/>
        <v>399</v>
      </c>
      <c r="I20" s="1"/>
      <c r="J20" s="67"/>
      <c r="K20" s="67"/>
      <c r="L20" s="67"/>
      <c r="M20" s="67"/>
      <c r="N20" s="67"/>
      <c r="O20" s="1"/>
      <c r="P20" s="49"/>
    </row>
    <row r="21" ht="15" customHeight="1">
      <c r="A21" s="1"/>
      <c r="B21" s="76" t="s">
        <v>148</v>
      </c>
      <c r="C21" s="57">
        <v>0.0092</v>
      </c>
      <c r="D21" s="57">
        <v>0.0098</v>
      </c>
      <c r="E21" s="16">
        <f>AVERAGE(M21,N21,C21,D21)</f>
        <v>0.009</v>
      </c>
      <c r="F21" s="57">
        <v>0.0089</v>
      </c>
      <c r="G21" s="57">
        <v>0.0086</v>
      </c>
      <c r="H21" s="58">
        <v>0.009</v>
      </c>
      <c r="I21" s="1"/>
      <c r="J21" s="57">
        <v>0.0078</v>
      </c>
      <c r="K21" s="57">
        <v>0.0085</v>
      </c>
      <c r="L21" s="57">
        <v>0.0076</v>
      </c>
      <c r="M21" s="57">
        <v>0.0083</v>
      </c>
      <c r="N21" s="57">
        <v>0.0087</v>
      </c>
      <c r="O21" s="1"/>
      <c r="P21" s="49"/>
    </row>
    <row r="22" ht="15" customHeight="1">
      <c r="A22" s="1"/>
      <c r="B22" s="50" t="s">
        <v>149</v>
      </c>
      <c r="C22" s="77">
        <f t="shared" si="11" ref="C22:G294">IF(AND(ISNUMBER(C21),ISNUMBER(J21)),(C21-J21)*10000,"n/a")</f>
        <v>14.000000000000002</v>
      </c>
      <c r="D22" s="77">
        <f t="shared" si="11"/>
        <v>12.999999999999991</v>
      </c>
      <c r="E22" s="77">
        <f t="shared" si="11"/>
        <v>13.999999999999993</v>
      </c>
      <c r="F22" s="77">
        <f t="shared" si="11"/>
        <v>5.999999999999998</v>
      </c>
      <c r="G22" s="77">
        <f t="shared" si="11"/>
        <v>-0.999999999999994</v>
      </c>
      <c r="H22" s="78">
        <f t="shared" si="25" ref="H22:H294">IF(AND(ISNUMBER(H21),ISNUMBER(C21)),(H21-C21)*10000,"n/a")</f>
        <v>-2.0000000000000053</v>
      </c>
      <c r="I22" s="1"/>
      <c r="J22" s="77"/>
      <c r="K22" s="77"/>
      <c r="L22" s="77"/>
      <c r="M22" s="77"/>
      <c r="N22" s="77"/>
      <c r="O22" s="1"/>
      <c r="P22" s="49"/>
    </row>
    <row r="23" ht="15" customHeight="1">
      <c r="A23" s="1"/>
      <c r="B23" s="50" t="s">
        <v>150</v>
      </c>
      <c r="C23" s="77">
        <f t="shared" si="26" ref="C23:C295">IF(AND(ISNUMBER(C21),ISNUMBER(N21)),(C21-N21)*10000,"n/a")</f>
        <v>5.000000000000004</v>
      </c>
      <c r="D23" s="77">
        <f t="shared" si="12" ref="D23:H295">IF(AND(ISNUMBER(D21),ISNUMBER(C21)),(D21-C21)*10000,"n/a")</f>
        <v>5.999999999999998</v>
      </c>
      <c r="E23" s="79" t="s">
        <v>15</v>
      </c>
      <c r="F23" s="77">
        <f t="shared" si="27" ref="F23:F295">IF(AND(ISNUMBER(F21),ISNUMBER(D21)),(F21-D21)*10000,"n/a")</f>
        <v>-8.999999999999998</v>
      </c>
      <c r="G23" s="77">
        <f t="shared" si="12"/>
        <v>-2.999999999999999</v>
      </c>
      <c r="H23" s="78">
        <f t="shared" si="12"/>
        <v>3.9999999999999933</v>
      </c>
      <c r="I23" s="1"/>
      <c r="J23" s="77"/>
      <c r="K23" s="77"/>
      <c r="L23" s="77"/>
      <c r="M23" s="77"/>
      <c r="N23" s="77"/>
      <c r="O23" s="1"/>
      <c r="P23" s="49"/>
    </row>
    <row r="24" ht="15" customHeight="1">
      <c r="A24" s="1"/>
      <c r="B24" s="63" t="s">
        <v>151</v>
      </c>
      <c r="C24" s="67">
        <f t="shared" si="13" ref="C24:H45">IF(AND(ISNUMBER(C21),ISNUMBER(C18)),C21*C18*3,"n/a")</f>
        <v>2031.4841999999999</v>
      </c>
      <c r="D24" s="67">
        <f t="shared" si="13"/>
        <v>2175.8205</v>
      </c>
      <c r="E24" s="67">
        <f t="shared" si="28" ref="E24:E45">IF(AND(ISNUMBER(E21),ISNUMBER(E18)),E21*E18*12,"n/a")</f>
        <v>7936.0019999999995</v>
      </c>
      <c r="F24" s="67">
        <f t="shared" si="13"/>
        <v>1985.3719500000002</v>
      </c>
      <c r="G24" s="67">
        <f t="shared" si="13"/>
        <v>1927.5695999999998</v>
      </c>
      <c r="H24" s="68">
        <f t="shared" si="13"/>
        <v>2027.9969999999998</v>
      </c>
      <c r="I24" s="1"/>
      <c r="J24" s="67"/>
      <c r="K24" s="67"/>
      <c r="L24" s="67"/>
      <c r="M24" s="67"/>
      <c r="N24" s="67"/>
      <c r="O24" s="1"/>
      <c r="P24" s="49"/>
    </row>
    <row r="25" ht="15" customHeight="1">
      <c r="A25" s="1"/>
      <c r="B25" s="50" t="s">
        <v>115</v>
      </c>
      <c r="C25" s="16" t="str">
        <f t="shared" si="6"/>
        <v>n/a</v>
      </c>
      <c r="D25" s="16" t="str">
        <f t="shared" si="6"/>
        <v>n/a</v>
      </c>
      <c r="E25" s="16" t="str">
        <f t="shared" si="6"/>
        <v>n/a</v>
      </c>
      <c r="F25" s="16" t="str">
        <f t="shared" si="6"/>
        <v>n/a</v>
      </c>
      <c r="G25" s="16" t="str">
        <f t="shared" si="6"/>
        <v>n/a</v>
      </c>
      <c r="H25" s="51">
        <f t="shared" si="10"/>
        <v>-0.0017165774658745026</v>
      </c>
      <c r="I25" s="1"/>
      <c r="J25" s="16"/>
      <c r="K25" s="16"/>
      <c r="L25" s="16"/>
      <c r="M25" s="16"/>
      <c r="N25" s="16"/>
      <c r="O25" s="1"/>
      <c r="P25" s="49"/>
    </row>
    <row r="26" ht="15" customHeight="1">
      <c r="A26" s="1"/>
      <c r="B26" s="53" t="s">
        <v>118</v>
      </c>
      <c r="C26" s="67" t="str">
        <f t="shared" si="7"/>
        <v>n/a</v>
      </c>
      <c r="D26" s="67">
        <f t="shared" si="4"/>
        <v>144.33629999999994</v>
      </c>
      <c r="E26" s="71" t="s">
        <v>15</v>
      </c>
      <c r="F26" s="67">
        <f t="shared" si="8"/>
        <v>-190.4485499999996</v>
      </c>
      <c r="G26" s="67">
        <f t="shared" si="4"/>
        <v>-57.80235000000039</v>
      </c>
      <c r="H26" s="68">
        <f t="shared" si="4"/>
        <v>100.42740000000003</v>
      </c>
      <c r="I26" s="1"/>
      <c r="J26" s="67"/>
      <c r="K26" s="67"/>
      <c r="L26" s="67"/>
      <c r="M26" s="67"/>
      <c r="N26" s="67"/>
      <c r="O26" s="1"/>
      <c r="P26" s="49"/>
    </row>
    <row r="27" ht="15" customHeight="1">
      <c r="A27" s="1"/>
      <c r="B27" s="63" t="s">
        <v>152</v>
      </c>
      <c r="C27" s="67">
        <f t="shared" si="14" ref="C27:H48">IF(AND(ISNUMBER(C11),ISNUMBER(C24)),C11+C24,"n/a")</f>
        <v>2436.4842</v>
      </c>
      <c r="D27" s="67">
        <f t="shared" si="14"/>
        <v>2596.8205</v>
      </c>
      <c r="E27" s="67">
        <f t="shared" si="14"/>
        <v>9487.002</v>
      </c>
      <c r="F27" s="67">
        <f t="shared" si="14"/>
        <v>2279.37195</v>
      </c>
      <c r="G27" s="67">
        <f t="shared" si="14"/>
        <v>2359.5696</v>
      </c>
      <c r="H27" s="68">
        <f t="shared" si="14"/>
        <v>2407.997</v>
      </c>
      <c r="I27" s="1"/>
      <c r="J27" s="67"/>
      <c r="K27" s="67"/>
      <c r="L27" s="67"/>
      <c r="M27" s="67"/>
      <c r="N27" s="67"/>
      <c r="O27" s="1"/>
      <c r="P27" s="49"/>
    </row>
    <row r="28" ht="15" customHeight="1">
      <c r="A28" s="1"/>
      <c r="B28" s="50" t="s">
        <v>115</v>
      </c>
      <c r="C28" s="16" t="str">
        <f t="shared" si="6"/>
        <v>n/a</v>
      </c>
      <c r="D28" s="16" t="str">
        <f t="shared" si="6"/>
        <v>n/a</v>
      </c>
      <c r="E28" s="16" t="str">
        <f t="shared" si="6"/>
        <v>n/a</v>
      </c>
      <c r="F28" s="16" t="str">
        <f t="shared" si="6"/>
        <v>n/a</v>
      </c>
      <c r="G28" s="16" t="str">
        <f t="shared" si="6"/>
        <v>n/a</v>
      </c>
      <c r="H28" s="51">
        <f t="shared" si="10"/>
        <v>-0.01169192888671311</v>
      </c>
      <c r="I28" s="1"/>
      <c r="J28" s="16"/>
      <c r="K28" s="16"/>
      <c r="L28" s="16"/>
      <c r="M28" s="16"/>
      <c r="N28" s="16"/>
      <c r="O28" s="1"/>
      <c r="P28" s="49"/>
    </row>
    <row r="29" ht="15" customHeight="1">
      <c r="A29" s="1"/>
      <c r="B29" s="53" t="s">
        <v>118</v>
      </c>
      <c r="C29" s="67" t="str">
        <f t="shared" si="7"/>
        <v>n/a</v>
      </c>
      <c r="D29" s="67">
        <f t="shared" si="4"/>
        <v>160.33629999999994</v>
      </c>
      <c r="E29" s="71" t="s">
        <v>15</v>
      </c>
      <c r="F29" s="67">
        <f t="shared" si="8"/>
        <v>-317.4485499999996</v>
      </c>
      <c r="G29" s="67">
        <f t="shared" si="4"/>
        <v>80.19764999999961</v>
      </c>
      <c r="H29" s="68">
        <f t="shared" si="4"/>
        <v>48.427400000000034</v>
      </c>
      <c r="I29" s="1"/>
      <c r="J29" s="67"/>
      <c r="K29" s="67"/>
      <c r="L29" s="67"/>
      <c r="M29" s="67"/>
      <c r="N29" s="67"/>
      <c r="O29" s="1"/>
      <c r="P29" s="49"/>
    </row>
    <row r="30" ht="15" customHeight="1">
      <c r="A30" s="1"/>
      <c r="B30" s="3" t="s">
        <v>153</v>
      </c>
      <c r="C30" s="1"/>
      <c r="D30" s="1"/>
      <c r="E30" s="1"/>
      <c r="F30" s="1"/>
      <c r="G30" s="1"/>
      <c r="H30" s="48"/>
      <c r="I30" s="1"/>
      <c r="J30" s="1"/>
      <c r="K30" s="1"/>
      <c r="L30" s="1"/>
      <c r="M30" s="1"/>
      <c r="N30" s="1"/>
      <c r="O30" s="1"/>
      <c r="P30" s="49"/>
    </row>
    <row r="31" ht="15" customHeight="1">
      <c r="A31" s="1"/>
      <c r="B31" s="63" t="s">
        <v>154</v>
      </c>
      <c r="C31" s="67">
        <f t="shared" si="15"/>
        <v>17093</v>
      </c>
      <c r="D31" s="67" t="str">
        <f t="shared" si="2"/>
        <v>n/a</v>
      </c>
      <c r="E31" s="67" t="str">
        <f t="shared" si="16"/>
        <v>n/a</v>
      </c>
      <c r="F31" s="67" t="str">
        <f t="shared" si="17"/>
        <v>n/a</v>
      </c>
      <c r="G31" s="67">
        <f t="shared" si="2"/>
        <v>16554</v>
      </c>
      <c r="H31" s="68">
        <f t="shared" si="2"/>
        <v>16518</v>
      </c>
      <c r="I31" s="1"/>
      <c r="J31" s="67"/>
      <c r="K31" s="67"/>
      <c r="L31" s="67"/>
      <c r="M31" s="67"/>
      <c r="N31" s="67"/>
      <c r="O31" s="1"/>
      <c r="P31" s="49"/>
    </row>
    <row r="32" ht="15" customHeight="1">
      <c r="A32" s="1"/>
      <c r="B32" s="63" t="s">
        <v>155</v>
      </c>
      <c r="C32" s="69">
        <v>-83</v>
      </c>
      <c r="D32" s="69">
        <v>-255</v>
      </c>
      <c r="E32" s="67">
        <f t="shared" si="18"/>
        <v>-392</v>
      </c>
      <c r="F32" s="69">
        <v>-72</v>
      </c>
      <c r="G32" s="69">
        <v>4</v>
      </c>
      <c r="H32" s="70">
        <v>-30</v>
      </c>
      <c r="I32" s="1"/>
      <c r="J32" s="69">
        <v>-45</v>
      </c>
      <c r="K32" s="69">
        <v>-119</v>
      </c>
      <c r="L32" s="71" t="s">
        <v>15</v>
      </c>
      <c r="M32" s="69">
        <v>-20</v>
      </c>
      <c r="N32" s="69">
        <v>-34</v>
      </c>
      <c r="O32" s="1"/>
      <c r="P32" s="49"/>
    </row>
    <row r="33" ht="15" customHeight="1">
      <c r="A33" s="1"/>
      <c r="B33" s="53" t="s">
        <v>144</v>
      </c>
      <c r="C33" s="67">
        <f t="shared" si="3"/>
        <v>-38</v>
      </c>
      <c r="D33" s="67">
        <f t="shared" si="3"/>
        <v>-136</v>
      </c>
      <c r="E33" s="67" t="str">
        <f t="shared" si="3"/>
        <v>n/a</v>
      </c>
      <c r="F33" s="67">
        <f t="shared" si="3"/>
        <v>-52</v>
      </c>
      <c r="G33" s="67">
        <f t="shared" si="3"/>
        <v>38</v>
      </c>
      <c r="H33" s="68">
        <f t="shared" si="19"/>
        <v>53</v>
      </c>
      <c r="I33" s="1"/>
      <c r="J33" s="67"/>
      <c r="K33" s="67"/>
      <c r="L33" s="67"/>
      <c r="M33" s="67"/>
      <c r="N33" s="67"/>
      <c r="O33" s="1"/>
      <c r="P33" s="49"/>
    </row>
    <row r="34" ht="15" customHeight="1">
      <c r="A34" s="1"/>
      <c r="B34" s="53" t="s">
        <v>118</v>
      </c>
      <c r="C34" s="67">
        <f t="shared" si="7"/>
        <v>-49</v>
      </c>
      <c r="D34" s="67">
        <f t="shared" si="4"/>
        <v>-172</v>
      </c>
      <c r="E34" s="71" t="s">
        <v>15</v>
      </c>
      <c r="F34" s="67">
        <f t="shared" si="8"/>
        <v>183</v>
      </c>
      <c r="G34" s="67">
        <f t="shared" si="4"/>
        <v>76</v>
      </c>
      <c r="H34" s="68">
        <f t="shared" si="4"/>
        <v>-34</v>
      </c>
      <c r="I34" s="1"/>
      <c r="J34" s="67"/>
      <c r="K34" s="67"/>
      <c r="L34" s="67"/>
      <c r="M34" s="67"/>
      <c r="N34" s="67"/>
      <c r="O34" s="1"/>
      <c r="P34" s="49"/>
    </row>
    <row r="35" ht="15" customHeight="1">
      <c r="A35" s="1"/>
      <c r="B35" s="65" t="s">
        <v>145</v>
      </c>
      <c r="C35" s="67" t="str">
        <f t="shared" si="20" ref="C35:G115">IF(AND(ISNUMBER(C36),ISNUMBER(C31),ISNUMBER(C32)),C36-C31-C32,"n/a")</f>
        <v>n/a</v>
      </c>
      <c r="D35" s="67" t="str">
        <f t="shared" si="20"/>
        <v>n/a</v>
      </c>
      <c r="E35" s="67" t="str">
        <f t="shared" si="20"/>
        <v>n/a</v>
      </c>
      <c r="F35" s="67" t="str">
        <f t="shared" si="20"/>
        <v>n/a</v>
      </c>
      <c r="G35" s="67">
        <f t="shared" si="20"/>
        <v>-40</v>
      </c>
      <c r="H35" s="70">
        <v>0</v>
      </c>
      <c r="I35" s="1"/>
      <c r="J35" s="67"/>
      <c r="K35" s="67"/>
      <c r="L35" s="67"/>
      <c r="M35" s="67"/>
      <c r="N35" s="67"/>
      <c r="O35" s="1"/>
      <c r="P35" s="49"/>
    </row>
    <row r="36" ht="15" customHeight="1">
      <c r="A36" s="1"/>
      <c r="B36" s="3" t="s">
        <v>156</v>
      </c>
      <c r="C36" s="80" t="s">
        <v>15</v>
      </c>
      <c r="D36" s="80" t="s">
        <v>15</v>
      </c>
      <c r="E36" s="74" t="str">
        <f t="shared" si="21"/>
        <v>n/a</v>
      </c>
      <c r="F36" s="73">
        <v>16554</v>
      </c>
      <c r="G36" s="73">
        <v>16518</v>
      </c>
      <c r="H36" s="75">
        <f t="shared" si="22"/>
        <v>16488</v>
      </c>
      <c r="I36" s="1"/>
      <c r="J36" s="80" t="s">
        <v>15</v>
      </c>
      <c r="K36" s="80" t="s">
        <v>15</v>
      </c>
      <c r="L36" s="74" t="str">
        <f t="shared" si="23"/>
        <v>n/a</v>
      </c>
      <c r="M36" s="73">
        <v>17162</v>
      </c>
      <c r="N36" s="73">
        <v>17093</v>
      </c>
      <c r="O36" s="1"/>
      <c r="P36" s="49"/>
    </row>
    <row r="37" ht="15" customHeight="1">
      <c r="A37" s="1"/>
      <c r="B37" s="50" t="s">
        <v>115</v>
      </c>
      <c r="C37" s="16" t="str">
        <f t="shared" si="6"/>
        <v>n/a</v>
      </c>
      <c r="D37" s="16" t="str">
        <f t="shared" si="6"/>
        <v>n/a</v>
      </c>
      <c r="E37" s="16" t="str">
        <f t="shared" si="6"/>
        <v>n/a</v>
      </c>
      <c r="F37" s="16">
        <f t="shared" si="6"/>
        <v>-0.035427106397855734</v>
      </c>
      <c r="G37" s="16">
        <f t="shared" si="6"/>
        <v>-0.03363950155034223</v>
      </c>
      <c r="H37" s="51" t="str">
        <f t="shared" si="10"/>
        <v>n/a</v>
      </c>
      <c r="I37" s="1"/>
      <c r="J37" s="16"/>
      <c r="K37" s="16"/>
      <c r="L37" s="16"/>
      <c r="M37" s="16"/>
      <c r="N37" s="16"/>
      <c r="O37" s="1"/>
      <c r="P37" s="49"/>
    </row>
    <row r="38" ht="15" customHeight="1">
      <c r="A38" s="1"/>
      <c r="B38" s="53" t="s">
        <v>118</v>
      </c>
      <c r="C38" s="67" t="str">
        <f t="shared" si="7"/>
        <v>n/a</v>
      </c>
      <c r="D38" s="67" t="str">
        <f t="shared" si="4"/>
        <v>n/a</v>
      </c>
      <c r="E38" s="71" t="s">
        <v>15</v>
      </c>
      <c r="F38" s="67" t="str">
        <f t="shared" si="8"/>
        <v>n/a</v>
      </c>
      <c r="G38" s="67">
        <f t="shared" si="4"/>
        <v>-36</v>
      </c>
      <c r="H38" s="68">
        <f t="shared" si="4"/>
        <v>-30</v>
      </c>
      <c r="I38" s="1"/>
      <c r="J38" s="67"/>
      <c r="K38" s="67"/>
      <c r="L38" s="67"/>
      <c r="M38" s="67"/>
      <c r="N38" s="67"/>
      <c r="O38" s="1"/>
      <c r="P38" s="49"/>
    </row>
    <row r="39" ht="15" customHeight="1">
      <c r="A39" s="1"/>
      <c r="B39" s="63" t="s">
        <v>157</v>
      </c>
      <c r="C39" s="67" t="str">
        <f t="shared" si="24" ref="C39:H119">IF(AND(ISNUMBER(C31),ISNUMBER(C36)),AVERAGE(C31,C36),"n/a")</f>
        <v>n/a</v>
      </c>
      <c r="D39" s="67" t="str">
        <f t="shared" si="24"/>
        <v>n/a</v>
      </c>
      <c r="E39" s="67" t="str">
        <f t="shared" si="29" ref="E39:E119">IF(AND(ISNUMBER(K36),ISNUMBER(D36)),AVERAGE(K36,D36),"n/a")</f>
        <v>n/a</v>
      </c>
      <c r="F39" s="67" t="str">
        <f t="shared" si="24"/>
        <v>n/a</v>
      </c>
      <c r="G39" s="67">
        <f t="shared" si="24"/>
        <v>16536</v>
      </c>
      <c r="H39" s="68">
        <f t="shared" si="24"/>
        <v>16503</v>
      </c>
      <c r="I39" s="1"/>
      <c r="J39" s="67"/>
      <c r="K39" s="67"/>
      <c r="L39" s="67"/>
      <c r="M39" s="67"/>
      <c r="N39" s="67"/>
      <c r="O39" s="1"/>
      <c r="P39" s="49"/>
    </row>
    <row r="40" ht="15" customHeight="1">
      <c r="A40" s="1"/>
      <c r="B40" s="50" t="s">
        <v>115</v>
      </c>
      <c r="C40" s="16" t="str">
        <f t="shared" si="6"/>
        <v>n/a</v>
      </c>
      <c r="D40" s="16" t="str">
        <f t="shared" si="6"/>
        <v>n/a</v>
      </c>
      <c r="E40" s="16" t="str">
        <f t="shared" si="6"/>
        <v>n/a</v>
      </c>
      <c r="F40" s="16" t="str">
        <f t="shared" si="6"/>
        <v>n/a</v>
      </c>
      <c r="G40" s="16" t="str">
        <f t="shared" si="6"/>
        <v>n/a</v>
      </c>
      <c r="H40" s="51" t="str">
        <f t="shared" si="10"/>
        <v>n/a</v>
      </c>
      <c r="I40" s="1"/>
      <c r="J40" s="16"/>
      <c r="K40" s="16"/>
      <c r="L40" s="16"/>
      <c r="M40" s="16"/>
      <c r="N40" s="16"/>
      <c r="O40" s="1"/>
      <c r="P40" s="49"/>
    </row>
    <row r="41" ht="15" customHeight="1">
      <c r="A41" s="1"/>
      <c r="B41" s="53" t="s">
        <v>118</v>
      </c>
      <c r="C41" s="67" t="str">
        <f t="shared" si="7"/>
        <v>n/a</v>
      </c>
      <c r="D41" s="67" t="str">
        <f t="shared" si="4"/>
        <v>n/a</v>
      </c>
      <c r="E41" s="71" t="s">
        <v>15</v>
      </c>
      <c r="F41" s="67" t="str">
        <f t="shared" si="8"/>
        <v>n/a</v>
      </c>
      <c r="G41" s="67" t="str">
        <f t="shared" si="4"/>
        <v>n/a</v>
      </c>
      <c r="H41" s="68">
        <f t="shared" si="4"/>
        <v>-33</v>
      </c>
      <c r="I41" s="1"/>
      <c r="J41" s="67"/>
      <c r="K41" s="67"/>
      <c r="L41" s="67"/>
      <c r="M41" s="67"/>
      <c r="N41" s="67"/>
      <c r="O41" s="1"/>
      <c r="P41" s="49"/>
    </row>
    <row r="42" ht="15" customHeight="1">
      <c r="A42" s="1"/>
      <c r="B42" s="76" t="s">
        <v>158</v>
      </c>
      <c r="C42" s="52" t="s">
        <v>15</v>
      </c>
      <c r="D42" s="52" t="s">
        <v>15</v>
      </c>
      <c r="E42" s="52" t="s">
        <v>15</v>
      </c>
      <c r="F42" s="57">
        <v>0.0262</v>
      </c>
      <c r="G42" s="57">
        <v>0.023</v>
      </c>
      <c r="H42" s="58">
        <v>0.0245</v>
      </c>
      <c r="I42" s="1"/>
      <c r="J42" s="52" t="s">
        <v>15</v>
      </c>
      <c r="K42" s="52" t="s">
        <v>15</v>
      </c>
      <c r="L42" s="52" t="s">
        <v>15</v>
      </c>
      <c r="M42" s="57">
        <v>0.0255</v>
      </c>
      <c r="N42" s="57">
        <v>0.0243</v>
      </c>
      <c r="O42" s="1"/>
      <c r="P42" s="49"/>
    </row>
    <row r="43" ht="15" customHeight="1">
      <c r="A43" s="1"/>
      <c r="B43" s="50" t="s">
        <v>149</v>
      </c>
      <c r="C43" s="77" t="str">
        <f t="shared" si="11"/>
        <v>n/a</v>
      </c>
      <c r="D43" s="77" t="str">
        <f t="shared" si="11"/>
        <v>n/a</v>
      </c>
      <c r="E43" s="77" t="str">
        <f t="shared" si="11"/>
        <v>n/a</v>
      </c>
      <c r="F43" s="77">
        <f t="shared" si="11"/>
        <v>7.000000000000027</v>
      </c>
      <c r="G43" s="77">
        <f t="shared" si="11"/>
        <v>-12.999999999999991</v>
      </c>
      <c r="H43" s="78" t="str">
        <f t="shared" si="25"/>
        <v>n/a</v>
      </c>
      <c r="I43" s="1"/>
      <c r="J43" s="77"/>
      <c r="K43" s="77"/>
      <c r="L43" s="77"/>
      <c r="M43" s="77"/>
      <c r="N43" s="77"/>
      <c r="O43" s="1"/>
      <c r="P43" s="49"/>
    </row>
    <row r="44" ht="15" customHeight="1">
      <c r="A44" s="1"/>
      <c r="B44" s="50" t="s">
        <v>150</v>
      </c>
      <c r="C44" s="77" t="str">
        <f t="shared" si="26"/>
        <v>n/a</v>
      </c>
      <c r="D44" s="77" t="str">
        <f t="shared" si="12"/>
        <v>n/a</v>
      </c>
      <c r="E44" s="79" t="s">
        <v>15</v>
      </c>
      <c r="F44" s="77" t="str">
        <f t="shared" si="27"/>
        <v>n/a</v>
      </c>
      <c r="G44" s="77">
        <f t="shared" si="12"/>
        <v>-32.000000000000014</v>
      </c>
      <c r="H44" s="78">
        <f t="shared" si="12"/>
        <v>15.000000000000014</v>
      </c>
      <c r="I44" s="1"/>
      <c r="J44" s="77"/>
      <c r="K44" s="77"/>
      <c r="L44" s="77"/>
      <c r="M44" s="77"/>
      <c r="N44" s="77"/>
      <c r="O44" s="1"/>
      <c r="P44" s="49"/>
    </row>
    <row r="45" ht="15" customHeight="1">
      <c r="A45" s="1"/>
      <c r="B45" s="63" t="s">
        <v>151</v>
      </c>
      <c r="C45" s="67" t="str">
        <f t="shared" si="13"/>
        <v>n/a</v>
      </c>
      <c r="D45" s="67" t="str">
        <f t="shared" si="13"/>
        <v>n/a</v>
      </c>
      <c r="E45" s="67" t="str">
        <f t="shared" si="28"/>
        <v>n/a</v>
      </c>
      <c r="F45" s="67" t="str">
        <f t="shared" si="13"/>
        <v>n/a</v>
      </c>
      <c r="G45" s="67">
        <f t="shared" si="13"/>
        <v>1140.984</v>
      </c>
      <c r="H45" s="68">
        <f t="shared" si="13"/>
        <v>1212.9705000000001</v>
      </c>
      <c r="I45" s="1"/>
      <c r="J45" s="67"/>
      <c r="K45" s="67"/>
      <c r="L45" s="67"/>
      <c r="M45" s="67"/>
      <c r="N45" s="67"/>
      <c r="O45" s="1"/>
      <c r="P45" s="49"/>
    </row>
    <row r="46" ht="15" customHeight="1">
      <c r="A46" s="1"/>
      <c r="B46" s="50" t="s">
        <v>115</v>
      </c>
      <c r="C46" s="16" t="str">
        <f t="shared" si="6"/>
        <v>n/a</v>
      </c>
      <c r="D46" s="16" t="str">
        <f t="shared" si="6"/>
        <v>n/a</v>
      </c>
      <c r="E46" s="16" t="str">
        <f t="shared" si="6"/>
        <v>n/a</v>
      </c>
      <c r="F46" s="16" t="str">
        <f t="shared" si="6"/>
        <v>n/a</v>
      </c>
      <c r="G46" s="16" t="str">
        <f t="shared" si="6"/>
        <v>n/a</v>
      </c>
      <c r="H46" s="51" t="str">
        <f t="shared" si="10"/>
        <v>n/a</v>
      </c>
      <c r="I46" s="1"/>
      <c r="J46" s="16"/>
      <c r="K46" s="16"/>
      <c r="L46" s="16"/>
      <c r="M46" s="16"/>
      <c r="N46" s="16"/>
      <c r="O46" s="1"/>
      <c r="P46" s="49"/>
    </row>
    <row r="47" ht="15" customHeight="1">
      <c r="A47" s="1"/>
      <c r="B47" s="53" t="s">
        <v>118</v>
      </c>
      <c r="C47" s="67" t="str">
        <f t="shared" si="7"/>
        <v>n/a</v>
      </c>
      <c r="D47" s="67" t="str">
        <f t="shared" si="4"/>
        <v>n/a</v>
      </c>
      <c r="E47" s="71" t="s">
        <v>15</v>
      </c>
      <c r="F47" s="67" t="str">
        <f t="shared" si="8"/>
        <v>n/a</v>
      </c>
      <c r="G47" s="67" t="str">
        <f t="shared" si="4"/>
        <v>n/a</v>
      </c>
      <c r="H47" s="68">
        <f t="shared" si="4"/>
        <v>71.9865000000002</v>
      </c>
      <c r="I47" s="1"/>
      <c r="J47" s="67"/>
      <c r="K47" s="67"/>
      <c r="L47" s="67"/>
      <c r="M47" s="67"/>
      <c r="N47" s="67"/>
      <c r="O47" s="1"/>
      <c r="P47" s="49"/>
    </row>
    <row r="48" ht="15" customHeight="1">
      <c r="A48" s="1"/>
      <c r="B48" s="63" t="s">
        <v>152</v>
      </c>
      <c r="C48" s="67" t="str">
        <f t="shared" si="14"/>
        <v>n/a</v>
      </c>
      <c r="D48" s="67" t="str">
        <f t="shared" si="14"/>
        <v>n/a</v>
      </c>
      <c r="E48" s="67" t="str">
        <f t="shared" si="14"/>
        <v>n/a</v>
      </c>
      <c r="F48" s="67" t="str">
        <f t="shared" si="14"/>
        <v>n/a</v>
      </c>
      <c r="G48" s="67">
        <f t="shared" si="14"/>
        <v>1144.984</v>
      </c>
      <c r="H48" s="68">
        <f t="shared" si="14"/>
        <v>1182.9705000000001</v>
      </c>
      <c r="I48" s="1"/>
      <c r="J48" s="67"/>
      <c r="K48" s="67"/>
      <c r="L48" s="67"/>
      <c r="M48" s="67"/>
      <c r="N48" s="67"/>
      <c r="O48" s="1"/>
      <c r="P48" s="49"/>
    </row>
    <row r="49" ht="15" customHeight="1">
      <c r="A49" s="1"/>
      <c r="B49" s="50" t="s">
        <v>115</v>
      </c>
      <c r="C49" s="16" t="str">
        <f t="shared" si="6"/>
        <v>n/a</v>
      </c>
      <c r="D49" s="16" t="str">
        <f t="shared" si="6"/>
        <v>n/a</v>
      </c>
      <c r="E49" s="16" t="str">
        <f t="shared" si="6"/>
        <v>n/a</v>
      </c>
      <c r="F49" s="16" t="str">
        <f t="shared" si="6"/>
        <v>n/a</v>
      </c>
      <c r="G49" s="16" t="str">
        <f t="shared" si="6"/>
        <v>n/a</v>
      </c>
      <c r="H49" s="51" t="str">
        <f t="shared" si="10"/>
        <v>n/a</v>
      </c>
      <c r="I49" s="1"/>
      <c r="J49" s="16"/>
      <c r="K49" s="16"/>
      <c r="L49" s="16"/>
      <c r="M49" s="16"/>
      <c r="N49" s="16"/>
      <c r="O49" s="1"/>
      <c r="P49" s="49"/>
    </row>
    <row r="50" ht="15" customHeight="1">
      <c r="A50" s="1"/>
      <c r="B50" s="53" t="s">
        <v>118</v>
      </c>
      <c r="C50" s="67" t="str">
        <f t="shared" si="7"/>
        <v>n/a</v>
      </c>
      <c r="D50" s="67" t="str">
        <f t="shared" si="4"/>
        <v>n/a</v>
      </c>
      <c r="E50" s="71" t="s">
        <v>15</v>
      </c>
      <c r="F50" s="67" t="str">
        <f t="shared" si="8"/>
        <v>n/a</v>
      </c>
      <c r="G50" s="67" t="str">
        <f t="shared" si="4"/>
        <v>n/a</v>
      </c>
      <c r="H50" s="68">
        <f t="shared" si="4"/>
        <v>37.986500000000206</v>
      </c>
      <c r="I50" s="1"/>
      <c r="J50" s="67"/>
      <c r="K50" s="67"/>
      <c r="L50" s="67"/>
      <c r="M50" s="67"/>
      <c r="N50" s="67"/>
      <c r="O50" s="1"/>
      <c r="P50" s="49"/>
    </row>
    <row r="51" ht="15" customHeight="1">
      <c r="A51" s="1"/>
      <c r="B51" s="3" t="s">
        <v>159</v>
      </c>
      <c r="C51" s="1"/>
      <c r="D51" s="1"/>
      <c r="E51" s="1"/>
      <c r="F51" s="1"/>
      <c r="G51" s="1"/>
      <c r="H51" s="48"/>
      <c r="I51" s="1"/>
      <c r="J51" s="1"/>
      <c r="K51" s="1"/>
      <c r="L51" s="1"/>
      <c r="M51" s="1"/>
      <c r="N51" s="1"/>
      <c r="O51" s="1"/>
      <c r="P51" s="49"/>
    </row>
    <row r="52" ht="15" customHeight="1">
      <c r="A52" s="1"/>
      <c r="B52" s="65" t="s">
        <v>160</v>
      </c>
      <c r="C52" s="67">
        <f t="shared" si="15"/>
        <v>18195</v>
      </c>
      <c r="D52" s="67" t="str">
        <f t="shared" si="2"/>
        <v>n/a</v>
      </c>
      <c r="E52" s="67" t="str">
        <f t="shared" si="16"/>
        <v>n/a</v>
      </c>
      <c r="F52" s="67" t="str">
        <f t="shared" si="17"/>
        <v>n/a</v>
      </c>
      <c r="G52" s="67">
        <f t="shared" si="2"/>
        <v>18235</v>
      </c>
      <c r="H52" s="68">
        <f t="shared" si="2"/>
        <v>18361</v>
      </c>
      <c r="I52" s="1"/>
      <c r="J52" s="67"/>
      <c r="K52" s="67"/>
      <c r="L52" s="67"/>
      <c r="M52" s="67"/>
      <c r="N52" s="67"/>
      <c r="O52" s="1"/>
      <c r="P52" s="49"/>
    </row>
    <row r="53" ht="15" customHeight="1">
      <c r="A53" s="1"/>
      <c r="B53" s="65" t="s">
        <v>161</v>
      </c>
      <c r="C53" s="71" t="s">
        <v>15</v>
      </c>
      <c r="D53" s="71" t="s">
        <v>15</v>
      </c>
      <c r="E53" s="71" t="s">
        <v>15</v>
      </c>
      <c r="F53" s="69">
        <v>-64</v>
      </c>
      <c r="G53" s="69">
        <v>113</v>
      </c>
      <c r="H53" s="70">
        <v>80</v>
      </c>
      <c r="I53" s="1"/>
      <c r="J53" s="71" t="s">
        <v>15</v>
      </c>
      <c r="K53" s="71" t="s">
        <v>15</v>
      </c>
      <c r="L53" s="71" t="s">
        <v>15</v>
      </c>
      <c r="M53" s="69">
        <v>-48</v>
      </c>
      <c r="N53" s="69">
        <v>-40</v>
      </c>
      <c r="O53" s="1"/>
      <c r="P53" s="49"/>
    </row>
    <row r="54" ht="15" customHeight="1">
      <c r="A54" s="1"/>
      <c r="B54" s="53" t="s">
        <v>144</v>
      </c>
      <c r="C54" s="67" t="str">
        <f t="shared" si="3"/>
        <v>n/a</v>
      </c>
      <c r="D54" s="67" t="str">
        <f t="shared" si="3"/>
        <v>n/a</v>
      </c>
      <c r="E54" s="67" t="str">
        <f t="shared" si="3"/>
        <v>n/a</v>
      </c>
      <c r="F54" s="67">
        <f t="shared" si="3"/>
        <v>-16</v>
      </c>
      <c r="G54" s="67">
        <f t="shared" si="3"/>
        <v>153</v>
      </c>
      <c r="H54" s="68" t="str">
        <f t="shared" si="19"/>
        <v>n/a</v>
      </c>
      <c r="I54" s="1"/>
      <c r="J54" s="67"/>
      <c r="K54" s="67"/>
      <c r="L54" s="67"/>
      <c r="M54" s="67"/>
      <c r="N54" s="67"/>
      <c r="O54" s="1"/>
      <c r="P54" s="49"/>
    </row>
    <row r="55" ht="15" customHeight="1">
      <c r="A55" s="1"/>
      <c r="B55" s="53" t="s">
        <v>118</v>
      </c>
      <c r="C55" s="67" t="str">
        <f t="shared" si="7"/>
        <v>n/a</v>
      </c>
      <c r="D55" s="67" t="str">
        <f t="shared" si="4"/>
        <v>n/a</v>
      </c>
      <c r="E55" s="71" t="s">
        <v>15</v>
      </c>
      <c r="F55" s="67" t="str">
        <f t="shared" si="8"/>
        <v>n/a</v>
      </c>
      <c r="G55" s="67">
        <f t="shared" si="4"/>
        <v>177</v>
      </c>
      <c r="H55" s="68">
        <f t="shared" si="4"/>
        <v>-33</v>
      </c>
      <c r="I55" s="1"/>
      <c r="J55" s="67"/>
      <c r="K55" s="67"/>
      <c r="L55" s="67"/>
      <c r="M55" s="67"/>
      <c r="N55" s="67"/>
      <c r="O55" s="1"/>
      <c r="P55" s="49"/>
    </row>
    <row r="56" ht="15" customHeight="1">
      <c r="A56" s="1"/>
      <c r="B56" s="65" t="s">
        <v>145</v>
      </c>
      <c r="C56" s="67" t="str">
        <f t="shared" si="20"/>
        <v>n/a</v>
      </c>
      <c r="D56" s="67" t="str">
        <f t="shared" si="20"/>
        <v>n/a</v>
      </c>
      <c r="E56" s="67" t="str">
        <f t="shared" si="20"/>
        <v>n/a</v>
      </c>
      <c r="F56" s="67" t="str">
        <f t="shared" si="20"/>
        <v>n/a</v>
      </c>
      <c r="G56" s="67">
        <f t="shared" si="20"/>
        <v>13</v>
      </c>
      <c r="H56" s="70">
        <v>0</v>
      </c>
      <c r="I56" s="1"/>
      <c r="J56" s="67"/>
      <c r="K56" s="67"/>
      <c r="L56" s="67"/>
      <c r="M56" s="67"/>
      <c r="N56" s="67"/>
      <c r="O56" s="1"/>
      <c r="P56" s="49"/>
    </row>
    <row r="57" ht="15" customHeight="1">
      <c r="A57" s="1"/>
      <c r="B57" s="72" t="s">
        <v>162</v>
      </c>
      <c r="C57" s="80" t="s">
        <v>15</v>
      </c>
      <c r="D57" s="80" t="s">
        <v>15</v>
      </c>
      <c r="E57" s="74" t="str">
        <f t="shared" si="21"/>
        <v>n/a</v>
      </c>
      <c r="F57" s="73">
        <v>18235</v>
      </c>
      <c r="G57" s="73">
        <v>18361</v>
      </c>
      <c r="H57" s="75">
        <f t="shared" si="22"/>
        <v>18441</v>
      </c>
      <c r="I57" s="1"/>
      <c r="J57" s="80" t="s">
        <v>15</v>
      </c>
      <c r="K57" s="80" t="s">
        <v>15</v>
      </c>
      <c r="L57" s="74" t="str">
        <f t="shared" si="23"/>
        <v>n/a</v>
      </c>
      <c r="M57" s="73">
        <v>18225</v>
      </c>
      <c r="N57" s="73">
        <v>18195</v>
      </c>
      <c r="O57" s="1"/>
      <c r="P57" s="49"/>
    </row>
    <row r="58" ht="15" customHeight="1">
      <c r="A58" s="1"/>
      <c r="B58" s="50" t="s">
        <v>115</v>
      </c>
      <c r="C58" s="16" t="str">
        <f t="shared" si="6"/>
        <v>n/a</v>
      </c>
      <c r="D58" s="16" t="str">
        <f t="shared" si="6"/>
        <v>n/a</v>
      </c>
      <c r="E58" s="16" t="str">
        <f t="shared" si="6"/>
        <v>n/a</v>
      </c>
      <c r="F58" s="16">
        <f t="shared" si="6"/>
        <v>0.0005486968449930352</v>
      </c>
      <c r="G58" s="16">
        <f t="shared" si="6"/>
        <v>0.009123385545479534</v>
      </c>
      <c r="H58" s="51" t="str">
        <f t="shared" si="10"/>
        <v>n/a</v>
      </c>
      <c r="I58" s="1"/>
      <c r="J58" s="16"/>
      <c r="K58" s="16"/>
      <c r="L58" s="16"/>
      <c r="M58" s="16"/>
      <c r="N58" s="16"/>
      <c r="O58" s="1"/>
      <c r="P58" s="49"/>
    </row>
    <row r="59" ht="15" customHeight="1">
      <c r="A59" s="1"/>
      <c r="B59" s="53" t="s">
        <v>118</v>
      </c>
      <c r="C59" s="67" t="str">
        <f t="shared" si="7"/>
        <v>n/a</v>
      </c>
      <c r="D59" s="67" t="str">
        <f t="shared" si="4"/>
        <v>n/a</v>
      </c>
      <c r="E59" s="71" t="s">
        <v>15</v>
      </c>
      <c r="F59" s="67" t="str">
        <f t="shared" si="8"/>
        <v>n/a</v>
      </c>
      <c r="G59" s="67">
        <f t="shared" si="4"/>
        <v>126</v>
      </c>
      <c r="H59" s="68">
        <f t="shared" si="4"/>
        <v>80</v>
      </c>
      <c r="I59" s="1"/>
      <c r="J59" s="67"/>
      <c r="K59" s="67"/>
      <c r="L59" s="67"/>
      <c r="M59" s="67"/>
      <c r="N59" s="67"/>
      <c r="O59" s="1"/>
      <c r="P59" s="49"/>
    </row>
    <row r="60" ht="15" customHeight="1">
      <c r="A60" s="1"/>
      <c r="B60" s="65" t="s">
        <v>163</v>
      </c>
      <c r="C60" s="67" t="str">
        <f t="shared" si="24"/>
        <v>n/a</v>
      </c>
      <c r="D60" s="67" t="str">
        <f t="shared" si="24"/>
        <v>n/a</v>
      </c>
      <c r="E60" s="67" t="str">
        <f t="shared" si="29"/>
        <v>n/a</v>
      </c>
      <c r="F60" s="67" t="str">
        <f t="shared" si="24"/>
        <v>n/a</v>
      </c>
      <c r="G60" s="67">
        <f t="shared" si="24"/>
        <v>18298</v>
      </c>
      <c r="H60" s="68">
        <f t="shared" si="24"/>
        <v>18401</v>
      </c>
      <c r="I60" s="1"/>
      <c r="J60" s="67"/>
      <c r="K60" s="67"/>
      <c r="L60" s="67"/>
      <c r="M60" s="67"/>
      <c r="N60" s="67"/>
      <c r="O60" s="1"/>
      <c r="P60" s="49"/>
    </row>
    <row r="61" ht="15" customHeight="1">
      <c r="A61" s="1"/>
      <c r="B61" s="50" t="s">
        <v>115</v>
      </c>
      <c r="C61" s="16" t="str">
        <f t="shared" si="6"/>
        <v>n/a</v>
      </c>
      <c r="D61" s="16" t="str">
        <f t="shared" si="6"/>
        <v>n/a</v>
      </c>
      <c r="E61" s="16" t="str">
        <f t="shared" si="6"/>
        <v>n/a</v>
      </c>
      <c r="F61" s="16" t="str">
        <f t="shared" si="6"/>
        <v>n/a</v>
      </c>
      <c r="G61" s="16" t="str">
        <f t="shared" si="6"/>
        <v>n/a</v>
      </c>
      <c r="H61" s="51" t="str">
        <f t="shared" si="10"/>
        <v>n/a</v>
      </c>
      <c r="I61" s="1"/>
      <c r="J61" s="16"/>
      <c r="K61" s="16"/>
      <c r="L61" s="16"/>
      <c r="M61" s="16"/>
      <c r="N61" s="16"/>
      <c r="O61" s="1"/>
      <c r="P61" s="49"/>
    </row>
    <row r="62" ht="15" customHeight="1">
      <c r="A62" s="1"/>
      <c r="B62" s="53" t="s">
        <v>118</v>
      </c>
      <c r="C62" s="67" t="str">
        <f t="shared" si="7"/>
        <v>n/a</v>
      </c>
      <c r="D62" s="67" t="str">
        <f t="shared" si="4"/>
        <v>n/a</v>
      </c>
      <c r="E62" s="71" t="s">
        <v>15</v>
      </c>
      <c r="F62" s="67" t="str">
        <f t="shared" si="8"/>
        <v>n/a</v>
      </c>
      <c r="G62" s="67" t="str">
        <f t="shared" si="4"/>
        <v>n/a</v>
      </c>
      <c r="H62" s="68">
        <f t="shared" si="4"/>
        <v>103</v>
      </c>
      <c r="I62" s="1"/>
      <c r="J62" s="67"/>
      <c r="K62" s="67"/>
      <c r="L62" s="67"/>
      <c r="M62" s="67"/>
      <c r="N62" s="67"/>
      <c r="O62" s="1"/>
      <c r="P62" s="49"/>
    </row>
    <row r="63" ht="15" customHeight="1">
      <c r="A63" s="1"/>
      <c r="B63" s="3" t="s">
        <v>164</v>
      </c>
      <c r="C63" s="1"/>
      <c r="D63" s="1"/>
      <c r="E63" s="1"/>
      <c r="F63" s="1"/>
      <c r="G63" s="1"/>
      <c r="H63" s="48"/>
      <c r="I63" s="1"/>
      <c r="J63" s="1"/>
      <c r="K63" s="1"/>
      <c r="L63" s="1"/>
      <c r="M63" s="1"/>
      <c r="N63" s="1"/>
      <c r="O63" s="1"/>
      <c r="P63" s="49"/>
    </row>
    <row r="64" ht="15" customHeight="1">
      <c r="A64" s="1"/>
      <c r="B64" s="72" t="s">
        <v>165</v>
      </c>
      <c r="C64" s="74" t="str">
        <f t="shared" si="30" ref="C64:N64">IF(AND(ISNUMBER(C15),ISNUMBER(C36)),C15+C36,"n/a")</f>
        <v>n/a</v>
      </c>
      <c r="D64" s="74" t="str">
        <f t="shared" si="30"/>
        <v>n/a</v>
      </c>
      <c r="E64" s="74" t="str">
        <f t="shared" si="30"/>
        <v>n/a</v>
      </c>
      <c r="F64" s="74">
        <f t="shared" si="30"/>
        <v>91057</v>
      </c>
      <c r="G64" s="74">
        <f t="shared" si="30"/>
        <v>91439</v>
      </c>
      <c r="H64" s="75">
        <f t="shared" si="30"/>
        <v>91789</v>
      </c>
      <c r="I64" s="1"/>
      <c r="J64" s="74" t="str">
        <f t="shared" si="30"/>
        <v>n/a</v>
      </c>
      <c r="K64" s="74" t="str">
        <f t="shared" si="30"/>
        <v>n/a</v>
      </c>
      <c r="L64" s="74" t="str">
        <f t="shared" si="30"/>
        <v>n/a</v>
      </c>
      <c r="M64" s="74">
        <f t="shared" si="30"/>
        <v>90193</v>
      </c>
      <c r="N64" s="74">
        <f t="shared" si="30"/>
        <v>90501</v>
      </c>
      <c r="O64" s="1"/>
      <c r="P64" s="49"/>
    </row>
    <row r="65" ht="15" customHeight="1">
      <c r="A65" s="1"/>
      <c r="B65" s="50" t="s">
        <v>115</v>
      </c>
      <c r="C65" s="16" t="str">
        <f t="shared" si="6"/>
        <v>n/a</v>
      </c>
      <c r="D65" s="16" t="str">
        <f t="shared" si="6"/>
        <v>n/a</v>
      </c>
      <c r="E65" s="16" t="str">
        <f t="shared" si="6"/>
        <v>n/a</v>
      </c>
      <c r="F65" s="16">
        <f t="shared" si="6"/>
        <v>0.009579457385828105</v>
      </c>
      <c r="G65" s="16">
        <f t="shared" si="6"/>
        <v>0.010364526358824788</v>
      </c>
      <c r="H65" s="51" t="str">
        <f t="shared" si="10"/>
        <v>n/a</v>
      </c>
      <c r="I65" s="1"/>
      <c r="J65" s="16"/>
      <c r="K65" s="16"/>
      <c r="L65" s="16"/>
      <c r="M65" s="16"/>
      <c r="N65" s="16"/>
      <c r="O65" s="1"/>
      <c r="P65" s="49"/>
    </row>
    <row r="66" ht="15" customHeight="1">
      <c r="A66" s="1"/>
      <c r="B66" s="53" t="s">
        <v>118</v>
      </c>
      <c r="C66" s="67" t="str">
        <f t="shared" si="7"/>
        <v>n/a</v>
      </c>
      <c r="D66" s="67" t="str">
        <f t="shared" si="4"/>
        <v>n/a</v>
      </c>
      <c r="E66" s="71" t="s">
        <v>15</v>
      </c>
      <c r="F66" s="67" t="str">
        <f t="shared" si="8"/>
        <v>n/a</v>
      </c>
      <c r="G66" s="67">
        <f t="shared" si="4"/>
        <v>382</v>
      </c>
      <c r="H66" s="68">
        <f t="shared" si="4"/>
        <v>350</v>
      </c>
      <c r="I66" s="1"/>
      <c r="J66" s="67"/>
      <c r="K66" s="67"/>
      <c r="L66" s="67"/>
      <c r="M66" s="67"/>
      <c r="N66" s="67"/>
      <c r="O66" s="1"/>
      <c r="P66" s="49"/>
    </row>
    <row r="67" ht="15" customHeight="1">
      <c r="A67" s="1"/>
      <c r="B67" s="3" t="s">
        <v>166</v>
      </c>
      <c r="C67" s="74" t="str">
        <f t="shared" si="31" ref="C67:N67">IF(AND(ISNUMBER(C64),ISNUMBER(C57)),C64+C57,"n/a")</f>
        <v>n/a</v>
      </c>
      <c r="D67" s="74" t="str">
        <f t="shared" si="31"/>
        <v>n/a</v>
      </c>
      <c r="E67" s="74" t="str">
        <f t="shared" si="31"/>
        <v>n/a</v>
      </c>
      <c r="F67" s="74">
        <f t="shared" si="31"/>
        <v>109292</v>
      </c>
      <c r="G67" s="74">
        <f t="shared" si="31"/>
        <v>109800</v>
      </c>
      <c r="H67" s="75">
        <f t="shared" si="31"/>
        <v>110230</v>
      </c>
      <c r="I67" s="1"/>
      <c r="J67" s="74" t="str">
        <f t="shared" si="31"/>
        <v>n/a</v>
      </c>
      <c r="K67" s="74" t="str">
        <f t="shared" si="31"/>
        <v>n/a</v>
      </c>
      <c r="L67" s="74" t="str">
        <f t="shared" si="31"/>
        <v>n/a</v>
      </c>
      <c r="M67" s="74">
        <f t="shared" si="31"/>
        <v>108418</v>
      </c>
      <c r="N67" s="74">
        <f t="shared" si="31"/>
        <v>108696</v>
      </c>
      <c r="O67" s="1"/>
      <c r="P67" s="49"/>
    </row>
    <row r="68" ht="15" customHeight="1">
      <c r="A68" s="1"/>
      <c r="B68" s="50" t="s">
        <v>115</v>
      </c>
      <c r="C68" s="16" t="str">
        <f t="shared" si="6"/>
        <v>n/a</v>
      </c>
      <c r="D68" s="16" t="str">
        <f t="shared" si="6"/>
        <v>n/a</v>
      </c>
      <c r="E68" s="16" t="str">
        <f t="shared" si="6"/>
        <v>n/a</v>
      </c>
      <c r="F68" s="16">
        <f t="shared" si="6"/>
        <v>0.008061392019775404</v>
      </c>
      <c r="G68" s="16">
        <f t="shared" si="6"/>
        <v>0.010156767498344044</v>
      </c>
      <c r="H68" s="51" t="str">
        <f t="shared" si="10"/>
        <v>n/a</v>
      </c>
      <c r="I68" s="1"/>
      <c r="J68" s="16"/>
      <c r="K68" s="16"/>
      <c r="L68" s="16"/>
      <c r="M68" s="16"/>
      <c r="N68" s="16"/>
      <c r="O68" s="1"/>
      <c r="P68" s="49"/>
    </row>
    <row r="69" ht="15" customHeight="1">
      <c r="A69" s="1"/>
      <c r="B69" s="53" t="s">
        <v>118</v>
      </c>
      <c r="C69" s="67" t="str">
        <f t="shared" si="7"/>
        <v>n/a</v>
      </c>
      <c r="D69" s="67" t="str">
        <f t="shared" si="4"/>
        <v>n/a</v>
      </c>
      <c r="E69" s="71" t="s">
        <v>15</v>
      </c>
      <c r="F69" s="67" t="str">
        <f t="shared" si="8"/>
        <v>n/a</v>
      </c>
      <c r="G69" s="67">
        <f t="shared" si="4"/>
        <v>508</v>
      </c>
      <c r="H69" s="68">
        <f t="shared" si="4"/>
        <v>430</v>
      </c>
      <c r="I69" s="1"/>
      <c r="J69" s="67"/>
      <c r="K69" s="67"/>
      <c r="L69" s="67"/>
      <c r="M69" s="67"/>
      <c r="N69" s="67"/>
      <c r="O69" s="1"/>
      <c r="P69" s="49"/>
    </row>
    <row r="70" ht="15" customHeight="1">
      <c r="A70" s="1"/>
      <c r="B70" s="76" t="s">
        <v>167</v>
      </c>
      <c r="C70" s="16" t="str">
        <f t="shared" si="32" ref="C70:N70">IF(ISNUMBER(C64),C15/C64,"n/a")</f>
        <v>n/a</v>
      </c>
      <c r="D70" s="16" t="str">
        <f t="shared" si="32"/>
        <v>n/a</v>
      </c>
      <c r="E70" s="16" t="str">
        <f t="shared" si="32"/>
        <v>n/a</v>
      </c>
      <c r="F70" s="16">
        <f t="shared" si="32"/>
        <v>0.8182017856946747</v>
      </c>
      <c r="G70" s="16">
        <f t="shared" si="32"/>
        <v>0.819354979822614</v>
      </c>
      <c r="H70" s="51">
        <f t="shared" si="32"/>
        <v>0.8203706326466135</v>
      </c>
      <c r="I70" s="1"/>
      <c r="J70" s="16" t="str">
        <f t="shared" si="32"/>
        <v>n/a</v>
      </c>
      <c r="K70" s="16" t="str">
        <f t="shared" si="32"/>
        <v>n/a</v>
      </c>
      <c r="L70" s="16" t="str">
        <f t="shared" si="32"/>
        <v>n/a</v>
      </c>
      <c r="M70" s="16">
        <f t="shared" si="32"/>
        <v>0.8097191578060382</v>
      </c>
      <c r="N70" s="16">
        <f t="shared" si="32"/>
        <v>0.8111291587938255</v>
      </c>
      <c r="O70" s="1"/>
      <c r="P70" s="49"/>
    </row>
    <row r="71" ht="15" customHeight="1">
      <c r="A71" s="1"/>
      <c r="B71" s="50" t="s">
        <v>149</v>
      </c>
      <c r="C71" s="77" t="str">
        <f t="shared" si="11"/>
        <v>n/a</v>
      </c>
      <c r="D71" s="77" t="str">
        <f t="shared" si="11"/>
        <v>n/a</v>
      </c>
      <c r="E71" s="77" t="str">
        <f t="shared" si="11"/>
        <v>n/a</v>
      </c>
      <c r="F71" s="77">
        <f t="shared" si="11"/>
        <v>84.82627888636517</v>
      </c>
      <c r="G71" s="77">
        <f t="shared" si="11"/>
        <v>82.25821028788438</v>
      </c>
      <c r="H71" s="78" t="str">
        <f t="shared" si="25"/>
        <v>n/a</v>
      </c>
      <c r="I71" s="1"/>
      <c r="J71" s="77"/>
      <c r="K71" s="77"/>
      <c r="L71" s="77"/>
      <c r="M71" s="77"/>
      <c r="N71" s="77"/>
      <c r="O71" s="1"/>
      <c r="P71" s="49"/>
    </row>
    <row r="72" ht="15" customHeight="1">
      <c r="A72" s="1"/>
      <c r="B72" s="50" t="s">
        <v>150</v>
      </c>
      <c r="C72" s="77" t="str">
        <f t="shared" si="26"/>
        <v>n/a</v>
      </c>
      <c r="D72" s="77" t="str">
        <f t="shared" si="12"/>
        <v>n/a</v>
      </c>
      <c r="E72" s="79" t="s">
        <v>15</v>
      </c>
      <c r="F72" s="77" t="str">
        <f t="shared" si="27"/>
        <v>n/a</v>
      </c>
      <c r="G72" s="77">
        <f t="shared" si="12"/>
        <v>11.531941279392388</v>
      </c>
      <c r="H72" s="78">
        <f t="shared" si="12"/>
        <v>10.156528239995133</v>
      </c>
      <c r="I72" s="1"/>
      <c r="J72" s="77"/>
      <c r="K72" s="77"/>
      <c r="L72" s="77"/>
      <c r="M72" s="77"/>
      <c r="N72" s="77"/>
      <c r="O72" s="1"/>
      <c r="P72" s="49"/>
    </row>
    <row r="73" ht="15" customHeight="1">
      <c r="A73" s="1"/>
      <c r="B73" s="3" t="s">
        <v>168</v>
      </c>
      <c r="C73" s="1"/>
      <c r="D73" s="1"/>
      <c r="E73" s="1"/>
      <c r="F73" s="1"/>
      <c r="G73" s="1"/>
      <c r="H73" s="48"/>
      <c r="I73" s="1"/>
      <c r="J73" s="1"/>
      <c r="K73" s="1"/>
      <c r="L73" s="1"/>
      <c r="M73" s="1"/>
      <c r="N73" s="1"/>
      <c r="O73" s="1"/>
      <c r="P73" s="49"/>
    </row>
    <row r="74" ht="15" customHeight="1">
      <c r="A74" s="1"/>
      <c r="B74" s="3" t="s">
        <v>169</v>
      </c>
      <c r="C74" s="1"/>
      <c r="D74" s="1"/>
      <c r="E74" s="1"/>
      <c r="F74" s="1"/>
      <c r="G74" s="1"/>
      <c r="H74" s="48"/>
      <c r="I74" s="1"/>
      <c r="J74" s="1"/>
      <c r="K74" s="1"/>
      <c r="L74" s="1"/>
      <c r="M74" s="1"/>
      <c r="N74" s="1"/>
      <c r="O74" s="1"/>
      <c r="P74" s="49"/>
    </row>
    <row r="75" ht="15" customHeight="1">
      <c r="A75" s="1"/>
      <c r="B75" s="63" t="s">
        <v>170</v>
      </c>
      <c r="C75" s="67">
        <f t="shared" si="15"/>
        <v>9835</v>
      </c>
      <c r="D75" s="67">
        <f t="shared" si="2"/>
        <v>10123</v>
      </c>
      <c r="E75" s="67">
        <f t="shared" si="16"/>
        <v>9331</v>
      </c>
      <c r="F75" s="67">
        <f t="shared" si="17"/>
        <v>10406</v>
      </c>
      <c r="G75" s="67">
        <f t="shared" si="2"/>
        <v>11800</v>
      </c>
      <c r="H75" s="68">
        <f t="shared" si="2"/>
        <v>12144</v>
      </c>
      <c r="I75" s="1"/>
      <c r="J75" s="67"/>
      <c r="K75" s="67"/>
      <c r="L75" s="67"/>
      <c r="M75" s="67"/>
      <c r="N75" s="67"/>
      <c r="O75" s="1"/>
      <c r="P75" s="49"/>
    </row>
    <row r="76" ht="15" customHeight="1">
      <c r="A76" s="1"/>
      <c r="B76" s="63" t="s">
        <v>171</v>
      </c>
      <c r="C76" s="69">
        <v>288</v>
      </c>
      <c r="D76" s="69">
        <v>283</v>
      </c>
      <c r="E76" s="67">
        <f t="shared" si="18"/>
        <v>1075</v>
      </c>
      <c r="F76" s="69">
        <v>273</v>
      </c>
      <c r="G76" s="69">
        <v>344</v>
      </c>
      <c r="H76" s="70">
        <v>365</v>
      </c>
      <c r="I76" s="1"/>
      <c r="J76" s="69">
        <v>226</v>
      </c>
      <c r="K76" s="69">
        <v>307</v>
      </c>
      <c r="L76" s="69">
        <v>1024</v>
      </c>
      <c r="M76" s="69">
        <v>261</v>
      </c>
      <c r="N76" s="69">
        <v>243</v>
      </c>
      <c r="O76" s="1"/>
      <c r="P76" s="49"/>
    </row>
    <row r="77" ht="15" customHeight="1">
      <c r="A77" s="1"/>
      <c r="B77" s="53" t="s">
        <v>144</v>
      </c>
      <c r="C77" s="67">
        <f t="shared" si="3"/>
        <v>62</v>
      </c>
      <c r="D77" s="67">
        <f t="shared" si="3"/>
        <v>-24</v>
      </c>
      <c r="E77" s="67">
        <f t="shared" si="3"/>
        <v>51</v>
      </c>
      <c r="F77" s="67">
        <f t="shared" si="3"/>
        <v>12</v>
      </c>
      <c r="G77" s="67">
        <f t="shared" si="3"/>
        <v>101</v>
      </c>
      <c r="H77" s="68">
        <f t="shared" si="19"/>
        <v>77</v>
      </c>
      <c r="I77" s="1"/>
      <c r="J77" s="67"/>
      <c r="K77" s="67"/>
      <c r="L77" s="67"/>
      <c r="M77" s="67"/>
      <c r="N77" s="67"/>
      <c r="O77" s="1"/>
      <c r="P77" s="49"/>
    </row>
    <row r="78" ht="15" customHeight="1">
      <c r="A78" s="1"/>
      <c r="B78" s="53" t="s">
        <v>118</v>
      </c>
      <c r="C78" s="67">
        <f t="shared" si="7"/>
        <v>45</v>
      </c>
      <c r="D78" s="67">
        <f t="shared" si="4"/>
        <v>-5</v>
      </c>
      <c r="E78" s="71" t="s">
        <v>15</v>
      </c>
      <c r="F78" s="67">
        <f t="shared" si="8"/>
        <v>-10</v>
      </c>
      <c r="G78" s="67">
        <f t="shared" si="4"/>
        <v>71</v>
      </c>
      <c r="H78" s="68">
        <f t="shared" si="4"/>
        <v>21</v>
      </c>
      <c r="I78" s="1"/>
      <c r="J78" s="67"/>
      <c r="K78" s="67"/>
      <c r="L78" s="67"/>
      <c r="M78" s="67"/>
      <c r="N78" s="67"/>
      <c r="O78" s="1"/>
      <c r="P78" s="49"/>
    </row>
    <row r="79" ht="15" customHeight="1">
      <c r="A79" s="1"/>
      <c r="B79" s="63" t="s">
        <v>172</v>
      </c>
      <c r="C79" s="67">
        <f t="shared" si="5"/>
        <v>0</v>
      </c>
      <c r="D79" s="67">
        <f t="shared" si="5"/>
        <v>0</v>
      </c>
      <c r="E79" s="67">
        <f t="shared" si="5"/>
        <v>0</v>
      </c>
      <c r="F79" s="67">
        <f t="shared" si="5"/>
        <v>1121</v>
      </c>
      <c r="G79" s="67">
        <f t="shared" si="5"/>
        <v>0</v>
      </c>
      <c r="H79" s="70">
        <v>0</v>
      </c>
      <c r="I79" s="1"/>
      <c r="J79" s="67"/>
      <c r="K79" s="67"/>
      <c r="L79" s="67"/>
      <c r="M79" s="67"/>
      <c r="N79" s="67"/>
      <c r="O79" s="1"/>
      <c r="P79" s="49"/>
    </row>
    <row r="80" ht="15" customHeight="1">
      <c r="A80" s="1"/>
      <c r="B80" s="3" t="s">
        <v>173</v>
      </c>
      <c r="C80" s="73">
        <v>10123</v>
      </c>
      <c r="D80" s="73">
        <v>10406</v>
      </c>
      <c r="E80" s="74">
        <f t="shared" si="21"/>
        <v>10406</v>
      </c>
      <c r="F80" s="73">
        <v>11800</v>
      </c>
      <c r="G80" s="73">
        <v>12144</v>
      </c>
      <c r="H80" s="75">
        <f t="shared" si="22"/>
        <v>12509</v>
      </c>
      <c r="I80" s="1"/>
      <c r="J80" s="73">
        <v>9024</v>
      </c>
      <c r="K80" s="73">
        <v>9331</v>
      </c>
      <c r="L80" s="74">
        <f t="shared" si="23"/>
        <v>9331</v>
      </c>
      <c r="M80" s="73">
        <v>9592</v>
      </c>
      <c r="N80" s="73">
        <v>9835</v>
      </c>
      <c r="O80" s="1"/>
      <c r="P80" s="49"/>
    </row>
    <row r="81" ht="15" customHeight="1">
      <c r="A81" s="1"/>
      <c r="B81" s="50" t="s">
        <v>115</v>
      </c>
      <c r="C81" s="16">
        <f t="shared" si="6"/>
        <v>0.12178634751773054</v>
      </c>
      <c r="D81" s="16">
        <f t="shared" si="6"/>
        <v>0.11520737327188946</v>
      </c>
      <c r="E81" s="16">
        <f t="shared" si="6"/>
        <v>0.11520737327188946</v>
      </c>
      <c r="F81" s="16">
        <f t="shared" si="6"/>
        <v>0.23019182652210168</v>
      </c>
      <c r="G81" s="16">
        <f t="shared" si="6"/>
        <v>0.23477376715810871</v>
      </c>
      <c r="H81" s="51">
        <f t="shared" si="10"/>
        <v>0.235700879186012</v>
      </c>
      <c r="I81" s="1"/>
      <c r="J81" s="16"/>
      <c r="K81" s="16"/>
      <c r="L81" s="16"/>
      <c r="M81" s="16"/>
      <c r="N81" s="16"/>
      <c r="O81" s="1"/>
      <c r="P81" s="49"/>
    </row>
    <row r="82" ht="15" customHeight="1">
      <c r="A82" s="1"/>
      <c r="B82" s="53" t="s">
        <v>118</v>
      </c>
      <c r="C82" s="67">
        <f t="shared" si="7"/>
        <v>288</v>
      </c>
      <c r="D82" s="67">
        <f t="shared" si="4"/>
        <v>283</v>
      </c>
      <c r="E82" s="71" t="s">
        <v>15</v>
      </c>
      <c r="F82" s="67">
        <f t="shared" si="8"/>
        <v>1394</v>
      </c>
      <c r="G82" s="67">
        <f t="shared" si="4"/>
        <v>344</v>
      </c>
      <c r="H82" s="68">
        <f t="shared" si="4"/>
        <v>365</v>
      </c>
      <c r="I82" s="1"/>
      <c r="J82" s="67"/>
      <c r="K82" s="67"/>
      <c r="L82" s="67"/>
      <c r="M82" s="67"/>
      <c r="N82" s="67"/>
      <c r="O82" s="1"/>
      <c r="P82" s="49"/>
    </row>
    <row r="83" ht="15" customHeight="1">
      <c r="A83" s="1"/>
      <c r="B83" s="63" t="s">
        <v>174</v>
      </c>
      <c r="C83" s="67">
        <f t="shared" si="9"/>
        <v>9979</v>
      </c>
      <c r="D83" s="67">
        <f t="shared" si="9"/>
        <v>10264.5</v>
      </c>
      <c r="E83" s="67">
        <f t="shared" si="33"/>
        <v>9868.5</v>
      </c>
      <c r="F83" s="67">
        <f t="shared" si="9"/>
        <v>11103</v>
      </c>
      <c r="G83" s="67">
        <f t="shared" si="9"/>
        <v>11972</v>
      </c>
      <c r="H83" s="68">
        <f t="shared" si="9"/>
        <v>12326.5</v>
      </c>
      <c r="I83" s="1"/>
      <c r="J83" s="67"/>
      <c r="K83" s="67"/>
      <c r="L83" s="67"/>
      <c r="M83" s="67"/>
      <c r="N83" s="67"/>
      <c r="O83" s="1"/>
      <c r="P83" s="49"/>
    </row>
    <row r="84" ht="15" customHeight="1">
      <c r="A84" s="1"/>
      <c r="B84" s="50" t="s">
        <v>115</v>
      </c>
      <c r="C84" s="16" t="str">
        <f t="shared" si="6"/>
        <v>n/a</v>
      </c>
      <c r="D84" s="16" t="str">
        <f t="shared" si="6"/>
        <v>n/a</v>
      </c>
      <c r="E84" s="16" t="str">
        <f t="shared" si="6"/>
        <v>n/a</v>
      </c>
      <c r="F84" s="16" t="str">
        <f t="shared" si="6"/>
        <v>n/a</v>
      </c>
      <c r="G84" s="16" t="str">
        <f t="shared" si="6"/>
        <v>n/a</v>
      </c>
      <c r="H84" s="51">
        <f t="shared" si="10"/>
        <v>0.23524401242609483</v>
      </c>
      <c r="I84" s="1"/>
      <c r="J84" s="16"/>
      <c r="K84" s="16"/>
      <c r="L84" s="16"/>
      <c r="M84" s="16"/>
      <c r="N84" s="16"/>
      <c r="O84" s="1"/>
      <c r="P84" s="49"/>
    </row>
    <row r="85" ht="15" customHeight="1">
      <c r="A85" s="1"/>
      <c r="B85" s="53" t="s">
        <v>118</v>
      </c>
      <c r="C85" s="67" t="str">
        <f t="shared" si="7"/>
        <v>n/a</v>
      </c>
      <c r="D85" s="67">
        <f t="shared" si="4"/>
        <v>285.5</v>
      </c>
      <c r="E85" s="71" t="s">
        <v>15</v>
      </c>
      <c r="F85" s="67">
        <f t="shared" si="8"/>
        <v>838.5</v>
      </c>
      <c r="G85" s="67">
        <f t="shared" si="4"/>
        <v>869</v>
      </c>
      <c r="H85" s="68">
        <f t="shared" si="4"/>
        <v>354.5</v>
      </c>
      <c r="I85" s="1"/>
      <c r="J85" s="67"/>
      <c r="K85" s="67"/>
      <c r="L85" s="67"/>
      <c r="M85" s="67"/>
      <c r="N85" s="67"/>
      <c r="O85" s="1"/>
      <c r="P85" s="49"/>
    </row>
    <row r="86" ht="15" customHeight="1">
      <c r="A86" s="1"/>
      <c r="B86" s="3" t="s">
        <v>175</v>
      </c>
      <c r="C86" s="1"/>
      <c r="D86" s="1"/>
      <c r="E86" s="1"/>
      <c r="F86" s="1"/>
      <c r="G86" s="1"/>
      <c r="H86" s="48"/>
      <c r="I86" s="1"/>
      <c r="J86" s="1"/>
      <c r="K86" s="1"/>
      <c r="L86" s="1"/>
      <c r="M86" s="1"/>
      <c r="N86" s="1"/>
      <c r="O86" s="1"/>
      <c r="P86" s="49"/>
    </row>
    <row r="87" ht="15" customHeight="1">
      <c r="A87" s="1"/>
      <c r="B87" s="63" t="s">
        <v>176</v>
      </c>
      <c r="C87" s="67">
        <f t="shared" si="15"/>
        <v>1006</v>
      </c>
      <c r="D87" s="67">
        <f t="shared" si="2"/>
        <v>1276</v>
      </c>
      <c r="E87" s="67" t="str">
        <f t="shared" si="16"/>
        <v>n/a</v>
      </c>
      <c r="F87" s="67">
        <f t="shared" si="17"/>
        <v>1497</v>
      </c>
      <c r="G87" s="67">
        <f t="shared" si="2"/>
        <v>1736</v>
      </c>
      <c r="H87" s="68">
        <f t="shared" si="2"/>
        <v>1951</v>
      </c>
      <c r="I87" s="1"/>
      <c r="J87" s="67"/>
      <c r="K87" s="67"/>
      <c r="L87" s="67"/>
      <c r="M87" s="67"/>
      <c r="N87" s="67"/>
      <c r="O87" s="1"/>
      <c r="P87" s="49"/>
    </row>
    <row r="88" ht="15" customHeight="1">
      <c r="A88" s="1"/>
      <c r="B88" s="63" t="s">
        <v>177</v>
      </c>
      <c r="C88" s="69">
        <v>270</v>
      </c>
      <c r="D88" s="69">
        <v>221</v>
      </c>
      <c r="E88" s="67">
        <f t="shared" si="18"/>
        <v>875</v>
      </c>
      <c r="F88" s="69">
        <v>239</v>
      </c>
      <c r="G88" s="69">
        <v>215</v>
      </c>
      <c r="H88" s="70">
        <v>220</v>
      </c>
      <c r="I88" s="1"/>
      <c r="J88" s="69">
        <v>135</v>
      </c>
      <c r="K88" s="69">
        <v>157</v>
      </c>
      <c r="L88" s="71" t="s">
        <v>15</v>
      </c>
      <c r="M88" s="69">
        <v>181</v>
      </c>
      <c r="N88" s="69">
        <v>203</v>
      </c>
      <c r="O88" s="1"/>
      <c r="P88" s="49"/>
    </row>
    <row r="89" ht="15" customHeight="1">
      <c r="A89" s="1"/>
      <c r="B89" s="53" t="s">
        <v>144</v>
      </c>
      <c r="C89" s="67">
        <f t="shared" si="3"/>
        <v>135</v>
      </c>
      <c r="D89" s="67">
        <f t="shared" si="3"/>
        <v>64</v>
      </c>
      <c r="E89" s="67" t="str">
        <f t="shared" si="3"/>
        <v>n/a</v>
      </c>
      <c r="F89" s="67">
        <f t="shared" si="3"/>
        <v>58</v>
      </c>
      <c r="G89" s="67">
        <f t="shared" si="3"/>
        <v>12</v>
      </c>
      <c r="H89" s="68">
        <f t="shared" si="19"/>
        <v>-50</v>
      </c>
      <c r="I89" s="1"/>
      <c r="J89" s="67"/>
      <c r="K89" s="67"/>
      <c r="L89" s="67"/>
      <c r="M89" s="67"/>
      <c r="N89" s="67"/>
      <c r="O89" s="1"/>
      <c r="P89" s="49"/>
    </row>
    <row r="90" ht="15" customHeight="1">
      <c r="A90" s="1"/>
      <c r="B90" s="53" t="s">
        <v>118</v>
      </c>
      <c r="C90" s="67">
        <f t="shared" si="7"/>
        <v>67</v>
      </c>
      <c r="D90" s="67">
        <f t="shared" si="4"/>
        <v>-49</v>
      </c>
      <c r="E90" s="71" t="s">
        <v>15</v>
      </c>
      <c r="F90" s="67">
        <f t="shared" si="8"/>
        <v>18</v>
      </c>
      <c r="G90" s="67">
        <f t="shared" si="4"/>
        <v>-24</v>
      </c>
      <c r="H90" s="68">
        <f t="shared" si="4"/>
        <v>5</v>
      </c>
      <c r="I90" s="1"/>
      <c r="J90" s="67"/>
      <c r="K90" s="67"/>
      <c r="L90" s="67"/>
      <c r="M90" s="67"/>
      <c r="N90" s="67"/>
      <c r="O90" s="1"/>
      <c r="P90" s="49"/>
    </row>
    <row r="91" ht="15" customHeight="1">
      <c r="A91" s="1"/>
      <c r="B91" s="63" t="s">
        <v>178</v>
      </c>
      <c r="C91" s="69">
        <v>0</v>
      </c>
      <c r="D91" s="69">
        <v>0</v>
      </c>
      <c r="E91" s="71" t="s">
        <v>15</v>
      </c>
      <c r="F91" s="67">
        <f t="shared" si="5"/>
        <v>0</v>
      </c>
      <c r="G91" s="67">
        <f t="shared" si="5"/>
        <v>0</v>
      </c>
      <c r="H91" s="70">
        <v>0</v>
      </c>
      <c r="I91" s="1"/>
      <c r="J91" s="67"/>
      <c r="K91" s="67"/>
      <c r="L91" s="67"/>
      <c r="M91" s="67"/>
      <c r="N91" s="67"/>
      <c r="O91" s="1"/>
      <c r="P91" s="49"/>
    </row>
    <row r="92" ht="15" customHeight="1">
      <c r="A92" s="1"/>
      <c r="B92" s="3" t="s">
        <v>179</v>
      </c>
      <c r="C92" s="74">
        <f t="shared" si="34" ref="C92:D92">C87+C88</f>
        <v>1276</v>
      </c>
      <c r="D92" s="74">
        <f t="shared" si="34"/>
        <v>1497</v>
      </c>
      <c r="E92" s="74">
        <f t="shared" si="21"/>
        <v>1497</v>
      </c>
      <c r="F92" s="73">
        <v>1736</v>
      </c>
      <c r="G92" s="73">
        <v>1951</v>
      </c>
      <c r="H92" s="75">
        <f t="shared" si="22"/>
        <v>2171</v>
      </c>
      <c r="I92" s="1"/>
      <c r="J92" s="80" t="s">
        <v>15</v>
      </c>
      <c r="K92" s="80" t="s">
        <v>15</v>
      </c>
      <c r="L92" s="74" t="str">
        <f t="shared" si="23"/>
        <v>n/a</v>
      </c>
      <c r="M92" s="73">
        <v>803</v>
      </c>
      <c r="N92" s="73">
        <v>1006</v>
      </c>
      <c r="O92" s="1"/>
      <c r="P92" s="49" t="s">
        <v>180</v>
      </c>
    </row>
    <row r="93" ht="15" customHeight="1">
      <c r="A93" s="1"/>
      <c r="B93" s="50" t="s">
        <v>115</v>
      </c>
      <c r="C93" s="16" t="str">
        <f t="shared" si="6"/>
        <v>n/a</v>
      </c>
      <c r="D93" s="16" t="str">
        <f t="shared" si="6"/>
        <v>n/a</v>
      </c>
      <c r="E93" s="16" t="str">
        <f t="shared" si="6"/>
        <v>n/a</v>
      </c>
      <c r="F93" s="16">
        <f t="shared" si="6"/>
        <v>1.1618929016189292</v>
      </c>
      <c r="G93" s="16">
        <f t="shared" si="6"/>
        <v>0.9393638170974155</v>
      </c>
      <c r="H93" s="51">
        <f t="shared" si="10"/>
        <v>0.7014106583072099</v>
      </c>
      <c r="I93" s="1"/>
      <c r="J93" s="16"/>
      <c r="K93" s="16"/>
      <c r="L93" s="16"/>
      <c r="M93" s="16"/>
      <c r="N93" s="16"/>
      <c r="O93" s="1"/>
      <c r="P93" s="49"/>
    </row>
    <row r="94" ht="15" customHeight="1">
      <c r="A94" s="1"/>
      <c r="B94" s="53" t="s">
        <v>118</v>
      </c>
      <c r="C94" s="67">
        <f t="shared" si="7"/>
        <v>270</v>
      </c>
      <c r="D94" s="67">
        <f t="shared" si="4"/>
        <v>221</v>
      </c>
      <c r="E94" s="71" t="s">
        <v>15</v>
      </c>
      <c r="F94" s="67">
        <f t="shared" si="8"/>
        <v>239</v>
      </c>
      <c r="G94" s="67">
        <f t="shared" si="4"/>
        <v>215</v>
      </c>
      <c r="H94" s="68">
        <f t="shared" si="4"/>
        <v>220</v>
      </c>
      <c r="I94" s="1"/>
      <c r="J94" s="67"/>
      <c r="K94" s="67"/>
      <c r="L94" s="67"/>
      <c r="M94" s="67"/>
      <c r="N94" s="67"/>
      <c r="O94" s="1"/>
      <c r="P94" s="49"/>
    </row>
    <row r="95" ht="15" customHeight="1">
      <c r="A95" s="1"/>
      <c r="B95" s="63" t="s">
        <v>181</v>
      </c>
      <c r="C95" s="67">
        <f t="shared" si="9"/>
        <v>1141</v>
      </c>
      <c r="D95" s="67">
        <f t="shared" si="9"/>
        <v>1386.5</v>
      </c>
      <c r="E95" s="67" t="str">
        <f t="shared" si="29"/>
        <v>n/a</v>
      </c>
      <c r="F95" s="67">
        <f t="shared" si="9"/>
        <v>1616.5</v>
      </c>
      <c r="G95" s="67">
        <f t="shared" si="9"/>
        <v>1843.5</v>
      </c>
      <c r="H95" s="68">
        <f t="shared" si="9"/>
        <v>2061</v>
      </c>
      <c r="I95" s="1"/>
      <c r="J95" s="67"/>
      <c r="K95" s="67"/>
      <c r="L95" s="67"/>
      <c r="M95" s="67"/>
      <c r="N95" s="67"/>
      <c r="O95" s="1"/>
      <c r="P95" s="49"/>
    </row>
    <row r="96" ht="15" customHeight="1">
      <c r="A96" s="1"/>
      <c r="B96" s="50" t="s">
        <v>115</v>
      </c>
      <c r="C96" s="16" t="str">
        <f t="shared" si="6"/>
        <v>n/a</v>
      </c>
      <c r="D96" s="16" t="str">
        <f t="shared" si="6"/>
        <v>n/a</v>
      </c>
      <c r="E96" s="16" t="str">
        <f t="shared" si="6"/>
        <v>n/a</v>
      </c>
      <c r="F96" s="16" t="str">
        <f t="shared" si="6"/>
        <v>n/a</v>
      </c>
      <c r="G96" s="16" t="str">
        <f t="shared" si="6"/>
        <v>n/a</v>
      </c>
      <c r="H96" s="51">
        <f t="shared" si="10"/>
        <v>0.8063102541630149</v>
      </c>
      <c r="I96" s="1"/>
      <c r="J96" s="16"/>
      <c r="K96" s="16"/>
      <c r="L96" s="16"/>
      <c r="M96" s="16"/>
      <c r="N96" s="16"/>
      <c r="O96" s="1"/>
      <c r="P96" s="49"/>
    </row>
    <row r="97" ht="15" customHeight="1">
      <c r="A97" s="1"/>
      <c r="B97" s="53" t="s">
        <v>118</v>
      </c>
      <c r="C97" s="67" t="str">
        <f t="shared" si="7"/>
        <v>n/a</v>
      </c>
      <c r="D97" s="67">
        <f t="shared" si="4"/>
        <v>245.5</v>
      </c>
      <c r="E97" s="71" t="s">
        <v>15</v>
      </c>
      <c r="F97" s="67">
        <f t="shared" si="8"/>
        <v>230</v>
      </c>
      <c r="G97" s="67">
        <f t="shared" si="4"/>
        <v>227</v>
      </c>
      <c r="H97" s="68">
        <f t="shared" si="4"/>
        <v>217.5</v>
      </c>
      <c r="I97" s="1"/>
      <c r="J97" s="67"/>
      <c r="K97" s="67"/>
      <c r="L97" s="67"/>
      <c r="M97" s="67"/>
      <c r="N97" s="67"/>
      <c r="O97" s="1"/>
      <c r="P97" s="49"/>
    </row>
    <row r="98" ht="15" customHeight="1">
      <c r="A98" s="1"/>
      <c r="B98" s="3" t="s">
        <v>182</v>
      </c>
      <c r="C98" s="1"/>
      <c r="D98" s="1"/>
      <c r="E98" s="1"/>
      <c r="F98" s="1"/>
      <c r="G98" s="1"/>
      <c r="H98" s="48"/>
      <c r="I98" s="1"/>
      <c r="J98" s="1"/>
      <c r="K98" s="1"/>
      <c r="L98" s="1"/>
      <c r="M98" s="1"/>
      <c r="N98" s="1"/>
      <c r="O98" s="1"/>
      <c r="P98" s="49"/>
    </row>
    <row r="99" ht="15" customHeight="1">
      <c r="A99" s="1"/>
      <c r="B99" s="63" t="s">
        <v>183</v>
      </c>
      <c r="C99" s="67">
        <f t="shared" si="15"/>
        <v>645</v>
      </c>
      <c r="D99" s="67" t="str">
        <f t="shared" si="2"/>
        <v>n/a</v>
      </c>
      <c r="E99" s="67" t="str">
        <f t="shared" si="16"/>
        <v>n/a</v>
      </c>
      <c r="F99" s="67" t="str">
        <f t="shared" si="17"/>
        <v>n/a</v>
      </c>
      <c r="G99" s="67">
        <f t="shared" si="2"/>
        <v>701</v>
      </c>
      <c r="H99" s="68">
        <f t="shared" si="2"/>
        <v>724</v>
      </c>
      <c r="I99" s="1"/>
      <c r="J99" s="67"/>
      <c r="K99" s="67"/>
      <c r="L99" s="67"/>
      <c r="M99" s="67"/>
      <c r="N99" s="67"/>
      <c r="O99" s="1"/>
      <c r="P99" s="49"/>
    </row>
    <row r="100" ht="15" customHeight="1">
      <c r="A100" s="1"/>
      <c r="B100" s="63" t="s">
        <v>184</v>
      </c>
      <c r="C100" s="71" t="s">
        <v>15</v>
      </c>
      <c r="D100" s="71" t="s">
        <v>15</v>
      </c>
      <c r="E100" s="71" t="s">
        <v>15</v>
      </c>
      <c r="F100" s="69">
        <v>19</v>
      </c>
      <c r="G100" s="69">
        <v>23</v>
      </c>
      <c r="H100" s="70">
        <v>22</v>
      </c>
      <c r="I100" s="1"/>
      <c r="J100" s="71" t="s">
        <v>15</v>
      </c>
      <c r="K100" s="71" t="s">
        <v>15</v>
      </c>
      <c r="L100" s="71" t="s">
        <v>15</v>
      </c>
      <c r="M100" s="69">
        <v>22</v>
      </c>
      <c r="N100" s="69">
        <v>26</v>
      </c>
      <c r="O100" s="1"/>
      <c r="P100" s="49"/>
    </row>
    <row r="101" ht="15" customHeight="1">
      <c r="A101" s="1"/>
      <c r="B101" s="53" t="s">
        <v>144</v>
      </c>
      <c r="C101" s="67" t="str">
        <f t="shared" si="3"/>
        <v>n/a</v>
      </c>
      <c r="D101" s="67" t="str">
        <f t="shared" si="3"/>
        <v>n/a</v>
      </c>
      <c r="E101" s="67" t="str">
        <f t="shared" si="3"/>
        <v>n/a</v>
      </c>
      <c r="F101" s="67">
        <f t="shared" si="3"/>
        <v>-3</v>
      </c>
      <c r="G101" s="67">
        <f t="shared" si="3"/>
        <v>-3</v>
      </c>
      <c r="H101" s="68" t="str">
        <f t="shared" si="19"/>
        <v>n/a</v>
      </c>
      <c r="I101" s="1"/>
      <c r="J101" s="67"/>
      <c r="K101" s="67"/>
      <c r="L101" s="67"/>
      <c r="M101" s="67"/>
      <c r="N101" s="67"/>
      <c r="O101" s="1"/>
      <c r="P101" s="49"/>
    </row>
    <row r="102" ht="15" customHeight="1">
      <c r="A102" s="1"/>
      <c r="B102" s="53" t="s">
        <v>118</v>
      </c>
      <c r="C102" s="67" t="str">
        <f t="shared" si="7"/>
        <v>n/a</v>
      </c>
      <c r="D102" s="67" t="str">
        <f t="shared" si="4"/>
        <v>n/a</v>
      </c>
      <c r="E102" s="71" t="s">
        <v>15</v>
      </c>
      <c r="F102" s="67" t="str">
        <f t="shared" si="8"/>
        <v>n/a</v>
      </c>
      <c r="G102" s="67">
        <f t="shared" si="4"/>
        <v>4</v>
      </c>
      <c r="H102" s="68">
        <f t="shared" si="4"/>
        <v>-1</v>
      </c>
      <c r="I102" s="1"/>
      <c r="J102" s="67"/>
      <c r="K102" s="67"/>
      <c r="L102" s="67"/>
      <c r="M102" s="67"/>
      <c r="N102" s="67"/>
      <c r="O102" s="1"/>
      <c r="P102" s="49"/>
    </row>
    <row r="103" ht="15" customHeight="1">
      <c r="A103" s="1"/>
      <c r="B103" s="65" t="s">
        <v>145</v>
      </c>
      <c r="C103" s="67" t="str">
        <f t="shared" si="20"/>
        <v>n/a</v>
      </c>
      <c r="D103" s="67" t="str">
        <f t="shared" si="20"/>
        <v>n/a</v>
      </c>
      <c r="E103" s="67" t="str">
        <f t="shared" si="20"/>
        <v>n/a</v>
      </c>
      <c r="F103" s="67" t="str">
        <f t="shared" si="20"/>
        <v>n/a</v>
      </c>
      <c r="G103" s="67">
        <f t="shared" si="20"/>
        <v>0</v>
      </c>
      <c r="H103" s="70">
        <v>0</v>
      </c>
      <c r="I103" s="1"/>
      <c r="J103" s="67"/>
      <c r="K103" s="67"/>
      <c r="L103" s="67"/>
      <c r="M103" s="67"/>
      <c r="N103" s="67"/>
      <c r="O103" s="1"/>
      <c r="P103" s="49"/>
    </row>
    <row r="104" ht="15" customHeight="1">
      <c r="A104" s="1"/>
      <c r="B104" s="3" t="s">
        <v>185</v>
      </c>
      <c r="C104" s="80" t="s">
        <v>15</v>
      </c>
      <c r="D104" s="80" t="s">
        <v>15</v>
      </c>
      <c r="E104" s="74" t="str">
        <f t="shared" si="21"/>
        <v>n/a</v>
      </c>
      <c r="F104" s="73">
        <v>701</v>
      </c>
      <c r="G104" s="73">
        <v>724</v>
      </c>
      <c r="H104" s="75">
        <f t="shared" si="22"/>
        <v>746</v>
      </c>
      <c r="I104" s="1"/>
      <c r="J104" s="80" t="s">
        <v>15</v>
      </c>
      <c r="K104" s="80" t="s">
        <v>15</v>
      </c>
      <c r="L104" s="74" t="str">
        <f t="shared" si="23"/>
        <v>n/a</v>
      </c>
      <c r="M104" s="73">
        <v>619</v>
      </c>
      <c r="N104" s="73">
        <v>645</v>
      </c>
      <c r="O104" s="1"/>
      <c r="P104" s="49"/>
    </row>
    <row r="105" ht="15" customHeight="1">
      <c r="A105" s="1"/>
      <c r="B105" s="50" t="s">
        <v>115</v>
      </c>
      <c r="C105" s="16" t="str">
        <f t="shared" si="6"/>
        <v>n/a</v>
      </c>
      <c r="D105" s="16" t="str">
        <f t="shared" si="6"/>
        <v>n/a</v>
      </c>
      <c r="E105" s="16" t="str">
        <f t="shared" si="6"/>
        <v>n/a</v>
      </c>
      <c r="F105" s="16">
        <f t="shared" si="6"/>
        <v>0.13247172859450718</v>
      </c>
      <c r="G105" s="16">
        <f t="shared" si="6"/>
        <v>0.1224806201550388</v>
      </c>
      <c r="H105" s="51" t="str">
        <f t="shared" si="10"/>
        <v>n/a</v>
      </c>
      <c r="I105" s="1"/>
      <c r="J105" s="16"/>
      <c r="K105" s="16"/>
      <c r="L105" s="16"/>
      <c r="M105" s="16"/>
      <c r="N105" s="16"/>
      <c r="O105" s="1"/>
      <c r="P105" s="49"/>
    </row>
    <row r="106" ht="15" customHeight="1">
      <c r="A106" s="1"/>
      <c r="B106" s="53" t="s">
        <v>118</v>
      </c>
      <c r="C106" s="67" t="str">
        <f t="shared" si="7"/>
        <v>n/a</v>
      </c>
      <c r="D106" s="67" t="str">
        <f t="shared" si="4"/>
        <v>n/a</v>
      </c>
      <c r="E106" s="71" t="s">
        <v>15</v>
      </c>
      <c r="F106" s="67" t="str">
        <f t="shared" si="8"/>
        <v>n/a</v>
      </c>
      <c r="G106" s="67">
        <f t="shared" si="4"/>
        <v>23</v>
      </c>
      <c r="H106" s="68">
        <f t="shared" si="4"/>
        <v>22</v>
      </c>
      <c r="I106" s="1"/>
      <c r="J106" s="67"/>
      <c r="K106" s="67"/>
      <c r="L106" s="67"/>
      <c r="M106" s="67"/>
      <c r="N106" s="67"/>
      <c r="O106" s="1"/>
      <c r="P106" s="49"/>
    </row>
    <row r="107" ht="15" customHeight="1">
      <c r="A107" s="1"/>
      <c r="B107" s="63" t="s">
        <v>186</v>
      </c>
      <c r="C107" s="67" t="str">
        <f t="shared" si="24"/>
        <v>n/a</v>
      </c>
      <c r="D107" s="67" t="str">
        <f t="shared" si="24"/>
        <v>n/a</v>
      </c>
      <c r="E107" s="67" t="str">
        <f t="shared" si="29"/>
        <v>n/a</v>
      </c>
      <c r="F107" s="67" t="str">
        <f t="shared" si="24"/>
        <v>n/a</v>
      </c>
      <c r="G107" s="67">
        <f t="shared" si="24"/>
        <v>712.5</v>
      </c>
      <c r="H107" s="68">
        <f t="shared" si="24"/>
        <v>735</v>
      </c>
      <c r="I107" s="1"/>
      <c r="J107" s="67"/>
      <c r="K107" s="67"/>
      <c r="L107" s="67"/>
      <c r="M107" s="67"/>
      <c r="N107" s="67"/>
      <c r="O107" s="1"/>
      <c r="P107" s="49"/>
    </row>
    <row r="108" ht="15" customHeight="1">
      <c r="A108" s="1"/>
      <c r="B108" s="50" t="s">
        <v>115</v>
      </c>
      <c r="C108" s="16" t="str">
        <f t="shared" si="6"/>
        <v>n/a</v>
      </c>
      <c r="D108" s="16" t="str">
        <f t="shared" si="6"/>
        <v>n/a</v>
      </c>
      <c r="E108" s="16" t="str">
        <f t="shared" si="6"/>
        <v>n/a</v>
      </c>
      <c r="F108" s="16" t="str">
        <f t="shared" si="6"/>
        <v>n/a</v>
      </c>
      <c r="G108" s="16" t="str">
        <f t="shared" si="6"/>
        <v>n/a</v>
      </c>
      <c r="H108" s="51" t="str">
        <f t="shared" si="10"/>
        <v>n/a</v>
      </c>
      <c r="I108" s="1"/>
      <c r="J108" s="16"/>
      <c r="K108" s="16"/>
      <c r="L108" s="16"/>
      <c r="M108" s="16"/>
      <c r="N108" s="16"/>
      <c r="O108" s="1"/>
      <c r="P108" s="49"/>
    </row>
    <row r="109" ht="15" customHeight="1">
      <c r="A109" s="1"/>
      <c r="B109" s="53" t="s">
        <v>118</v>
      </c>
      <c r="C109" s="67" t="str">
        <f t="shared" si="7"/>
        <v>n/a</v>
      </c>
      <c r="D109" s="67" t="str">
        <f t="shared" si="4"/>
        <v>n/a</v>
      </c>
      <c r="E109" s="71" t="s">
        <v>15</v>
      </c>
      <c r="F109" s="67" t="str">
        <f t="shared" si="8"/>
        <v>n/a</v>
      </c>
      <c r="G109" s="67" t="str">
        <f t="shared" si="4"/>
        <v>n/a</v>
      </c>
      <c r="H109" s="68">
        <f t="shared" si="4"/>
        <v>22.5</v>
      </c>
      <c r="I109" s="1"/>
      <c r="J109" s="67"/>
      <c r="K109" s="67"/>
      <c r="L109" s="67"/>
      <c r="M109" s="67"/>
      <c r="N109" s="67"/>
      <c r="O109" s="1"/>
      <c r="P109" s="49"/>
    </row>
    <row r="110" ht="15" customHeight="1">
      <c r="A110" s="1"/>
      <c r="B110" s="3" t="s">
        <v>187</v>
      </c>
      <c r="C110" s="1"/>
      <c r="D110" s="1"/>
      <c r="E110" s="1"/>
      <c r="F110" s="1"/>
      <c r="G110" s="1"/>
      <c r="H110" s="48"/>
      <c r="I110" s="1"/>
      <c r="J110" s="1"/>
      <c r="K110" s="1"/>
      <c r="L110" s="1"/>
      <c r="M110" s="1"/>
      <c r="N110" s="1"/>
      <c r="O110" s="1"/>
      <c r="P110" s="49"/>
    </row>
    <row r="111" ht="15" customHeight="1">
      <c r="A111" s="1"/>
      <c r="B111" s="63" t="s">
        <v>188</v>
      </c>
      <c r="C111" s="67">
        <f t="shared" si="15"/>
        <v>466</v>
      </c>
      <c r="D111" s="67" t="str">
        <f t="shared" si="2"/>
        <v>n/a</v>
      </c>
      <c r="E111" s="67" t="str">
        <f t="shared" si="16"/>
        <v>n/a</v>
      </c>
      <c r="F111" s="67" t="str">
        <f t="shared" si="17"/>
        <v>n/a</v>
      </c>
      <c r="G111" s="67">
        <f t="shared" si="2"/>
        <v>596</v>
      </c>
      <c r="H111" s="68">
        <f t="shared" si="2"/>
        <v>660</v>
      </c>
      <c r="I111" s="1"/>
      <c r="J111" s="67"/>
      <c r="K111" s="67"/>
      <c r="L111" s="67"/>
      <c r="M111" s="67"/>
      <c r="N111" s="67"/>
      <c r="O111" s="1"/>
      <c r="P111" s="49"/>
    </row>
    <row r="112" ht="15" customHeight="1">
      <c r="A112" s="1"/>
      <c r="B112" s="65" t="s">
        <v>189</v>
      </c>
      <c r="C112" s="71" t="s">
        <v>15</v>
      </c>
      <c r="D112" s="71" t="s">
        <v>15</v>
      </c>
      <c r="E112" s="71" t="s">
        <v>15</v>
      </c>
      <c r="F112" s="69">
        <v>53</v>
      </c>
      <c r="G112" s="69">
        <v>64</v>
      </c>
      <c r="H112" s="70">
        <v>60</v>
      </c>
      <c r="I112" s="1"/>
      <c r="J112" s="71" t="s">
        <v>15</v>
      </c>
      <c r="K112" s="71" t="s">
        <v>15</v>
      </c>
      <c r="L112" s="71" t="s">
        <v>15</v>
      </c>
      <c r="M112" s="69">
        <v>52</v>
      </c>
      <c r="N112" s="69">
        <v>37</v>
      </c>
      <c r="O112" s="1"/>
      <c r="P112" s="49"/>
    </row>
    <row r="113" ht="15" customHeight="1">
      <c r="A113" s="1"/>
      <c r="B113" s="53" t="s">
        <v>144</v>
      </c>
      <c r="C113" s="67" t="str">
        <f t="shared" si="3"/>
        <v>n/a</v>
      </c>
      <c r="D113" s="67" t="str">
        <f t="shared" si="3"/>
        <v>n/a</v>
      </c>
      <c r="E113" s="67" t="str">
        <f t="shared" si="3"/>
        <v>n/a</v>
      </c>
      <c r="F113" s="67">
        <f t="shared" si="3"/>
        <v>1</v>
      </c>
      <c r="G113" s="67">
        <f t="shared" si="3"/>
        <v>27</v>
      </c>
      <c r="H113" s="68" t="str">
        <f t="shared" si="19"/>
        <v>n/a</v>
      </c>
      <c r="I113" s="1"/>
      <c r="J113" s="67"/>
      <c r="K113" s="67"/>
      <c r="L113" s="67"/>
      <c r="M113" s="67"/>
      <c r="N113" s="67"/>
      <c r="O113" s="1"/>
      <c r="P113" s="49"/>
    </row>
    <row r="114" ht="15" customHeight="1">
      <c r="A114" s="1"/>
      <c r="B114" s="53" t="s">
        <v>118</v>
      </c>
      <c r="C114" s="67" t="str">
        <f t="shared" si="7"/>
        <v>n/a</v>
      </c>
      <c r="D114" s="67" t="str">
        <f t="shared" si="4"/>
        <v>n/a</v>
      </c>
      <c r="E114" s="71" t="s">
        <v>15</v>
      </c>
      <c r="F114" s="67" t="str">
        <f t="shared" si="8"/>
        <v>n/a</v>
      </c>
      <c r="G114" s="67">
        <f t="shared" si="4"/>
        <v>11</v>
      </c>
      <c r="H114" s="68">
        <f t="shared" si="4"/>
        <v>-4</v>
      </c>
      <c r="I114" s="1"/>
      <c r="J114" s="67"/>
      <c r="K114" s="67"/>
      <c r="L114" s="67"/>
      <c r="M114" s="67"/>
      <c r="N114" s="67"/>
      <c r="O114" s="1"/>
      <c r="P114" s="49"/>
    </row>
    <row r="115" ht="15" customHeight="1">
      <c r="A115" s="1"/>
      <c r="B115" s="65" t="s">
        <v>145</v>
      </c>
      <c r="C115" s="67" t="str">
        <f t="shared" si="20"/>
        <v>n/a</v>
      </c>
      <c r="D115" s="67" t="str">
        <f t="shared" si="20"/>
        <v>n/a</v>
      </c>
      <c r="E115" s="67" t="str">
        <f t="shared" si="20"/>
        <v>n/a</v>
      </c>
      <c r="F115" s="67" t="str">
        <f t="shared" si="20"/>
        <v>n/a</v>
      </c>
      <c r="G115" s="67">
        <f t="shared" si="20"/>
        <v>0</v>
      </c>
      <c r="H115" s="70">
        <v>0</v>
      </c>
      <c r="I115" s="1"/>
      <c r="J115" s="67"/>
      <c r="K115" s="67"/>
      <c r="L115" s="67"/>
      <c r="M115" s="67"/>
      <c r="N115" s="67"/>
      <c r="O115" s="1"/>
      <c r="P115" s="49"/>
    </row>
    <row r="116" ht="15" customHeight="1">
      <c r="A116" s="1"/>
      <c r="B116" s="3" t="s">
        <v>190</v>
      </c>
      <c r="C116" s="80" t="s">
        <v>15</v>
      </c>
      <c r="D116" s="80" t="s">
        <v>15</v>
      </c>
      <c r="E116" s="74" t="str">
        <f t="shared" si="21"/>
        <v>n/a</v>
      </c>
      <c r="F116" s="73">
        <v>596</v>
      </c>
      <c r="G116" s="73">
        <v>660</v>
      </c>
      <c r="H116" s="75">
        <f t="shared" si="22"/>
        <v>720</v>
      </c>
      <c r="I116" s="1"/>
      <c r="J116" s="80" t="s">
        <v>15</v>
      </c>
      <c r="K116" s="80" t="s">
        <v>15</v>
      </c>
      <c r="L116" s="74" t="str">
        <f t="shared" si="23"/>
        <v>n/a</v>
      </c>
      <c r="M116" s="73">
        <v>429</v>
      </c>
      <c r="N116" s="73">
        <v>466</v>
      </c>
      <c r="O116" s="1"/>
      <c r="P116" s="49"/>
    </row>
    <row r="117" ht="15" customHeight="1">
      <c r="A117" s="1"/>
      <c r="B117" s="50" t="s">
        <v>115</v>
      </c>
      <c r="C117" s="16" t="str">
        <f t="shared" si="6"/>
        <v>n/a</v>
      </c>
      <c r="D117" s="16" t="str">
        <f t="shared" si="6"/>
        <v>n/a</v>
      </c>
      <c r="E117" s="16" t="str">
        <f t="shared" si="6"/>
        <v>n/a</v>
      </c>
      <c r="F117" s="16">
        <f t="shared" si="6"/>
        <v>0.3892773892773893</v>
      </c>
      <c r="G117" s="16">
        <f t="shared" si="6"/>
        <v>0.41630901287553645</v>
      </c>
      <c r="H117" s="51" t="str">
        <f t="shared" si="10"/>
        <v>n/a</v>
      </c>
      <c r="I117" s="1"/>
      <c r="J117" s="16"/>
      <c r="K117" s="16"/>
      <c r="L117" s="16"/>
      <c r="M117" s="16"/>
      <c r="N117" s="16"/>
      <c r="O117" s="1"/>
      <c r="P117" s="49"/>
    </row>
    <row r="118" ht="15" customHeight="1">
      <c r="A118" s="1"/>
      <c r="B118" s="53" t="s">
        <v>118</v>
      </c>
      <c r="C118" s="67" t="str">
        <f t="shared" si="7"/>
        <v>n/a</v>
      </c>
      <c r="D118" s="67" t="str">
        <f t="shared" si="4"/>
        <v>n/a</v>
      </c>
      <c r="E118" s="71" t="s">
        <v>15</v>
      </c>
      <c r="F118" s="67" t="str">
        <f t="shared" si="8"/>
        <v>n/a</v>
      </c>
      <c r="G118" s="67">
        <f t="shared" si="4"/>
        <v>64</v>
      </c>
      <c r="H118" s="68">
        <f t="shared" si="4"/>
        <v>60</v>
      </c>
      <c r="I118" s="1"/>
      <c r="J118" s="67"/>
      <c r="K118" s="67"/>
      <c r="L118" s="67"/>
      <c r="M118" s="67"/>
      <c r="N118" s="67"/>
      <c r="O118" s="1"/>
      <c r="P118" s="49"/>
    </row>
    <row r="119" ht="15" customHeight="1">
      <c r="A119" s="1"/>
      <c r="B119" s="63" t="s">
        <v>191</v>
      </c>
      <c r="C119" s="67" t="str">
        <f t="shared" si="24"/>
        <v>n/a</v>
      </c>
      <c r="D119" s="67" t="str">
        <f t="shared" si="24"/>
        <v>n/a</v>
      </c>
      <c r="E119" s="67" t="str">
        <f t="shared" si="29"/>
        <v>n/a</v>
      </c>
      <c r="F119" s="67" t="str">
        <f t="shared" si="24"/>
        <v>n/a</v>
      </c>
      <c r="G119" s="67">
        <f t="shared" si="24"/>
        <v>628</v>
      </c>
      <c r="H119" s="68">
        <f t="shared" si="24"/>
        <v>690</v>
      </c>
      <c r="I119" s="1"/>
      <c r="J119" s="67"/>
      <c r="K119" s="67"/>
      <c r="L119" s="67"/>
      <c r="M119" s="67"/>
      <c r="N119" s="67"/>
      <c r="O119" s="1"/>
      <c r="P119" s="49"/>
    </row>
    <row r="120" ht="15" customHeight="1">
      <c r="A120" s="1"/>
      <c r="B120" s="50" t="s">
        <v>115</v>
      </c>
      <c r="C120" s="16" t="str">
        <f t="shared" si="6"/>
        <v>n/a</v>
      </c>
      <c r="D120" s="16" t="str">
        <f t="shared" si="6"/>
        <v>n/a</v>
      </c>
      <c r="E120" s="16" t="str">
        <f t="shared" si="6"/>
        <v>n/a</v>
      </c>
      <c r="F120" s="16" t="str">
        <f t="shared" si="6"/>
        <v>n/a</v>
      </c>
      <c r="G120" s="16" t="str">
        <f t="shared" si="6"/>
        <v>n/a</v>
      </c>
      <c r="H120" s="51" t="str">
        <f t="shared" si="10"/>
        <v>n/a</v>
      </c>
      <c r="I120" s="1"/>
      <c r="J120" s="16"/>
      <c r="K120" s="16"/>
      <c r="L120" s="16"/>
      <c r="M120" s="16"/>
      <c r="N120" s="16"/>
      <c r="O120" s="1"/>
      <c r="P120" s="49"/>
    </row>
    <row r="121" ht="15" customHeight="1">
      <c r="A121" s="1"/>
      <c r="B121" s="53" t="s">
        <v>118</v>
      </c>
      <c r="C121" s="67" t="str">
        <f t="shared" si="7"/>
        <v>n/a</v>
      </c>
      <c r="D121" s="67" t="str">
        <f t="shared" si="4"/>
        <v>n/a</v>
      </c>
      <c r="E121" s="71" t="s">
        <v>15</v>
      </c>
      <c r="F121" s="67" t="str">
        <f t="shared" si="8"/>
        <v>n/a</v>
      </c>
      <c r="G121" s="67" t="str">
        <f t="shared" si="4"/>
        <v>n/a</v>
      </c>
      <c r="H121" s="68">
        <f t="shared" si="4"/>
        <v>62</v>
      </c>
      <c r="I121" s="1"/>
      <c r="J121" s="67"/>
      <c r="K121" s="67"/>
      <c r="L121" s="67"/>
      <c r="M121" s="67"/>
      <c r="N121" s="67"/>
      <c r="O121" s="1"/>
      <c r="P121" s="49"/>
    </row>
    <row r="122" ht="15" customHeight="1">
      <c r="A122" s="1"/>
      <c r="B122" s="3" t="s">
        <v>192</v>
      </c>
      <c r="C122" s="1"/>
      <c r="D122" s="1"/>
      <c r="E122" s="1"/>
      <c r="F122" s="1"/>
      <c r="G122" s="1"/>
      <c r="H122" s="48"/>
      <c r="I122" s="1"/>
      <c r="J122" s="1"/>
      <c r="K122" s="1"/>
      <c r="L122" s="1"/>
      <c r="M122" s="1"/>
      <c r="N122" s="1"/>
      <c r="O122" s="1"/>
      <c r="P122" s="49"/>
    </row>
    <row r="123" ht="15" customHeight="1">
      <c r="A123" s="1"/>
      <c r="B123" s="72" t="s">
        <v>193</v>
      </c>
      <c r="C123" s="74" t="str">
        <f t="shared" si="35" ref="C123:N123">IF(AND(ISNUMBER(C80),ISNUMBER(C104)),C80+C104,"n/a")</f>
        <v>n/a</v>
      </c>
      <c r="D123" s="74" t="str">
        <f t="shared" si="35"/>
        <v>n/a</v>
      </c>
      <c r="E123" s="74" t="str">
        <f t="shared" si="35"/>
        <v>n/a</v>
      </c>
      <c r="F123" s="74">
        <f t="shared" si="35"/>
        <v>12501</v>
      </c>
      <c r="G123" s="74">
        <f t="shared" si="35"/>
        <v>12868</v>
      </c>
      <c r="H123" s="75">
        <f t="shared" si="35"/>
        <v>13255</v>
      </c>
      <c r="I123" s="1"/>
      <c r="J123" s="74" t="str">
        <f t="shared" si="35"/>
        <v>n/a</v>
      </c>
      <c r="K123" s="74" t="str">
        <f t="shared" si="35"/>
        <v>n/a</v>
      </c>
      <c r="L123" s="74" t="str">
        <f t="shared" si="35"/>
        <v>n/a</v>
      </c>
      <c r="M123" s="74">
        <f t="shared" si="35"/>
        <v>10211</v>
      </c>
      <c r="N123" s="74">
        <f t="shared" si="35"/>
        <v>10480</v>
      </c>
      <c r="O123" s="1"/>
      <c r="P123" s="49"/>
    </row>
    <row r="124" ht="15" customHeight="1">
      <c r="A124" s="1"/>
      <c r="B124" s="50" t="s">
        <v>115</v>
      </c>
      <c r="C124" s="16" t="str">
        <f t="shared" si="6"/>
        <v>n/a</v>
      </c>
      <c r="D124" s="16" t="str">
        <f t="shared" si="6"/>
        <v>n/a</v>
      </c>
      <c r="E124" s="16" t="str">
        <f t="shared" si="6"/>
        <v>n/a</v>
      </c>
      <c r="F124" s="16">
        <f t="shared" si="6"/>
        <v>0.22426794633238667</v>
      </c>
      <c r="G124" s="16">
        <f t="shared" si="6"/>
        <v>0.22786259541984744</v>
      </c>
      <c r="H124" s="51" t="str">
        <f t="shared" si="10"/>
        <v>n/a</v>
      </c>
      <c r="I124" s="1"/>
      <c r="J124" s="16"/>
      <c r="K124" s="16"/>
      <c r="L124" s="16"/>
      <c r="M124" s="16"/>
      <c r="N124" s="16"/>
      <c r="O124" s="1"/>
      <c r="P124" s="49"/>
    </row>
    <row r="125" ht="15" customHeight="1">
      <c r="A125" s="1"/>
      <c r="B125" s="53" t="s">
        <v>118</v>
      </c>
      <c r="C125" s="67" t="str">
        <f t="shared" si="7"/>
        <v>n/a</v>
      </c>
      <c r="D125" s="67" t="str">
        <f t="shared" si="4"/>
        <v>n/a</v>
      </c>
      <c r="E125" s="71" t="s">
        <v>15</v>
      </c>
      <c r="F125" s="67" t="str">
        <f t="shared" si="8"/>
        <v>n/a</v>
      </c>
      <c r="G125" s="67">
        <f t="shared" si="4"/>
        <v>367</v>
      </c>
      <c r="H125" s="68">
        <f t="shared" si="4"/>
        <v>387</v>
      </c>
      <c r="I125" s="1"/>
      <c r="J125" s="67"/>
      <c r="K125" s="67"/>
      <c r="L125" s="67"/>
      <c r="M125" s="67"/>
      <c r="N125" s="67"/>
      <c r="O125" s="1"/>
      <c r="P125" s="49"/>
    </row>
    <row r="126" ht="15" customHeight="1">
      <c r="A126" s="1"/>
      <c r="B126" s="72" t="s">
        <v>194</v>
      </c>
      <c r="C126" s="74" t="str">
        <f t="shared" si="36" ref="C126:N126">IF(AND(ISNUMBER(C92),ISNUMBER(C116)),C92+C116,"n/a")</f>
        <v>n/a</v>
      </c>
      <c r="D126" s="74" t="str">
        <f t="shared" si="36"/>
        <v>n/a</v>
      </c>
      <c r="E126" s="74" t="str">
        <f t="shared" si="36"/>
        <v>n/a</v>
      </c>
      <c r="F126" s="74">
        <f t="shared" si="36"/>
        <v>2332</v>
      </c>
      <c r="G126" s="74">
        <f t="shared" si="36"/>
        <v>2611</v>
      </c>
      <c r="H126" s="75">
        <f t="shared" si="36"/>
        <v>2891</v>
      </c>
      <c r="I126" s="1"/>
      <c r="J126" s="74" t="str">
        <f t="shared" si="36"/>
        <v>n/a</v>
      </c>
      <c r="K126" s="74" t="str">
        <f t="shared" si="36"/>
        <v>n/a</v>
      </c>
      <c r="L126" s="74" t="str">
        <f t="shared" si="36"/>
        <v>n/a</v>
      </c>
      <c r="M126" s="74">
        <f t="shared" si="36"/>
        <v>1232</v>
      </c>
      <c r="N126" s="74">
        <f t="shared" si="36"/>
        <v>1472</v>
      </c>
      <c r="O126" s="1"/>
      <c r="P126" s="49"/>
    </row>
    <row r="127" ht="15" customHeight="1">
      <c r="A127" s="1"/>
      <c r="B127" s="50" t="s">
        <v>115</v>
      </c>
      <c r="C127" s="16" t="str">
        <f t="shared" si="6"/>
        <v>n/a</v>
      </c>
      <c r="D127" s="16" t="str">
        <f t="shared" si="6"/>
        <v>n/a</v>
      </c>
      <c r="E127" s="16" t="str">
        <f t="shared" si="6"/>
        <v>n/a</v>
      </c>
      <c r="F127" s="16">
        <f t="shared" si="6"/>
        <v>0.8928571428571428</v>
      </c>
      <c r="G127" s="16">
        <f t="shared" si="6"/>
        <v>0.7737771739130435</v>
      </c>
      <c r="H127" s="51" t="str">
        <f t="shared" si="10"/>
        <v>n/a</v>
      </c>
      <c r="I127" s="1"/>
      <c r="J127" s="16"/>
      <c r="K127" s="16"/>
      <c r="L127" s="16"/>
      <c r="M127" s="16"/>
      <c r="N127" s="16"/>
      <c r="O127" s="1"/>
      <c r="P127" s="49"/>
    </row>
    <row r="128" ht="15" customHeight="1">
      <c r="A128" s="1"/>
      <c r="B128" s="53" t="s">
        <v>118</v>
      </c>
      <c r="C128" s="67" t="str">
        <f t="shared" si="7"/>
        <v>n/a</v>
      </c>
      <c r="D128" s="67" t="str">
        <f t="shared" si="4"/>
        <v>n/a</v>
      </c>
      <c r="E128" s="71" t="s">
        <v>15</v>
      </c>
      <c r="F128" s="67" t="str">
        <f t="shared" si="8"/>
        <v>n/a</v>
      </c>
      <c r="G128" s="67">
        <f t="shared" si="4"/>
        <v>279</v>
      </c>
      <c r="H128" s="68">
        <f t="shared" si="4"/>
        <v>280</v>
      </c>
      <c r="I128" s="1"/>
      <c r="J128" s="67"/>
      <c r="K128" s="67"/>
      <c r="L128" s="67"/>
      <c r="M128" s="67"/>
      <c r="N128" s="67"/>
      <c r="O128" s="1"/>
      <c r="P128" s="49"/>
    </row>
    <row r="129" ht="15" customHeight="1">
      <c r="A129" s="1"/>
      <c r="B129" s="3" t="s">
        <v>195</v>
      </c>
      <c r="C129" s="74" t="str">
        <f t="shared" si="37" ref="C129:N129">IF(AND(ISNUMBER(C123),ISNUMBER(C126)),C123+C126,"n/a")</f>
        <v>n/a</v>
      </c>
      <c r="D129" s="74" t="str">
        <f t="shared" si="37"/>
        <v>n/a</v>
      </c>
      <c r="E129" s="74" t="str">
        <f t="shared" si="37"/>
        <v>n/a</v>
      </c>
      <c r="F129" s="74">
        <f t="shared" si="37"/>
        <v>14833</v>
      </c>
      <c r="G129" s="74">
        <f t="shared" si="37"/>
        <v>15479</v>
      </c>
      <c r="H129" s="75">
        <f t="shared" si="37"/>
        <v>16146</v>
      </c>
      <c r="I129" s="1"/>
      <c r="J129" s="74" t="str">
        <f t="shared" si="37"/>
        <v>n/a</v>
      </c>
      <c r="K129" s="74" t="str">
        <f t="shared" si="37"/>
        <v>n/a</v>
      </c>
      <c r="L129" s="74" t="str">
        <f t="shared" si="37"/>
        <v>n/a</v>
      </c>
      <c r="M129" s="74">
        <f t="shared" si="37"/>
        <v>11443</v>
      </c>
      <c r="N129" s="74">
        <f t="shared" si="37"/>
        <v>11952</v>
      </c>
      <c r="O129" s="1"/>
      <c r="P129" s="49"/>
    </row>
    <row r="130" ht="15" customHeight="1">
      <c r="A130" s="1"/>
      <c r="B130" s="50" t="s">
        <v>115</v>
      </c>
      <c r="C130" s="16" t="str">
        <f t="shared" si="6"/>
        <v>n/a</v>
      </c>
      <c r="D130" s="16" t="str">
        <f t="shared" si="6"/>
        <v>n/a</v>
      </c>
      <c r="E130" s="16" t="str">
        <f t="shared" si="6"/>
        <v>n/a</v>
      </c>
      <c r="F130" s="16">
        <f t="shared" si="6"/>
        <v>0.2962509831337936</v>
      </c>
      <c r="G130" s="16">
        <f t="shared" si="6"/>
        <v>0.2950970548862115</v>
      </c>
      <c r="H130" s="51" t="str">
        <f t="shared" si="10"/>
        <v>n/a</v>
      </c>
      <c r="I130" s="1"/>
      <c r="J130" s="16"/>
      <c r="K130" s="16"/>
      <c r="L130" s="16"/>
      <c r="M130" s="16"/>
      <c r="N130" s="16"/>
      <c r="O130" s="1"/>
      <c r="P130" s="49"/>
    </row>
    <row r="131" ht="15" customHeight="1">
      <c r="A131" s="1"/>
      <c r="B131" s="53" t="s">
        <v>118</v>
      </c>
      <c r="C131" s="67" t="str">
        <f t="shared" si="7"/>
        <v>n/a</v>
      </c>
      <c r="D131" s="67" t="str">
        <f t="shared" si="4"/>
        <v>n/a</v>
      </c>
      <c r="E131" s="71" t="s">
        <v>15</v>
      </c>
      <c r="F131" s="67" t="str">
        <f t="shared" si="8"/>
        <v>n/a</v>
      </c>
      <c r="G131" s="67">
        <f t="shared" si="4"/>
        <v>646</v>
      </c>
      <c r="H131" s="68">
        <f t="shared" si="4"/>
        <v>667</v>
      </c>
      <c r="I131" s="1"/>
      <c r="J131" s="67"/>
      <c r="K131" s="67"/>
      <c r="L131" s="67"/>
      <c r="M131" s="67"/>
      <c r="N131" s="67"/>
      <c r="O131" s="1"/>
      <c r="P131" s="49"/>
    </row>
    <row r="132" ht="15" customHeight="1">
      <c r="A132" s="1"/>
      <c r="B132" s="72" t="s">
        <v>196</v>
      </c>
      <c r="C132" s="74">
        <f t="shared" si="38" ref="C132:N132">IF(AND(ISNUMBER(C80),ISNUMBER(C92)),C80+C92,"n/a")</f>
        <v>11399</v>
      </c>
      <c r="D132" s="74">
        <f t="shared" si="38"/>
        <v>11903</v>
      </c>
      <c r="E132" s="74">
        <f t="shared" si="38"/>
        <v>11903</v>
      </c>
      <c r="F132" s="74">
        <f t="shared" si="38"/>
        <v>13536</v>
      </c>
      <c r="G132" s="74">
        <f t="shared" si="38"/>
        <v>14095</v>
      </c>
      <c r="H132" s="75">
        <f t="shared" si="38"/>
        <v>14680</v>
      </c>
      <c r="I132" s="1"/>
      <c r="J132" s="74" t="str">
        <f t="shared" si="38"/>
        <v>n/a</v>
      </c>
      <c r="K132" s="74" t="str">
        <f t="shared" si="38"/>
        <v>n/a</v>
      </c>
      <c r="L132" s="74" t="str">
        <f t="shared" si="38"/>
        <v>n/a</v>
      </c>
      <c r="M132" s="74">
        <f t="shared" si="38"/>
        <v>10395</v>
      </c>
      <c r="N132" s="74">
        <f t="shared" si="38"/>
        <v>10841</v>
      </c>
      <c r="O132" s="1"/>
      <c r="P132" s="49"/>
    </row>
    <row r="133" ht="15" customHeight="1">
      <c r="A133" s="1"/>
      <c r="B133" s="50" t="s">
        <v>115</v>
      </c>
      <c r="C133" s="16" t="str">
        <f t="shared" si="6"/>
        <v>n/a</v>
      </c>
      <c r="D133" s="16" t="str">
        <f t="shared" si="6"/>
        <v>n/a</v>
      </c>
      <c r="E133" s="16" t="str">
        <f t="shared" si="6"/>
        <v>n/a</v>
      </c>
      <c r="F133" s="16">
        <f t="shared" si="6"/>
        <v>0.3021645021645021</v>
      </c>
      <c r="G133" s="16">
        <f t="shared" si="6"/>
        <v>0.3001568121022047</v>
      </c>
      <c r="H133" s="51">
        <f t="shared" si="10"/>
        <v>0.28783226598824463</v>
      </c>
      <c r="I133" s="1"/>
      <c r="J133" s="16"/>
      <c r="K133" s="16"/>
      <c r="L133" s="16"/>
      <c r="M133" s="16"/>
      <c r="N133" s="16"/>
      <c r="O133" s="1"/>
      <c r="P133" s="49"/>
    </row>
    <row r="134" ht="15" customHeight="1">
      <c r="A134" s="1"/>
      <c r="B134" s="53" t="s">
        <v>118</v>
      </c>
      <c r="C134" s="67">
        <f t="shared" si="7"/>
        <v>558</v>
      </c>
      <c r="D134" s="67">
        <f t="shared" si="4"/>
        <v>504</v>
      </c>
      <c r="E134" s="71" t="s">
        <v>15</v>
      </c>
      <c r="F134" s="67">
        <f t="shared" si="8"/>
        <v>1633</v>
      </c>
      <c r="G134" s="67">
        <f t="shared" si="4"/>
        <v>559</v>
      </c>
      <c r="H134" s="68">
        <f t="shared" si="4"/>
        <v>585</v>
      </c>
      <c r="I134" s="1"/>
      <c r="J134" s="67"/>
      <c r="K134" s="67"/>
      <c r="L134" s="67"/>
      <c r="M134" s="67"/>
      <c r="N134" s="67"/>
      <c r="O134" s="1"/>
      <c r="P134" s="49"/>
    </row>
    <row r="135" ht="15" customHeight="1">
      <c r="A135" s="1"/>
      <c r="B135" s="76" t="s">
        <v>197</v>
      </c>
      <c r="C135" s="16" t="str">
        <f t="shared" si="39" ref="C135:N135">IF(AND(ISNUMBER(C126),ISNUMBER(C129)),C126/C129,"n/a")</f>
        <v>n/a</v>
      </c>
      <c r="D135" s="16" t="str">
        <f t="shared" si="39"/>
        <v>n/a</v>
      </c>
      <c r="E135" s="16" t="str">
        <f t="shared" si="39"/>
        <v>n/a</v>
      </c>
      <c r="F135" s="16">
        <f t="shared" si="39"/>
        <v>0.15721701611272162</v>
      </c>
      <c r="G135" s="16">
        <f t="shared" si="39"/>
        <v>0.16868014729633699</v>
      </c>
      <c r="H135" s="51">
        <f t="shared" si="39"/>
        <v>0.1790536355753747</v>
      </c>
      <c r="I135" s="1"/>
      <c r="J135" s="16" t="str">
        <f t="shared" si="39"/>
        <v>n/a</v>
      </c>
      <c r="K135" s="16" t="str">
        <f t="shared" si="39"/>
        <v>n/a</v>
      </c>
      <c r="L135" s="16" t="str">
        <f t="shared" si="39"/>
        <v>n/a</v>
      </c>
      <c r="M135" s="16">
        <f t="shared" si="39"/>
        <v>0.10766407410644062</v>
      </c>
      <c r="N135" s="16">
        <f t="shared" si="39"/>
        <v>0.12315930388219545</v>
      </c>
      <c r="O135" s="1"/>
      <c r="P135" s="49"/>
    </row>
    <row r="136" ht="15" customHeight="1">
      <c r="A136" s="1"/>
      <c r="B136" s="50" t="s">
        <v>149</v>
      </c>
      <c r="C136" s="77" t="str">
        <f t="shared" si="11"/>
        <v>n/a</v>
      </c>
      <c r="D136" s="77" t="str">
        <f t="shared" si="11"/>
        <v>n/a</v>
      </c>
      <c r="E136" s="77" t="str">
        <f t="shared" si="11"/>
        <v>n/a</v>
      </c>
      <c r="F136" s="77">
        <f t="shared" si="11"/>
        <v>495.52942006281006</v>
      </c>
      <c r="G136" s="77">
        <f t="shared" si="11"/>
        <v>455.2084341414153</v>
      </c>
      <c r="H136" s="78" t="str">
        <f t="shared" si="25"/>
        <v>n/a</v>
      </c>
      <c r="I136" s="1"/>
      <c r="J136" s="77"/>
      <c r="K136" s="77"/>
      <c r="L136" s="77"/>
      <c r="M136" s="77"/>
      <c r="N136" s="77"/>
      <c r="O136" s="1"/>
      <c r="P136" s="49"/>
    </row>
    <row r="137" ht="15" customHeight="1">
      <c r="A137" s="1"/>
      <c r="B137" s="50" t="s">
        <v>150</v>
      </c>
      <c r="C137" s="77" t="str">
        <f t="shared" si="26"/>
        <v>n/a</v>
      </c>
      <c r="D137" s="77" t="str">
        <f t="shared" si="12"/>
        <v>n/a</v>
      </c>
      <c r="E137" s="79" t="s">
        <v>15</v>
      </c>
      <c r="F137" s="77" t="str">
        <f t="shared" si="27"/>
        <v>n/a</v>
      </c>
      <c r="G137" s="77">
        <f t="shared" si="12"/>
        <v>114.6313118361536</v>
      </c>
      <c r="H137" s="78">
        <f t="shared" si="12"/>
        <v>103.73488279037724</v>
      </c>
      <c r="I137" s="1"/>
      <c r="J137" s="77"/>
      <c r="K137" s="77"/>
      <c r="L137" s="77"/>
      <c r="M137" s="77"/>
      <c r="N137" s="77"/>
      <c r="O137" s="1"/>
      <c r="P137" s="49"/>
    </row>
    <row r="138" ht="15" customHeight="1">
      <c r="A138" s="1"/>
      <c r="B138" s="65" t="s">
        <v>198</v>
      </c>
      <c r="C138" s="67">
        <f t="shared" si="40" ref="C138:H138">IF(AND(ISNUMBER(C83),ISNUMBER(C95)),C83+C95,"n/a")</f>
        <v>11120</v>
      </c>
      <c r="D138" s="67">
        <f t="shared" si="40"/>
        <v>11651</v>
      </c>
      <c r="E138" s="67" t="str">
        <f t="shared" si="40"/>
        <v>n/a</v>
      </c>
      <c r="F138" s="67">
        <f t="shared" si="40"/>
        <v>12719.5</v>
      </c>
      <c r="G138" s="67">
        <f t="shared" si="40"/>
        <v>13815.5</v>
      </c>
      <c r="H138" s="68">
        <f t="shared" si="40"/>
        <v>14387.5</v>
      </c>
      <c r="I138" s="1"/>
      <c r="J138" s="67"/>
      <c r="K138" s="67"/>
      <c r="L138" s="67"/>
      <c r="M138" s="67"/>
      <c r="N138" s="67"/>
      <c r="O138" s="1"/>
      <c r="P138" s="49"/>
    </row>
    <row r="139" ht="15" customHeight="1">
      <c r="A139" s="1"/>
      <c r="B139" s="50" t="s">
        <v>115</v>
      </c>
      <c r="C139" s="16" t="str">
        <f t="shared" si="6"/>
        <v>n/a</v>
      </c>
      <c r="D139" s="16" t="str">
        <f t="shared" si="6"/>
        <v>n/a</v>
      </c>
      <c r="E139" s="16" t="str">
        <f t="shared" si="6"/>
        <v>n/a</v>
      </c>
      <c r="F139" s="16" t="str">
        <f t="shared" si="6"/>
        <v>n/a</v>
      </c>
      <c r="G139" s="16" t="str">
        <f t="shared" si="6"/>
        <v>n/a</v>
      </c>
      <c r="H139" s="51">
        <f t="shared" si="10"/>
        <v>0.2938399280575539</v>
      </c>
      <c r="I139" s="1"/>
      <c r="J139" s="16"/>
      <c r="K139" s="16"/>
      <c r="L139" s="16"/>
      <c r="M139" s="16"/>
      <c r="N139" s="16"/>
      <c r="O139" s="1"/>
      <c r="P139" s="49"/>
    </row>
    <row r="140" ht="15" customHeight="1">
      <c r="A140" s="1"/>
      <c r="B140" s="53" t="s">
        <v>118</v>
      </c>
      <c r="C140" s="67" t="str">
        <f t="shared" si="7"/>
        <v>n/a</v>
      </c>
      <c r="D140" s="67">
        <f t="shared" si="4"/>
        <v>531</v>
      </c>
      <c r="E140" s="71" t="s">
        <v>15</v>
      </c>
      <c r="F140" s="67">
        <f t="shared" si="8"/>
        <v>1068.5</v>
      </c>
      <c r="G140" s="67">
        <f t="shared" si="4"/>
        <v>1096</v>
      </c>
      <c r="H140" s="68">
        <f t="shared" si="4"/>
        <v>572</v>
      </c>
      <c r="I140" s="1"/>
      <c r="J140" s="67"/>
      <c r="K140" s="67"/>
      <c r="L140" s="67"/>
      <c r="M140" s="67"/>
      <c r="N140" s="67"/>
      <c r="O140" s="1"/>
      <c r="P140" s="49"/>
    </row>
    <row r="141" ht="15" customHeight="1">
      <c r="A141" s="1"/>
      <c r="B141" s="3" t="s">
        <v>199</v>
      </c>
      <c r="C141" s="1"/>
      <c r="D141" s="1"/>
      <c r="E141" s="1"/>
      <c r="F141" s="1"/>
      <c r="G141" s="1"/>
      <c r="H141" s="48"/>
      <c r="I141" s="1"/>
      <c r="J141" s="1"/>
      <c r="K141" s="1"/>
      <c r="L141" s="1"/>
      <c r="M141" s="1"/>
      <c r="N141" s="1"/>
      <c r="O141" s="1"/>
      <c r="P141" s="49"/>
    </row>
    <row r="142" ht="15" customHeight="1">
      <c r="A142" s="1"/>
      <c r="B142" s="65" t="s">
        <v>200</v>
      </c>
      <c r="C142" s="20">
        <f t="shared" si="41" ref="C142:G142">C244/C18/3*1000</f>
        <v>76.65292203601683</v>
      </c>
      <c r="D142" s="20">
        <f t="shared" si="41"/>
        <v>76.36163001497596</v>
      </c>
      <c r="E142" s="20">
        <f>E244/E18/12*1000</f>
        <v>76.41832751554246</v>
      </c>
      <c r="F142" s="20">
        <f t="shared" si="41"/>
        <v>75.94289825641991</v>
      </c>
      <c r="G142" s="20">
        <f t="shared" si="41"/>
        <v>77.68943855516292</v>
      </c>
      <c r="H142" s="81">
        <v>77.8</v>
      </c>
      <c r="I142" s="1"/>
      <c r="J142" s="82" t="s">
        <v>15</v>
      </c>
      <c r="K142" s="82" t="s">
        <v>15</v>
      </c>
      <c r="L142" s="82" t="s">
        <v>15</v>
      </c>
      <c r="M142" s="20">
        <f>M244/AVERAGE(K15,M15)/3*1000</f>
        <v>76.14670508071524</v>
      </c>
      <c r="N142" s="20">
        <f>N244/AVERAGE(M15,N15)/3*1000</f>
        <v>76.72364147073753</v>
      </c>
      <c r="O142" s="1"/>
      <c r="P142" s="49" t="s">
        <v>201</v>
      </c>
    </row>
    <row r="143" ht="15" customHeight="1">
      <c r="A143" s="1"/>
      <c r="B143" s="50" t="s">
        <v>115</v>
      </c>
      <c r="C143" s="16" t="str">
        <f t="shared" si="42" ref="C143:G146">IF(AND(ISNUMBER(C142),ISNUMBER(J142)),C142/J142-1,"n/a")</f>
        <v>n/a</v>
      </c>
      <c r="D143" s="16" t="str">
        <f t="shared" si="42"/>
        <v>n/a</v>
      </c>
      <c r="E143" s="52" t="s">
        <v>15</v>
      </c>
      <c r="F143" s="16">
        <f t="shared" si="42"/>
        <v>-0.002676502208195264</v>
      </c>
      <c r="G143" s="16">
        <f t="shared" si="42"/>
        <v>0.012587998508826637</v>
      </c>
      <c r="H143" s="51">
        <f t="shared" si="44" ref="H143:H146">IF(AND(ISNUMBER(H142),ISNUMBER(C142)),H142/C142-1,"n/a")</f>
        <v>0.014964569301665787</v>
      </c>
      <c r="I143" s="1"/>
      <c r="J143" s="16"/>
      <c r="K143" s="16"/>
      <c r="L143" s="16"/>
      <c r="M143" s="16"/>
      <c r="N143" s="16"/>
      <c r="O143" s="1"/>
      <c r="P143" s="49"/>
    </row>
    <row r="144" ht="15" customHeight="1">
      <c r="A144" s="1"/>
      <c r="B144" s="53" t="s">
        <v>202</v>
      </c>
      <c r="C144" s="20">
        <f t="shared" si="7"/>
        <v>-0.07071943472070075</v>
      </c>
      <c r="D144" s="20">
        <f t="shared" si="4"/>
        <v>-0.29129202104087426</v>
      </c>
      <c r="E144" s="82" t="s">
        <v>15</v>
      </c>
      <c r="F144" s="20">
        <f t="shared" si="8"/>
        <v>-0.41873175855604927</v>
      </c>
      <c r="G144" s="20">
        <f t="shared" si="4"/>
        <v>1.7465402987430139</v>
      </c>
      <c r="H144" s="83">
        <f t="shared" si="4"/>
        <v>0.11056144483707442</v>
      </c>
      <c r="I144" s="1"/>
      <c r="J144" s="20"/>
      <c r="K144" s="20"/>
      <c r="L144" s="20"/>
      <c r="M144" s="20"/>
      <c r="N144" s="20"/>
      <c r="O144" s="1"/>
      <c r="P144" s="49"/>
    </row>
    <row r="145" ht="15" customHeight="1">
      <c r="A145" s="1"/>
      <c r="B145" s="63" t="s">
        <v>203</v>
      </c>
      <c r="C145" s="20">
        <f t="shared" si="43" ref="C145:G145">IF(ISNUMBER(C138),C158/C138/3*1000,"n/a")</f>
        <v>72.27218225419664</v>
      </c>
      <c r="D145" s="20">
        <f t="shared" si="43"/>
        <v>71.58183846880097</v>
      </c>
      <c r="E145" s="20" t="str">
        <f>IF(ISNUMBER(E138),E158/E138/12*1000,"n/a")</f>
        <v>n/a</v>
      </c>
      <c r="F145" s="20">
        <f t="shared" si="43"/>
        <v>73.35193993474586</v>
      </c>
      <c r="G145" s="20">
        <f t="shared" si="43"/>
        <v>70.59703473152136</v>
      </c>
      <c r="H145" s="81">
        <v>69.9</v>
      </c>
      <c r="I145" s="1"/>
      <c r="J145" s="82" t="s">
        <v>15</v>
      </c>
      <c r="K145" s="82" t="s">
        <v>15</v>
      </c>
      <c r="L145" s="82" t="s">
        <v>15</v>
      </c>
      <c r="M145" s="82" t="s">
        <v>15</v>
      </c>
      <c r="N145" s="20">
        <f>N158/AVERAGE(M80+M92,N80+N92)/3*1000</f>
        <v>72.17303949268538</v>
      </c>
      <c r="O145" s="1"/>
      <c r="P145" s="49" t="s">
        <v>204</v>
      </c>
    </row>
    <row r="146" ht="15" customHeight="1">
      <c r="A146" s="1"/>
      <c r="B146" s="50" t="s">
        <v>115</v>
      </c>
      <c r="C146" s="16" t="str">
        <f t="shared" si="42"/>
        <v>n/a</v>
      </c>
      <c r="D146" s="16" t="str">
        <f t="shared" si="42"/>
        <v>n/a</v>
      </c>
      <c r="E146" s="52" t="s">
        <v>15</v>
      </c>
      <c r="F146" s="16" t="str">
        <f t="shared" si="42"/>
        <v>n/a</v>
      </c>
      <c r="G146" s="16">
        <f t="shared" si="42"/>
        <v>-0.021836474842156783</v>
      </c>
      <c r="H146" s="51">
        <f t="shared" si="44"/>
        <v>-0.03282289506428848</v>
      </c>
      <c r="I146" s="1"/>
      <c r="J146" s="16"/>
      <c r="K146" s="16"/>
      <c r="L146" s="16"/>
      <c r="M146" s="16"/>
      <c r="N146" s="16"/>
      <c r="O146" s="1"/>
      <c r="P146" s="49"/>
    </row>
    <row r="147" ht="15" customHeight="1">
      <c r="A147" s="1"/>
      <c r="B147" s="53" t="s">
        <v>202</v>
      </c>
      <c r="C147" s="20">
        <f t="shared" si="7"/>
        <v>0.09914276151125989</v>
      </c>
      <c r="D147" s="20">
        <f t="shared" si="4"/>
        <v>-0.6903437853956689</v>
      </c>
      <c r="E147" s="82" t="s">
        <v>15</v>
      </c>
      <c r="F147" s="20">
        <f t="shared" si="8"/>
        <v>1.7701014659448902</v>
      </c>
      <c r="G147" s="20">
        <f t="shared" si="4"/>
        <v>-2.754905203224496</v>
      </c>
      <c r="H147" s="83">
        <f t="shared" si="4"/>
        <v>-0.6970347315213559</v>
      </c>
      <c r="I147" s="1"/>
      <c r="J147" s="20"/>
      <c r="K147" s="20"/>
      <c r="L147" s="20"/>
      <c r="M147" s="20"/>
      <c r="N147" s="20"/>
      <c r="O147" s="1"/>
      <c r="P147" s="49"/>
    </row>
    <row r="148" ht="15" customHeight="1">
      <c r="A148" s="1"/>
      <c r="B148" s="65" t="s">
        <v>205</v>
      </c>
      <c r="C148" s="60">
        <v>0</v>
      </c>
      <c r="D148" s="60">
        <v>0</v>
      </c>
      <c r="E148" s="60">
        <v>0</v>
      </c>
      <c r="F148" s="15">
        <f>F79*F145*2/1000</f>
        <v>164.4550493337002</v>
      </c>
      <c r="G148" s="15">
        <f t="shared" si="45" ref="G148:H148">$F$79*G145*3/1000</f>
        <v>237.41782780210636</v>
      </c>
      <c r="H148" s="54">
        <f t="shared" si="45"/>
        <v>235.0737</v>
      </c>
      <c r="I148" s="1"/>
      <c r="J148" s="15"/>
      <c r="K148" s="15"/>
      <c r="L148" s="15"/>
      <c r="M148" s="15"/>
      <c r="N148" s="15"/>
      <c r="O148" s="1"/>
      <c r="P148" s="49" t="s">
        <v>206</v>
      </c>
    </row>
    <row r="149" ht="15" customHeight="1">
      <c r="A149" s="1"/>
      <c r="B149" s="3" t="s">
        <v>207</v>
      </c>
      <c r="C149" s="1"/>
      <c r="D149" s="1"/>
      <c r="E149" s="1"/>
      <c r="F149" s="1"/>
      <c r="G149" s="1"/>
      <c r="H149" s="48"/>
      <c r="I149" s="1"/>
      <c r="J149" s="1"/>
      <c r="K149" s="1"/>
      <c r="L149" s="1"/>
      <c r="M149" s="1"/>
      <c r="N149" s="1"/>
      <c r="O149" s="1"/>
      <c r="P149" s="49"/>
    </row>
    <row r="150" ht="15" customHeight="1">
      <c r="A150" s="1"/>
      <c r="B150" s="1" t="s">
        <v>208</v>
      </c>
      <c r="C150" s="60">
        <v>14594</v>
      </c>
      <c r="D150" s="60">
        <v>14605</v>
      </c>
      <c r="E150" s="15">
        <f t="shared" si="18"/>
        <v>58128</v>
      </c>
      <c r="F150" s="60">
        <v>14584</v>
      </c>
      <c r="G150" s="60">
        <v>14992</v>
      </c>
      <c r="H150" s="54">
        <f>H244-H197</f>
        <v>15085.3458177</v>
      </c>
      <c r="I150" s="1"/>
      <c r="J150" s="60">
        <v>14211</v>
      </c>
      <c r="K150" s="60">
        <v>14230</v>
      </c>
      <c r="L150" s="60">
        <v>56161</v>
      </c>
      <c r="M150" s="60">
        <v>14370</v>
      </c>
      <c r="N150" s="60">
        <v>14559</v>
      </c>
      <c r="O150" s="1"/>
      <c r="P150" s="49"/>
    </row>
    <row r="151" ht="15" customHeight="1">
      <c r="A151" s="1"/>
      <c r="B151" s="50" t="s">
        <v>115</v>
      </c>
      <c r="C151" s="16">
        <f t="shared" si="6"/>
        <v>0.026950953486735596</v>
      </c>
      <c r="D151" s="16">
        <f t="shared" si="6"/>
        <v>0.026352775825720265</v>
      </c>
      <c r="E151" s="16">
        <f t="shared" si="6"/>
        <v>0.035024305122772104</v>
      </c>
      <c r="F151" s="16">
        <f t="shared" si="6"/>
        <v>0.014892136395267874</v>
      </c>
      <c r="G151" s="16">
        <f t="shared" si="6"/>
        <v>0.029741053643794313</v>
      </c>
      <c r="H151" s="51">
        <f t="shared" si="10"/>
        <v>0.033667659154446916</v>
      </c>
      <c r="I151" s="1"/>
      <c r="J151" s="16"/>
      <c r="K151" s="16"/>
      <c r="L151" s="16"/>
      <c r="M151" s="16"/>
      <c r="N151" s="16"/>
      <c r="O151" s="1"/>
      <c r="P151" s="49"/>
    </row>
    <row r="152" ht="15" customHeight="1">
      <c r="A152" s="1"/>
      <c r="B152" s="50" t="s">
        <v>116</v>
      </c>
      <c r="C152" s="16">
        <f t="shared" si="50" ref="C152:C272">IF(AND(ISNUMBER(C150),ISNUMBER(N150)),IF(N150&lt;&gt;0,C150/N150-1,"n/a"),"n/a")</f>
        <v>0.002404011264509842</v>
      </c>
      <c r="D152" s="16">
        <f t="shared" si="46" ref="D152:H272">IF(AND(ISNUMBER(D150),ISNUMBER(C150)),IF(C150&lt;&gt;0,D150/C150-1,"n/a"),"n/a")</f>
        <v>0.0007537344114019184</v>
      </c>
      <c r="E152" s="52" t="s">
        <v>15</v>
      </c>
      <c r="F152" s="16">
        <f t="shared" si="51" ref="F152:F272">IF(AND(ISNUMBER(F150),ISNUMBER(D150)),IF(D150&lt;&gt;0,F150/D150-1,"n/a"),"n/a")</f>
        <v>-0.0014378637452927556</v>
      </c>
      <c r="G152" s="16">
        <f t="shared" si="46"/>
        <v>0.027975863960504554</v>
      </c>
      <c r="H152" s="51">
        <f t="shared" si="46"/>
        <v>0.006226375246798144</v>
      </c>
      <c r="I152" s="1"/>
      <c r="J152" s="16"/>
      <c r="K152" s="16"/>
      <c r="L152" s="16"/>
      <c r="M152" s="16"/>
      <c r="N152" s="16"/>
      <c r="O152" s="1"/>
      <c r="P152" s="49"/>
    </row>
    <row r="153" ht="15" customHeight="1">
      <c r="A153" s="1"/>
      <c r="B153" s="53" t="s">
        <v>118</v>
      </c>
      <c r="C153" s="15">
        <f t="shared" si="52" ref="C153:C273">IF(AND(ISNUMBER(C150),ISNUMBER(N150)),C150-N150,"n/a")</f>
        <v>35</v>
      </c>
      <c r="D153" s="15">
        <f t="shared" si="47" ref="D153:H273">IF(AND(ISNUMBER(D150),ISNUMBER(C150)),D150-C150,"n/a")</f>
        <v>11</v>
      </c>
      <c r="E153" s="21" t="s">
        <v>15</v>
      </c>
      <c r="F153" s="15">
        <f t="shared" si="53" ref="F153:F273">IF(AND(ISNUMBER(F150),ISNUMBER(D150)),F150-D150,"n/a")</f>
        <v>-21</v>
      </c>
      <c r="G153" s="15">
        <f t="shared" si="47"/>
        <v>408</v>
      </c>
      <c r="H153" s="54">
        <f t="shared" si="47"/>
        <v>93.34581769999932</v>
      </c>
      <c r="I153" s="1"/>
      <c r="J153" s="15"/>
      <c r="K153" s="15"/>
      <c r="L153" s="15"/>
      <c r="M153" s="15"/>
      <c r="N153" s="15"/>
      <c r="O153" s="1"/>
      <c r="P153" s="49"/>
    </row>
    <row r="154" ht="15" customHeight="1">
      <c r="A154" s="1"/>
      <c r="B154" s="50" t="s">
        <v>119</v>
      </c>
      <c r="C154" s="57">
        <v>0</v>
      </c>
      <c r="D154" s="57">
        <v>0</v>
      </c>
      <c r="E154" s="57">
        <v>0</v>
      </c>
      <c r="F154" s="57">
        <v>0</v>
      </c>
      <c r="G154" s="57">
        <v>0</v>
      </c>
      <c r="H154" s="58">
        <v>0</v>
      </c>
      <c r="I154" s="1"/>
      <c r="J154" s="16"/>
      <c r="K154" s="16"/>
      <c r="L154" s="16"/>
      <c r="M154" s="16"/>
      <c r="N154" s="16"/>
      <c r="O154" s="1"/>
      <c r="P154" s="49"/>
    </row>
    <row r="155" ht="15" customHeight="1">
      <c r="A155" s="1"/>
      <c r="B155" s="50" t="s">
        <v>120</v>
      </c>
      <c r="C155" s="57">
        <v>0</v>
      </c>
      <c r="D155" s="57">
        <v>0</v>
      </c>
      <c r="E155" s="57">
        <v>0</v>
      </c>
      <c r="F155" s="57">
        <v>0</v>
      </c>
      <c r="G155" s="57">
        <v>0</v>
      </c>
      <c r="H155" s="58">
        <v>0</v>
      </c>
      <c r="I155" s="1"/>
      <c r="J155" s="16"/>
      <c r="K155" s="16"/>
      <c r="L155" s="16"/>
      <c r="M155" s="16"/>
      <c r="N155" s="16"/>
      <c r="O155" s="1"/>
      <c r="P155" s="49"/>
    </row>
    <row r="156" ht="15" customHeight="1">
      <c r="A156" s="1"/>
      <c r="B156" s="50" t="s">
        <v>121</v>
      </c>
      <c r="C156" s="16">
        <f t="shared" si="48" ref="C156:H276">IF(AND(ISNUMBER(C151),ISNUMBER(C154),ISNUMBER(C155)),(1+C151)/((1+C154)*(1+C155))-1,"unavailable")</f>
        <v>0.026950953486735596</v>
      </c>
      <c r="D156" s="16">
        <f t="shared" si="48"/>
        <v>0.026352775825720265</v>
      </c>
      <c r="E156" s="16">
        <f t="shared" si="48"/>
        <v>0.035024305122772104</v>
      </c>
      <c r="F156" s="16">
        <f t="shared" si="48"/>
        <v>0.014892136395267874</v>
      </c>
      <c r="G156" s="16">
        <f t="shared" si="48"/>
        <v>0.029741053643794313</v>
      </c>
      <c r="H156" s="51">
        <f t="shared" si="48"/>
        <v>0.033667659154446916</v>
      </c>
      <c r="I156" s="1"/>
      <c r="J156" s="16"/>
      <c r="K156" s="16"/>
      <c r="L156" s="16"/>
      <c r="M156" s="16"/>
      <c r="N156" s="16"/>
      <c r="O156" s="1"/>
      <c r="P156" s="49"/>
    </row>
    <row r="157" ht="15" customHeight="1">
      <c r="A157" s="1"/>
      <c r="B157" s="50" t="s">
        <v>209</v>
      </c>
      <c r="C157" s="16">
        <f t="shared" si="49" ref="C157:H157">C150/C270</f>
        <v>0.5306330218521615</v>
      </c>
      <c r="D157" s="16">
        <f t="shared" si="49"/>
        <v>0.48309738025932786</v>
      </c>
      <c r="E157" s="16">
        <f t="shared" si="49"/>
        <v>0.5170426243506725</v>
      </c>
      <c r="F157" s="16">
        <f t="shared" si="49"/>
        <v>0.512240525446946</v>
      </c>
      <c r="G157" s="16">
        <f t="shared" si="49"/>
        <v>0.5239210204438232</v>
      </c>
      <c r="H157" s="51">
        <f t="shared" si="49"/>
        <v>0.525046611443645</v>
      </c>
      <c r="I157" s="1"/>
      <c r="J157" s="16"/>
      <c r="K157" s="16"/>
      <c r="L157" s="16"/>
      <c r="M157" s="16"/>
      <c r="N157" s="16"/>
      <c r="O157" s="1"/>
      <c r="P157" s="49"/>
    </row>
    <row r="158" ht="15" customHeight="1">
      <c r="A158" s="1"/>
      <c r="B158" s="1" t="s">
        <v>210</v>
      </c>
      <c r="C158" s="60">
        <v>2411</v>
      </c>
      <c r="D158" s="60">
        <v>2502</v>
      </c>
      <c r="E158" s="15">
        <f t="shared" si="18"/>
        <v>9410</v>
      </c>
      <c r="F158" s="60">
        <v>2799</v>
      </c>
      <c r="G158" s="60">
        <v>2926</v>
      </c>
      <c r="H158" s="54">
        <f>H138*H145*3/1000</f>
        <v>3017.0587500000006</v>
      </c>
      <c r="I158" s="1"/>
      <c r="J158" s="60">
        <v>1957</v>
      </c>
      <c r="K158" s="60">
        <v>2079</v>
      </c>
      <c r="L158" s="60">
        <v>7631</v>
      </c>
      <c r="M158" s="60">
        <v>2198</v>
      </c>
      <c r="N158" s="60">
        <v>2299</v>
      </c>
      <c r="O158" s="1"/>
      <c r="P158" s="49"/>
    </row>
    <row r="159" ht="15" customHeight="1">
      <c r="A159" s="1"/>
      <c r="B159" s="50" t="s">
        <v>115</v>
      </c>
      <c r="C159" s="16">
        <f t="shared" si="6"/>
        <v>0.23198773633111913</v>
      </c>
      <c r="D159" s="16">
        <f t="shared" si="6"/>
        <v>0.20346320346320357</v>
      </c>
      <c r="E159" s="16">
        <f t="shared" si="6"/>
        <v>0.23312803040230645</v>
      </c>
      <c r="F159" s="16">
        <f t="shared" si="6"/>
        <v>0.2734303912647862</v>
      </c>
      <c r="G159" s="16">
        <f t="shared" si="6"/>
        <v>0.2727272727272727</v>
      </c>
      <c r="H159" s="51">
        <f t="shared" si="10"/>
        <v>0.25137235586893425</v>
      </c>
      <c r="I159" s="1"/>
      <c r="J159" s="16"/>
      <c r="K159" s="16"/>
      <c r="L159" s="16"/>
      <c r="M159" s="16"/>
      <c r="N159" s="16"/>
      <c r="O159" s="1"/>
      <c r="P159" s="49"/>
    </row>
    <row r="160" ht="15" customHeight="1">
      <c r="A160" s="1"/>
      <c r="B160" s="50" t="s">
        <v>116</v>
      </c>
      <c r="C160" s="16">
        <f t="shared" si="50"/>
        <v>0.04871683340582855</v>
      </c>
      <c r="D160" s="16">
        <f t="shared" si="46"/>
        <v>0.03774367482372454</v>
      </c>
      <c r="E160" s="52" t="s">
        <v>15</v>
      </c>
      <c r="F160" s="16">
        <f t="shared" si="51"/>
        <v>0.11870503597122295</v>
      </c>
      <c r="G160" s="16">
        <f t="shared" si="46"/>
        <v>0.04537334762415157</v>
      </c>
      <c r="H160" s="51">
        <f t="shared" si="46"/>
        <v>0.031120557074504562</v>
      </c>
      <c r="I160" s="1"/>
      <c r="J160" s="16"/>
      <c r="K160" s="16"/>
      <c r="L160" s="16"/>
      <c r="M160" s="16"/>
      <c r="N160" s="16"/>
      <c r="O160" s="1"/>
      <c r="P160" s="49"/>
    </row>
    <row r="161" ht="15" customHeight="1">
      <c r="A161" s="1"/>
      <c r="B161" s="53" t="s">
        <v>118</v>
      </c>
      <c r="C161" s="15">
        <f t="shared" si="52"/>
        <v>112</v>
      </c>
      <c r="D161" s="15">
        <f t="shared" si="47"/>
        <v>91</v>
      </c>
      <c r="E161" s="21" t="s">
        <v>15</v>
      </c>
      <c r="F161" s="15">
        <f t="shared" si="53"/>
        <v>297</v>
      </c>
      <c r="G161" s="15">
        <f t="shared" si="47"/>
        <v>127</v>
      </c>
      <c r="H161" s="54">
        <f t="shared" si="47"/>
        <v>91.0587500000006</v>
      </c>
      <c r="I161" s="1"/>
      <c r="J161" s="15"/>
      <c r="K161" s="15"/>
      <c r="L161" s="15"/>
      <c r="M161" s="15"/>
      <c r="N161" s="15"/>
      <c r="O161" s="1"/>
      <c r="P161" s="49"/>
    </row>
    <row r="162" ht="15" customHeight="1">
      <c r="A162" s="1"/>
      <c r="B162" s="50" t="s">
        <v>119</v>
      </c>
      <c r="C162" s="57">
        <v>0</v>
      </c>
      <c r="D162" s="57">
        <v>0</v>
      </c>
      <c r="E162" s="57">
        <v>0</v>
      </c>
      <c r="F162" s="16">
        <f t="shared" si="54" ref="F162:G162">_xlfn.IFERROR(F148/M158,"unavailable")</f>
        <v>0.07482031361860791</v>
      </c>
      <c r="G162" s="16">
        <f t="shared" si="54"/>
        <v>0.10327004254115109</v>
      </c>
      <c r="H162" s="51">
        <f>_xlfn.IFERROR(H148/C158,"unavailable")</f>
        <v>0.09750049771878888</v>
      </c>
      <c r="I162" s="1"/>
      <c r="J162" s="16"/>
      <c r="K162" s="16"/>
      <c r="L162" s="16"/>
      <c r="M162" s="16"/>
      <c r="N162" s="16"/>
      <c r="O162" s="1"/>
      <c r="P162" s="49"/>
    </row>
    <row r="163" ht="15" customHeight="1">
      <c r="A163" s="1"/>
      <c r="B163" s="50" t="s">
        <v>120</v>
      </c>
      <c r="C163" s="57">
        <v>0</v>
      </c>
      <c r="D163" s="57">
        <v>0</v>
      </c>
      <c r="E163" s="57">
        <v>0</v>
      </c>
      <c r="F163" s="57">
        <v>0</v>
      </c>
      <c r="G163" s="57">
        <v>0</v>
      </c>
      <c r="H163" s="58">
        <v>0</v>
      </c>
      <c r="I163" s="1"/>
      <c r="J163" s="16"/>
      <c r="K163" s="16"/>
      <c r="L163" s="16"/>
      <c r="M163" s="16"/>
      <c r="N163" s="16"/>
      <c r="O163" s="1"/>
      <c r="P163" s="49"/>
    </row>
    <row r="164" ht="15" customHeight="1">
      <c r="A164" s="1"/>
      <c r="B164" s="50" t="s">
        <v>121</v>
      </c>
      <c r="C164" s="16">
        <f t="shared" si="48"/>
        <v>0.23198773633111913</v>
      </c>
      <c r="D164" s="16">
        <f t="shared" si="48"/>
        <v>0.20346320346320357</v>
      </c>
      <c r="E164" s="16">
        <f t="shared" si="48"/>
        <v>0.23312803040230645</v>
      </c>
      <c r="F164" s="16">
        <f t="shared" si="48"/>
        <v>0.18478444734405497</v>
      </c>
      <c r="G164" s="16">
        <f t="shared" si="48"/>
        <v>0.15359542419534256</v>
      </c>
      <c r="H164" s="51">
        <f t="shared" si="48"/>
        <v>0.14020208507419896</v>
      </c>
      <c r="I164" s="1"/>
      <c r="J164" s="16"/>
      <c r="K164" s="16"/>
      <c r="L164" s="16"/>
      <c r="M164" s="16"/>
      <c r="N164" s="16"/>
      <c r="O164" s="1"/>
      <c r="P164" s="49"/>
    </row>
    <row r="165" ht="15" customHeight="1">
      <c r="A165" s="1"/>
      <c r="B165" s="50" t="s">
        <v>209</v>
      </c>
      <c r="C165" s="16">
        <f t="shared" si="55" ref="C165:H165">C158/C270</f>
        <v>0.08766316401847071</v>
      </c>
      <c r="D165" s="16">
        <f t="shared" si="55"/>
        <v>0.08275998941518921</v>
      </c>
      <c r="E165" s="16">
        <f t="shared" si="55"/>
        <v>0.08370098911264498</v>
      </c>
      <c r="F165" s="16">
        <f t="shared" si="55"/>
        <v>0.09831056162410874</v>
      </c>
      <c r="G165" s="16">
        <f t="shared" si="55"/>
        <v>0.10225406255460423</v>
      </c>
      <c r="H165" s="51">
        <f t="shared" si="55"/>
        <v>0.10500895984467527</v>
      </c>
      <c r="I165" s="1"/>
      <c r="J165" s="16"/>
      <c r="K165" s="16"/>
      <c r="L165" s="16"/>
      <c r="M165" s="16"/>
      <c r="N165" s="16"/>
      <c r="O165" s="1"/>
      <c r="P165" s="49"/>
    </row>
    <row r="166" ht="15" customHeight="1">
      <c r="A166" s="1"/>
      <c r="B166" s="1" t="s">
        <v>211</v>
      </c>
      <c r="C166" s="60">
        <v>162</v>
      </c>
      <c r="D166" s="60">
        <v>162</v>
      </c>
      <c r="E166" s="15">
        <f t="shared" si="18"/>
        <v>650</v>
      </c>
      <c r="F166" s="60">
        <v>158</v>
      </c>
      <c r="G166" s="60">
        <v>151</v>
      </c>
      <c r="H166" s="54">
        <f t="shared" si="59" ref="H166:H228">C166*(1+H167)</f>
        <v>150.66</v>
      </c>
      <c r="I166" s="1"/>
      <c r="J166" s="60">
        <v>169</v>
      </c>
      <c r="K166" s="60">
        <v>166</v>
      </c>
      <c r="L166" s="60">
        <v>684</v>
      </c>
      <c r="M166" s="60">
        <v>162</v>
      </c>
      <c r="N166" s="60">
        <v>164</v>
      </c>
      <c r="O166" s="1"/>
      <c r="P166" s="49"/>
    </row>
    <row r="167" ht="15" customHeight="1">
      <c r="A167" s="1"/>
      <c r="B167" s="50" t="s">
        <v>115</v>
      </c>
      <c r="C167" s="16">
        <f t="shared" si="6"/>
        <v>-0.041420118343195256</v>
      </c>
      <c r="D167" s="16">
        <f t="shared" si="6"/>
        <v>-0.02409638554216864</v>
      </c>
      <c r="E167" s="16">
        <f t="shared" si="6"/>
        <v>-0.049707602339181256</v>
      </c>
      <c r="F167" s="16">
        <f t="shared" si="6"/>
        <v>-0.024691358024691357</v>
      </c>
      <c r="G167" s="16">
        <f t="shared" si="6"/>
        <v>-0.07926829268292679</v>
      </c>
      <c r="H167" s="58">
        <v>-0.07</v>
      </c>
      <c r="I167" s="1"/>
      <c r="J167" s="16"/>
      <c r="K167" s="16"/>
      <c r="L167" s="16"/>
      <c r="M167" s="16"/>
      <c r="N167" s="16"/>
      <c r="O167" s="1"/>
      <c r="P167" s="49"/>
    </row>
    <row r="168" ht="15" customHeight="1">
      <c r="A168" s="1"/>
      <c r="B168" s="50" t="s">
        <v>116</v>
      </c>
      <c r="C168" s="16">
        <f t="shared" si="50"/>
        <v>-0.012195121951219523</v>
      </c>
      <c r="D168" s="16">
        <f t="shared" si="46"/>
        <v>0</v>
      </c>
      <c r="E168" s="52" t="s">
        <v>15</v>
      </c>
      <c r="F168" s="16">
        <f t="shared" si="51"/>
        <v>-0.024691358024691357</v>
      </c>
      <c r="G168" s="16">
        <f t="shared" si="46"/>
        <v>-0.044303797468354444</v>
      </c>
      <c r="H168" s="51">
        <f t="shared" si="46"/>
        <v>-0.0022516556291390932</v>
      </c>
      <c r="I168" s="1"/>
      <c r="J168" s="16"/>
      <c r="K168" s="16"/>
      <c r="L168" s="16"/>
      <c r="M168" s="16"/>
      <c r="N168" s="16"/>
      <c r="O168" s="1"/>
      <c r="P168" s="49"/>
    </row>
    <row r="169" ht="15" customHeight="1">
      <c r="A169" s="1"/>
      <c r="B169" s="53" t="s">
        <v>118</v>
      </c>
      <c r="C169" s="15">
        <f t="shared" si="52"/>
        <v>-2</v>
      </c>
      <c r="D169" s="15">
        <f t="shared" si="47"/>
        <v>0</v>
      </c>
      <c r="E169" s="21" t="s">
        <v>15</v>
      </c>
      <c r="F169" s="15">
        <f t="shared" si="53"/>
        <v>-4</v>
      </c>
      <c r="G169" s="15">
        <f t="shared" si="47"/>
        <v>-7</v>
      </c>
      <c r="H169" s="54">
        <f t="shared" si="47"/>
        <v>-0.3400000000000034</v>
      </c>
      <c r="I169" s="1"/>
      <c r="J169" s="15"/>
      <c r="K169" s="15"/>
      <c r="L169" s="15"/>
      <c r="M169" s="15"/>
      <c r="N169" s="15"/>
      <c r="O169" s="1"/>
      <c r="P169" s="49"/>
    </row>
    <row r="170" ht="15" customHeight="1">
      <c r="A170" s="1"/>
      <c r="B170" s="50" t="s">
        <v>119</v>
      </c>
      <c r="C170" s="57">
        <v>0</v>
      </c>
      <c r="D170" s="57">
        <v>0</v>
      </c>
      <c r="E170" s="57">
        <v>0</v>
      </c>
      <c r="F170" s="57">
        <v>0</v>
      </c>
      <c r="G170" s="57">
        <v>0</v>
      </c>
      <c r="H170" s="58">
        <v>0</v>
      </c>
      <c r="I170" s="1"/>
      <c r="J170" s="16"/>
      <c r="K170" s="16"/>
      <c r="L170" s="16"/>
      <c r="M170" s="16"/>
      <c r="N170" s="16"/>
      <c r="O170" s="1"/>
      <c r="P170" s="49"/>
    </row>
    <row r="171" ht="15" customHeight="1">
      <c r="A171" s="1"/>
      <c r="B171" s="50" t="s">
        <v>120</v>
      </c>
      <c r="C171" s="57">
        <v>0</v>
      </c>
      <c r="D171" s="57">
        <v>0</v>
      </c>
      <c r="E171" s="57">
        <v>0</v>
      </c>
      <c r="F171" s="57">
        <v>0</v>
      </c>
      <c r="G171" s="57">
        <v>0</v>
      </c>
      <c r="H171" s="58">
        <v>0</v>
      </c>
      <c r="I171" s="1"/>
      <c r="J171" s="16"/>
      <c r="K171" s="16"/>
      <c r="L171" s="16"/>
      <c r="M171" s="16"/>
      <c r="N171" s="16"/>
      <c r="O171" s="1"/>
      <c r="P171" s="49"/>
    </row>
    <row r="172" ht="15" customHeight="1">
      <c r="A172" s="1"/>
      <c r="B172" s="50" t="s">
        <v>121</v>
      </c>
      <c r="C172" s="16">
        <f t="shared" si="48"/>
        <v>-0.041420118343195256</v>
      </c>
      <c r="D172" s="16">
        <f t="shared" si="48"/>
        <v>-0.02409638554216864</v>
      </c>
      <c r="E172" s="16">
        <f t="shared" si="48"/>
        <v>-0.049707602339181256</v>
      </c>
      <c r="F172" s="16">
        <f t="shared" si="48"/>
        <v>-0.024691358024691357</v>
      </c>
      <c r="G172" s="16">
        <f t="shared" si="48"/>
        <v>-0.07926829268292679</v>
      </c>
      <c r="H172" s="51">
        <f t="shared" si="48"/>
        <v>-0.07000000000000006</v>
      </c>
      <c r="I172" s="1"/>
      <c r="J172" s="16"/>
      <c r="K172" s="16"/>
      <c r="L172" s="16"/>
      <c r="M172" s="16"/>
      <c r="N172" s="16"/>
      <c r="O172" s="1"/>
      <c r="P172" s="49"/>
    </row>
    <row r="173" ht="15" customHeight="1">
      <c r="A173" s="1"/>
      <c r="B173" s="50" t="s">
        <v>209</v>
      </c>
      <c r="C173" s="16">
        <f t="shared" si="56" ref="C173:H173">C166/C270</f>
        <v>0.0058902665163800315</v>
      </c>
      <c r="D173" s="16">
        <f t="shared" si="56"/>
        <v>0.005358560465731675</v>
      </c>
      <c r="E173" s="16">
        <f t="shared" si="56"/>
        <v>0.00578168362627197</v>
      </c>
      <c r="F173" s="16">
        <f t="shared" si="56"/>
        <v>0.005549506515401636</v>
      </c>
      <c r="G173" s="16">
        <f t="shared" si="56"/>
        <v>0.005276952647213</v>
      </c>
      <c r="H173" s="51">
        <f t="shared" si="56"/>
        <v>0.005243732787834765</v>
      </c>
      <c r="I173" s="1"/>
      <c r="J173" s="16"/>
      <c r="K173" s="16"/>
      <c r="L173" s="16"/>
      <c r="M173" s="16"/>
      <c r="N173" s="16"/>
      <c r="O173" s="1"/>
      <c r="P173" s="49"/>
    </row>
    <row r="174" ht="15" customHeight="1">
      <c r="A174" s="1"/>
      <c r="B174" s="3" t="s">
        <v>212</v>
      </c>
      <c r="C174" s="61">
        <f t="shared" si="57" ref="C174:N221">C150+C158+C166</f>
        <v>17167</v>
      </c>
      <c r="D174" s="61">
        <f t="shared" si="57"/>
        <v>17269</v>
      </c>
      <c r="E174" s="61">
        <f t="shared" si="57"/>
        <v>68188</v>
      </c>
      <c r="F174" s="61">
        <f t="shared" si="57"/>
        <v>17541</v>
      </c>
      <c r="G174" s="61">
        <f t="shared" si="57"/>
        <v>18069</v>
      </c>
      <c r="H174" s="62">
        <f t="shared" si="57"/>
        <v>18253.0645677</v>
      </c>
      <c r="I174" s="1"/>
      <c r="J174" s="61">
        <f t="shared" si="57"/>
        <v>16337</v>
      </c>
      <c r="K174" s="61">
        <f t="shared" si="57"/>
        <v>16475</v>
      </c>
      <c r="L174" s="61">
        <f t="shared" si="57"/>
        <v>64476</v>
      </c>
      <c r="M174" s="61">
        <f t="shared" si="57"/>
        <v>16730</v>
      </c>
      <c r="N174" s="61">
        <f t="shared" si="57"/>
        <v>17022</v>
      </c>
      <c r="O174" s="1"/>
      <c r="P174" s="49"/>
    </row>
    <row r="175" ht="15" customHeight="1">
      <c r="A175" s="1"/>
      <c r="B175" s="50" t="s">
        <v>115</v>
      </c>
      <c r="C175" s="16">
        <f t="shared" si="6"/>
        <v>0.050804921344188125</v>
      </c>
      <c r="D175" s="16">
        <f t="shared" si="6"/>
        <v>0.04819423368740505</v>
      </c>
      <c r="E175" s="16">
        <f t="shared" si="6"/>
        <v>0.05757180966561193</v>
      </c>
      <c r="F175" s="16">
        <f t="shared" si="6"/>
        <v>0.04847579199043639</v>
      </c>
      <c r="G175" s="16">
        <f t="shared" si="6"/>
        <v>0.06150863588297506</v>
      </c>
      <c r="H175" s="51">
        <f t="shared" si="10"/>
        <v>0.06326466870740366</v>
      </c>
      <c r="I175" s="1"/>
      <c r="J175" s="16"/>
      <c r="K175" s="16"/>
      <c r="L175" s="16"/>
      <c r="M175" s="16"/>
      <c r="N175" s="16"/>
      <c r="O175" s="1"/>
      <c r="P175" s="49"/>
    </row>
    <row r="176" ht="15" customHeight="1">
      <c r="A176" s="1"/>
      <c r="B176" s="50" t="s">
        <v>116</v>
      </c>
      <c r="C176" s="16">
        <f t="shared" si="50"/>
        <v>0.008518387968511343</v>
      </c>
      <c r="D176" s="16">
        <f t="shared" si="46"/>
        <v>0.0059416322013163825</v>
      </c>
      <c r="E176" s="52" t="s">
        <v>15</v>
      </c>
      <c r="F176" s="16">
        <f t="shared" si="51"/>
        <v>0.015750767270832133</v>
      </c>
      <c r="G176" s="16">
        <f t="shared" si="46"/>
        <v>0.030100906447750875</v>
      </c>
      <c r="H176" s="51">
        <f t="shared" si="46"/>
        <v>0.010186760069732737</v>
      </c>
      <c r="I176" s="1"/>
      <c r="J176" s="16"/>
      <c r="K176" s="16"/>
      <c r="L176" s="16"/>
      <c r="M176" s="16"/>
      <c r="N176" s="16"/>
      <c r="O176" s="1"/>
      <c r="P176" s="49"/>
    </row>
    <row r="177" ht="15" customHeight="1">
      <c r="A177" s="1"/>
      <c r="B177" s="53" t="s">
        <v>118</v>
      </c>
      <c r="C177" s="15">
        <f t="shared" si="52"/>
        <v>145</v>
      </c>
      <c r="D177" s="15">
        <f t="shared" si="47"/>
        <v>102</v>
      </c>
      <c r="E177" s="21" t="s">
        <v>15</v>
      </c>
      <c r="F177" s="15">
        <f t="shared" si="53"/>
        <v>272</v>
      </c>
      <c r="G177" s="15">
        <f t="shared" si="47"/>
        <v>528</v>
      </c>
      <c r="H177" s="54">
        <f t="shared" si="47"/>
        <v>184.06456769999932</v>
      </c>
      <c r="I177" s="1"/>
      <c r="J177" s="15"/>
      <c r="K177" s="15"/>
      <c r="L177" s="15"/>
      <c r="M177" s="15"/>
      <c r="N177" s="15"/>
      <c r="O177" s="1"/>
      <c r="P177" s="49"/>
    </row>
    <row r="178" ht="15" customHeight="1">
      <c r="A178" s="1"/>
      <c r="B178" s="50" t="s">
        <v>119</v>
      </c>
      <c r="C178" s="57">
        <v>0</v>
      </c>
      <c r="D178" s="57">
        <v>0</v>
      </c>
      <c r="E178" s="57">
        <v>0</v>
      </c>
      <c r="F178" s="16">
        <f t="shared" si="58" ref="F178:G178">_xlfn.IFERROR(F148/M174,"unavailable")</f>
        <v>0.009829949153239701</v>
      </c>
      <c r="G178" s="16">
        <f t="shared" si="58"/>
        <v>0.013947704605927997</v>
      </c>
      <c r="H178" s="51">
        <f>_xlfn.IFERROR(H148/C174,"unavailable")</f>
        <v>0.01369334770198637</v>
      </c>
      <c r="I178" s="1"/>
      <c r="J178" s="16"/>
      <c r="K178" s="16"/>
      <c r="L178" s="16"/>
      <c r="M178" s="16"/>
      <c r="N178" s="16"/>
      <c r="O178" s="1"/>
      <c r="P178" s="49"/>
    </row>
    <row r="179" ht="15" customHeight="1">
      <c r="A179" s="1"/>
      <c r="B179" s="50" t="s">
        <v>120</v>
      </c>
      <c r="C179" s="57">
        <v>0</v>
      </c>
      <c r="D179" s="57">
        <v>0</v>
      </c>
      <c r="E179" s="57">
        <v>0</v>
      </c>
      <c r="F179" s="57">
        <v>0</v>
      </c>
      <c r="G179" s="57">
        <v>0</v>
      </c>
      <c r="H179" s="58">
        <v>0</v>
      </c>
      <c r="I179" s="1"/>
      <c r="J179" s="16"/>
      <c r="K179" s="16"/>
      <c r="L179" s="16"/>
      <c r="M179" s="16"/>
      <c r="N179" s="16"/>
      <c r="O179" s="1"/>
      <c r="P179" s="49"/>
    </row>
    <row r="180" ht="15" customHeight="1">
      <c r="A180" s="1"/>
      <c r="B180" s="50" t="s">
        <v>121</v>
      </c>
      <c r="C180" s="16">
        <f t="shared" si="48"/>
        <v>0.050804921344188125</v>
      </c>
      <c r="D180" s="16">
        <f t="shared" si="48"/>
        <v>0.04819423368740505</v>
      </c>
      <c r="E180" s="16">
        <f t="shared" si="48"/>
        <v>0.05757180966561193</v>
      </c>
      <c r="F180" s="16">
        <f t="shared" si="48"/>
        <v>0.038269654083444404</v>
      </c>
      <c r="G180" s="16">
        <f t="shared" si="48"/>
        <v>0.04690669061234454</v>
      </c>
      <c r="H180" s="51">
        <f t="shared" si="48"/>
        <v>0.048901693118332146</v>
      </c>
      <c r="I180" s="1"/>
      <c r="J180" s="16"/>
      <c r="K180" s="16"/>
      <c r="L180" s="16"/>
      <c r="M180" s="16"/>
      <c r="N180" s="16"/>
      <c r="O180" s="1"/>
      <c r="P180" s="49"/>
    </row>
    <row r="181" ht="15" customHeight="1">
      <c r="A181" s="1"/>
      <c r="B181" s="1" t="s">
        <v>213</v>
      </c>
      <c r="C181" s="60">
        <v>4107</v>
      </c>
      <c r="D181" s="60">
        <v>6445</v>
      </c>
      <c r="E181" s="15">
        <f t="shared" si="18"/>
        <v>19071</v>
      </c>
      <c r="F181" s="60">
        <v>4611</v>
      </c>
      <c r="G181" s="60">
        <v>4260</v>
      </c>
      <c r="H181" s="54">
        <f t="shared" si="59"/>
        <v>4168.605</v>
      </c>
      <c r="I181" s="1"/>
      <c r="J181" s="60">
        <v>3845</v>
      </c>
      <c r="K181" s="60">
        <v>5746</v>
      </c>
      <c r="L181" s="60">
        <v>17100</v>
      </c>
      <c r="M181" s="60">
        <v>4246</v>
      </c>
      <c r="N181" s="60">
        <v>4273</v>
      </c>
      <c r="O181" s="1"/>
      <c r="P181" s="49"/>
    </row>
    <row r="182" ht="15" customHeight="1">
      <c r="A182" s="1"/>
      <c r="B182" s="50" t="s">
        <v>115</v>
      </c>
      <c r="C182" s="16">
        <f t="shared" si="6"/>
        <v>0.0681404421326397</v>
      </c>
      <c r="D182" s="16">
        <f t="shared" si="6"/>
        <v>0.12164984336930029</v>
      </c>
      <c r="E182" s="16">
        <f t="shared" si="6"/>
        <v>0.11526315789473673</v>
      </c>
      <c r="F182" s="16">
        <f t="shared" si="6"/>
        <v>0.08596325953838901</v>
      </c>
      <c r="G182" s="16">
        <f t="shared" si="6"/>
        <v>-0.003042358998361805</v>
      </c>
      <c r="H182" s="58">
        <v>0.015</v>
      </c>
      <c r="I182" s="1"/>
      <c r="J182" s="16"/>
      <c r="K182" s="16"/>
      <c r="L182" s="16"/>
      <c r="M182" s="16"/>
      <c r="N182" s="16"/>
      <c r="O182" s="1"/>
      <c r="P182" s="49"/>
    </row>
    <row r="183" ht="15" customHeight="1">
      <c r="A183" s="1"/>
      <c r="B183" s="50" t="s">
        <v>116</v>
      </c>
      <c r="C183" s="16">
        <f t="shared" si="50"/>
        <v>-0.03884858413292769</v>
      </c>
      <c r="D183" s="16">
        <f t="shared" si="46"/>
        <v>0.56927197467738</v>
      </c>
      <c r="E183" s="52" t="s">
        <v>15</v>
      </c>
      <c r="F183" s="16">
        <f t="shared" si="51"/>
        <v>-0.2845616757176106</v>
      </c>
      <c r="G183" s="16">
        <f t="shared" si="46"/>
        <v>-0.07612231620039034</v>
      </c>
      <c r="H183" s="51">
        <f t="shared" si="46"/>
        <v>-0.021454225352112832</v>
      </c>
      <c r="I183" s="1"/>
      <c r="J183" s="16"/>
      <c r="K183" s="16"/>
      <c r="L183" s="16"/>
      <c r="M183" s="16"/>
      <c r="N183" s="16"/>
      <c r="O183" s="1"/>
      <c r="P183" s="49"/>
    </row>
    <row r="184" ht="15" customHeight="1">
      <c r="A184" s="1"/>
      <c r="B184" s="53" t="s">
        <v>118</v>
      </c>
      <c r="C184" s="15">
        <f t="shared" si="52"/>
        <v>-166</v>
      </c>
      <c r="D184" s="15">
        <f t="shared" si="47"/>
        <v>2338</v>
      </c>
      <c r="E184" s="21" t="s">
        <v>15</v>
      </c>
      <c r="F184" s="15">
        <f t="shared" si="53"/>
        <v>-1834</v>
      </c>
      <c r="G184" s="15">
        <f t="shared" si="47"/>
        <v>-351</v>
      </c>
      <c r="H184" s="54">
        <f t="shared" si="47"/>
        <v>-91.39500000000044</v>
      </c>
      <c r="I184" s="1"/>
      <c r="J184" s="15"/>
      <c r="K184" s="15"/>
      <c r="L184" s="15"/>
      <c r="M184" s="15"/>
      <c r="N184" s="15"/>
      <c r="O184" s="1"/>
      <c r="P184" s="49"/>
    </row>
    <row r="185" ht="15" customHeight="1">
      <c r="A185" s="1"/>
      <c r="B185" s="50" t="s">
        <v>119</v>
      </c>
      <c r="C185" s="57">
        <v>0</v>
      </c>
      <c r="D185" s="57">
        <v>0</v>
      </c>
      <c r="E185" s="57">
        <v>0</v>
      </c>
      <c r="F185" s="57">
        <v>0</v>
      </c>
      <c r="G185" s="57">
        <v>0</v>
      </c>
      <c r="H185" s="58">
        <v>0</v>
      </c>
      <c r="I185" s="1"/>
      <c r="J185" s="16"/>
      <c r="K185" s="16"/>
      <c r="L185" s="16"/>
      <c r="M185" s="16"/>
      <c r="N185" s="16"/>
      <c r="O185" s="1"/>
      <c r="P185" s="49"/>
    </row>
    <row r="186" ht="15" customHeight="1">
      <c r="A186" s="1"/>
      <c r="B186" s="50" t="s">
        <v>120</v>
      </c>
      <c r="C186" s="57">
        <v>0</v>
      </c>
      <c r="D186" s="57">
        <v>0</v>
      </c>
      <c r="E186" s="57">
        <v>0</v>
      </c>
      <c r="F186" s="57">
        <v>0</v>
      </c>
      <c r="G186" s="57">
        <v>0</v>
      </c>
      <c r="H186" s="58">
        <v>0</v>
      </c>
      <c r="I186" s="1"/>
      <c r="J186" s="16"/>
      <c r="K186" s="16"/>
      <c r="L186" s="16"/>
      <c r="M186" s="16"/>
      <c r="N186" s="16"/>
      <c r="O186" s="1"/>
      <c r="P186" s="49"/>
    </row>
    <row r="187" ht="15" customHeight="1">
      <c r="A187" s="1"/>
      <c r="B187" s="50" t="s">
        <v>121</v>
      </c>
      <c r="C187" s="16">
        <f t="shared" si="48"/>
        <v>0.0681404421326397</v>
      </c>
      <c r="D187" s="16">
        <f t="shared" si="48"/>
        <v>0.12164984336930029</v>
      </c>
      <c r="E187" s="16">
        <f t="shared" si="48"/>
        <v>0.11526315789473673</v>
      </c>
      <c r="F187" s="16">
        <f t="shared" si="48"/>
        <v>0.08596325953838901</v>
      </c>
      <c r="G187" s="16">
        <f t="shared" si="48"/>
        <v>-0.003042358998361805</v>
      </c>
      <c r="H187" s="51">
        <f t="shared" si="48"/>
        <v>0.014999999999999902</v>
      </c>
      <c r="I187" s="1"/>
      <c r="J187" s="16"/>
      <c r="K187" s="16"/>
      <c r="L187" s="16"/>
      <c r="M187" s="16"/>
      <c r="N187" s="16"/>
      <c r="O187" s="1"/>
      <c r="P187" s="49"/>
    </row>
    <row r="188" ht="15" customHeight="1">
      <c r="A188" s="1"/>
      <c r="B188" s="50" t="s">
        <v>209</v>
      </c>
      <c r="C188" s="16">
        <f t="shared" si="60" ref="C188:H188">C181/C270</f>
        <v>0.14932916409119004</v>
      </c>
      <c r="D188" s="16">
        <f t="shared" si="60"/>
        <v>0.21318470494839906</v>
      </c>
      <c r="E188" s="16">
        <f t="shared" si="60"/>
        <v>0.1696345975948196</v>
      </c>
      <c r="F188" s="16">
        <f t="shared" si="60"/>
        <v>0.16195426925643638</v>
      </c>
      <c r="G188" s="16">
        <f t="shared" si="60"/>
        <v>0.1488729687226979</v>
      </c>
      <c r="H188" s="51">
        <f t="shared" si="60"/>
        <v>0.14508861488140143</v>
      </c>
      <c r="I188" s="1"/>
      <c r="J188" s="16"/>
      <c r="K188" s="16"/>
      <c r="L188" s="16"/>
      <c r="M188" s="16"/>
      <c r="N188" s="16"/>
      <c r="O188" s="1"/>
      <c r="P188" s="49"/>
    </row>
    <row r="189" ht="15" customHeight="1">
      <c r="A189" s="1"/>
      <c r="B189" s="3" t="s">
        <v>214</v>
      </c>
      <c r="C189" s="61">
        <f t="shared" si="61" ref="C189:N236">C174+C181</f>
        <v>21274</v>
      </c>
      <c r="D189" s="61">
        <f t="shared" si="61"/>
        <v>23714</v>
      </c>
      <c r="E189" s="61">
        <f t="shared" si="61"/>
        <v>87259</v>
      </c>
      <c r="F189" s="61">
        <f t="shared" si="61"/>
        <v>22152</v>
      </c>
      <c r="G189" s="61">
        <f t="shared" si="61"/>
        <v>22329</v>
      </c>
      <c r="H189" s="62">
        <f t="shared" si="61"/>
        <v>22421.6695677</v>
      </c>
      <c r="I189" s="1"/>
      <c r="J189" s="61">
        <f t="shared" si="61"/>
        <v>20182</v>
      </c>
      <c r="K189" s="61">
        <f t="shared" si="61"/>
        <v>22221</v>
      </c>
      <c r="L189" s="61">
        <f t="shared" si="61"/>
        <v>81576</v>
      </c>
      <c r="M189" s="61">
        <f t="shared" si="61"/>
        <v>20976</v>
      </c>
      <c r="N189" s="61">
        <f t="shared" si="61"/>
        <v>21295</v>
      </c>
      <c r="O189" s="1"/>
      <c r="P189" s="49"/>
    </row>
    <row r="190" ht="15" customHeight="1">
      <c r="A190" s="1"/>
      <c r="B190" s="50" t="s">
        <v>115</v>
      </c>
      <c r="C190" s="16">
        <f t="shared" si="6"/>
        <v>0.05410762065206609</v>
      </c>
      <c r="D190" s="16">
        <f t="shared" si="6"/>
        <v>0.0671886953782459</v>
      </c>
      <c r="E190" s="16">
        <f t="shared" si="6"/>
        <v>0.06966509757771888</v>
      </c>
      <c r="F190" s="16">
        <f t="shared" si="6"/>
        <v>0.05606407322654472</v>
      </c>
      <c r="G190" s="16">
        <f t="shared" si="6"/>
        <v>0.04855599906081243</v>
      </c>
      <c r="H190" s="51">
        <f t="shared" si="10"/>
        <v>0.053947051222149156</v>
      </c>
      <c r="I190" s="1"/>
      <c r="J190" s="16"/>
      <c r="K190" s="16"/>
      <c r="L190" s="16"/>
      <c r="M190" s="16"/>
      <c r="N190" s="16"/>
      <c r="O190" s="1"/>
      <c r="P190" s="49"/>
    </row>
    <row r="191" ht="15" customHeight="1">
      <c r="A191" s="1"/>
      <c r="B191" s="50" t="s">
        <v>116</v>
      </c>
      <c r="C191" s="16">
        <f t="shared" si="50"/>
        <v>-0.0009861469828598146</v>
      </c>
      <c r="D191" s="16">
        <f t="shared" si="46"/>
        <v>0.11469399266710534</v>
      </c>
      <c r="E191" s="52" t="s">
        <v>15</v>
      </c>
      <c r="F191" s="16">
        <f t="shared" si="51"/>
        <v>-0.06586826347305386</v>
      </c>
      <c r="G191" s="16">
        <f t="shared" si="46"/>
        <v>0.007990249187432186</v>
      </c>
      <c r="H191" s="51">
        <f t="shared" si="46"/>
        <v>0.0041501888888888505</v>
      </c>
      <c r="I191" s="1"/>
      <c r="J191" s="16"/>
      <c r="K191" s="16"/>
      <c r="L191" s="16"/>
      <c r="M191" s="16"/>
      <c r="N191" s="16"/>
      <c r="O191" s="1"/>
      <c r="P191" s="49"/>
    </row>
    <row r="192" ht="15" customHeight="1">
      <c r="A192" s="1"/>
      <c r="B192" s="53" t="s">
        <v>118</v>
      </c>
      <c r="C192" s="15">
        <f t="shared" si="52"/>
        <v>-21</v>
      </c>
      <c r="D192" s="15">
        <f t="shared" si="47"/>
        <v>2440</v>
      </c>
      <c r="E192" s="21" t="s">
        <v>15</v>
      </c>
      <c r="F192" s="15">
        <f t="shared" si="53"/>
        <v>-1562</v>
      </c>
      <c r="G192" s="15">
        <f t="shared" si="47"/>
        <v>177</v>
      </c>
      <c r="H192" s="54">
        <f t="shared" si="47"/>
        <v>92.66956769999888</v>
      </c>
      <c r="I192" s="1"/>
      <c r="J192" s="15"/>
      <c r="K192" s="15"/>
      <c r="L192" s="15"/>
      <c r="M192" s="15"/>
      <c r="N192" s="15"/>
      <c r="O192" s="1"/>
      <c r="P192" s="49"/>
    </row>
    <row r="193" ht="15" customHeight="1">
      <c r="A193" s="1"/>
      <c r="B193" s="50" t="s">
        <v>119</v>
      </c>
      <c r="C193" s="57">
        <v>0</v>
      </c>
      <c r="D193" s="57">
        <v>0</v>
      </c>
      <c r="E193" s="57">
        <v>0</v>
      </c>
      <c r="F193" s="16">
        <f t="shared" si="62" ref="F193:G193">_xlfn.IFERROR(F148/M189,"unavailable")</f>
        <v>0.007840153000271749</v>
      </c>
      <c r="G193" s="16">
        <f t="shared" si="62"/>
        <v>0.01114899402686576</v>
      </c>
      <c r="H193" s="51">
        <f>_xlfn.IFERROR(H148/C189,"unavailable")</f>
        <v>0.011049811977061202</v>
      </c>
      <c r="I193" s="1"/>
      <c r="J193" s="16"/>
      <c r="K193" s="16"/>
      <c r="L193" s="16"/>
      <c r="M193" s="16"/>
      <c r="N193" s="16"/>
      <c r="O193" s="1"/>
      <c r="P193" s="49"/>
    </row>
    <row r="194" ht="15" customHeight="1">
      <c r="A194" s="1"/>
      <c r="B194" s="50" t="s">
        <v>120</v>
      </c>
      <c r="C194" s="57">
        <v>0</v>
      </c>
      <c r="D194" s="57">
        <v>0</v>
      </c>
      <c r="E194" s="57">
        <v>0</v>
      </c>
      <c r="F194" s="57">
        <v>0</v>
      </c>
      <c r="G194" s="57">
        <v>0</v>
      </c>
      <c r="H194" s="58">
        <v>0</v>
      </c>
      <c r="I194" s="1"/>
      <c r="J194" s="16"/>
      <c r="K194" s="16"/>
      <c r="L194" s="16"/>
      <c r="M194" s="16"/>
      <c r="N194" s="16"/>
      <c r="O194" s="1"/>
      <c r="P194" s="49"/>
    </row>
    <row r="195" ht="15" customHeight="1">
      <c r="A195" s="1"/>
      <c r="B195" s="50" t="s">
        <v>121</v>
      </c>
      <c r="C195" s="16">
        <f t="shared" si="48"/>
        <v>0.05410762065206609</v>
      </c>
      <c r="D195" s="16">
        <f t="shared" si="48"/>
        <v>0.0671886953782459</v>
      </c>
      <c r="E195" s="16">
        <f t="shared" si="48"/>
        <v>0.06966509757771888</v>
      </c>
      <c r="F195" s="16">
        <f t="shared" si="48"/>
        <v>0.04784877848209712</v>
      </c>
      <c r="G195" s="16">
        <f t="shared" si="48"/>
        <v>0.036994552983704576</v>
      </c>
      <c r="H195" s="51">
        <f t="shared" si="48"/>
        <v>0.04242841325612279</v>
      </c>
      <c r="I195" s="1"/>
      <c r="J195" s="16"/>
      <c r="K195" s="16"/>
      <c r="L195" s="16"/>
      <c r="M195" s="16"/>
      <c r="N195" s="16"/>
      <c r="O195" s="1"/>
      <c r="P195" s="49"/>
    </row>
    <row r="196" ht="15" customHeight="1">
      <c r="A196" s="1"/>
      <c r="B196" s="3" t="s">
        <v>215</v>
      </c>
      <c r="C196" s="1"/>
      <c r="D196" s="1"/>
      <c r="E196" s="1"/>
      <c r="F196" s="1"/>
      <c r="G196" s="1"/>
      <c r="H196" s="48"/>
      <c r="I196" s="1"/>
      <c r="J196" s="1"/>
      <c r="K196" s="1"/>
      <c r="L196" s="1"/>
      <c r="M196" s="1"/>
      <c r="N196" s="1"/>
      <c r="O196" s="1"/>
      <c r="P196" s="49"/>
    </row>
    <row r="197" ht="15" customHeight="1">
      <c r="A197" s="1"/>
      <c r="B197" s="1" t="s">
        <v>216</v>
      </c>
      <c r="C197" s="60">
        <v>2332</v>
      </c>
      <c r="D197" s="60">
        <v>2349</v>
      </c>
      <c r="E197" s="15">
        <f t="shared" si="18"/>
        <v>9256</v>
      </c>
      <c r="F197" s="60">
        <v>2357</v>
      </c>
      <c r="G197" s="60">
        <v>2421</v>
      </c>
      <c r="H197" s="54">
        <f>H244*H251</f>
        <v>2445.5615823000003</v>
      </c>
      <c r="I197" s="1"/>
      <c r="J197" s="60">
        <v>2328</v>
      </c>
      <c r="K197" s="60">
        <v>2333</v>
      </c>
      <c r="L197" s="60">
        <v>9212</v>
      </c>
      <c r="M197" s="60">
        <v>2281</v>
      </c>
      <c r="N197" s="60">
        <v>2294</v>
      </c>
      <c r="O197" s="1"/>
      <c r="P197" s="49"/>
    </row>
    <row r="198" ht="15" customHeight="1">
      <c r="A198" s="1"/>
      <c r="B198" s="50" t="s">
        <v>115</v>
      </c>
      <c r="C198" s="16">
        <f t="shared" si="6"/>
        <v>0.0017182130584192379</v>
      </c>
      <c r="D198" s="16">
        <f t="shared" si="6"/>
        <v>0.006858122588941251</v>
      </c>
      <c r="E198" s="16">
        <f t="shared" si="6"/>
        <v>0.004776378636561107</v>
      </c>
      <c r="F198" s="16">
        <f t="shared" si="6"/>
        <v>0.03331871985971069</v>
      </c>
      <c r="G198" s="16">
        <f t="shared" si="6"/>
        <v>0.05536181342632962</v>
      </c>
      <c r="H198" s="51">
        <f t="shared" si="10"/>
        <v>0.04869707645797616</v>
      </c>
      <c r="I198" s="1"/>
      <c r="J198" s="16"/>
      <c r="K198" s="16"/>
      <c r="L198" s="16"/>
      <c r="M198" s="16"/>
      <c r="N198" s="16"/>
      <c r="O198" s="1"/>
      <c r="P198" s="49"/>
    </row>
    <row r="199" ht="15" customHeight="1">
      <c r="A199" s="1"/>
      <c r="B199" s="50" t="s">
        <v>116</v>
      </c>
      <c r="C199" s="16">
        <f t="shared" si="50"/>
        <v>0.016564952048822912</v>
      </c>
      <c r="D199" s="16">
        <f t="shared" si="46"/>
        <v>0.007289879931389409</v>
      </c>
      <c r="E199" s="52" t="s">
        <v>15</v>
      </c>
      <c r="F199" s="16">
        <f t="shared" si="51"/>
        <v>0.003405704555129896</v>
      </c>
      <c r="G199" s="16">
        <f t="shared" si="46"/>
        <v>0.027153160797624087</v>
      </c>
      <c r="H199" s="51">
        <f t="shared" si="46"/>
        <v>0.010145221933085535</v>
      </c>
      <c r="I199" s="1"/>
      <c r="J199" s="16"/>
      <c r="K199" s="16"/>
      <c r="L199" s="16"/>
      <c r="M199" s="16"/>
      <c r="N199" s="16"/>
      <c r="O199" s="1"/>
      <c r="P199" s="49"/>
    </row>
    <row r="200" ht="15" customHeight="1">
      <c r="A200" s="1"/>
      <c r="B200" s="53" t="s">
        <v>118</v>
      </c>
      <c r="C200" s="15">
        <f t="shared" si="52"/>
        <v>38</v>
      </c>
      <c r="D200" s="15">
        <f t="shared" si="47"/>
        <v>17</v>
      </c>
      <c r="E200" s="21" t="s">
        <v>15</v>
      </c>
      <c r="F200" s="15">
        <f t="shared" si="53"/>
        <v>8</v>
      </c>
      <c r="G200" s="15">
        <f t="shared" si="47"/>
        <v>64</v>
      </c>
      <c r="H200" s="54">
        <f t="shared" si="47"/>
        <v>24.561582300000282</v>
      </c>
      <c r="I200" s="1"/>
      <c r="J200" s="15"/>
      <c r="K200" s="15"/>
      <c r="L200" s="15"/>
      <c r="M200" s="15"/>
      <c r="N200" s="15"/>
      <c r="O200" s="1"/>
      <c r="P200" s="49"/>
    </row>
    <row r="201" ht="15" customHeight="1">
      <c r="A201" s="1"/>
      <c r="B201" s="50" t="s">
        <v>119</v>
      </c>
      <c r="C201" s="57">
        <v>0</v>
      </c>
      <c r="D201" s="57">
        <v>0</v>
      </c>
      <c r="E201" s="57">
        <v>0</v>
      </c>
      <c r="F201" s="57">
        <v>0</v>
      </c>
      <c r="G201" s="57">
        <v>0</v>
      </c>
      <c r="H201" s="58">
        <v>0</v>
      </c>
      <c r="I201" s="1"/>
      <c r="J201" s="16"/>
      <c r="K201" s="16"/>
      <c r="L201" s="16"/>
      <c r="M201" s="16"/>
      <c r="N201" s="16"/>
      <c r="O201" s="1"/>
      <c r="P201" s="49"/>
    </row>
    <row r="202" ht="15" customHeight="1">
      <c r="A202" s="1"/>
      <c r="B202" s="50" t="s">
        <v>120</v>
      </c>
      <c r="C202" s="57">
        <v>0</v>
      </c>
      <c r="D202" s="57">
        <v>0</v>
      </c>
      <c r="E202" s="57">
        <v>0</v>
      </c>
      <c r="F202" s="57">
        <v>0</v>
      </c>
      <c r="G202" s="57">
        <v>0</v>
      </c>
      <c r="H202" s="58">
        <v>0</v>
      </c>
      <c r="I202" s="1"/>
      <c r="J202" s="16"/>
      <c r="K202" s="16"/>
      <c r="L202" s="16"/>
      <c r="M202" s="16"/>
      <c r="N202" s="16"/>
      <c r="O202" s="1"/>
      <c r="P202" s="49"/>
    </row>
    <row r="203" ht="15" customHeight="1">
      <c r="A203" s="1"/>
      <c r="B203" s="50" t="s">
        <v>121</v>
      </c>
      <c r="C203" s="16">
        <f t="shared" si="48"/>
        <v>0.0017182130584192379</v>
      </c>
      <c r="D203" s="16">
        <f t="shared" si="48"/>
        <v>0.006858122588941251</v>
      </c>
      <c r="E203" s="16">
        <f t="shared" si="48"/>
        <v>0.004776378636561107</v>
      </c>
      <c r="F203" s="16">
        <f t="shared" si="48"/>
        <v>0.03331871985971069</v>
      </c>
      <c r="G203" s="16">
        <f t="shared" si="48"/>
        <v>0.05536181342632962</v>
      </c>
      <c r="H203" s="51">
        <f t="shared" si="48"/>
        <v>0.04869707645797616</v>
      </c>
      <c r="I203" s="1"/>
      <c r="J203" s="16"/>
      <c r="K203" s="16"/>
      <c r="L203" s="16"/>
      <c r="M203" s="16"/>
      <c r="N203" s="16"/>
      <c r="O203" s="1"/>
      <c r="P203" s="49"/>
    </row>
    <row r="204" ht="15" customHeight="1">
      <c r="A204" s="1"/>
      <c r="B204" s="50" t="s">
        <v>209</v>
      </c>
      <c r="C204" s="16">
        <f t="shared" si="63" ref="C204:H204">C197/C270</f>
        <v>0.0847907500999891</v>
      </c>
      <c r="D204" s="16">
        <f t="shared" si="63"/>
        <v>0.07769912675310929</v>
      </c>
      <c r="E204" s="16">
        <f t="shared" si="63"/>
        <v>0.08233117483811286</v>
      </c>
      <c r="F204" s="16">
        <f t="shared" si="63"/>
        <v>0.08278599276456745</v>
      </c>
      <c r="G204" s="16">
        <f t="shared" si="63"/>
        <v>0.08460597588677267</v>
      </c>
      <c r="H204" s="51">
        <f t="shared" si="63"/>
        <v>0.08511795734618068</v>
      </c>
      <c r="I204" s="1"/>
      <c r="J204" s="16"/>
      <c r="K204" s="16"/>
      <c r="L204" s="16"/>
      <c r="M204" s="16"/>
      <c r="N204" s="16"/>
      <c r="O204" s="1"/>
      <c r="P204" s="49"/>
    </row>
    <row r="205" ht="15" customHeight="1">
      <c r="A205" s="1"/>
      <c r="B205" s="59" t="s">
        <v>217</v>
      </c>
      <c r="C205" s="60">
        <v>1832</v>
      </c>
      <c r="D205" s="60">
        <v>1887</v>
      </c>
      <c r="E205" s="15">
        <f t="shared" si="18"/>
        <v>7243</v>
      </c>
      <c r="F205" s="60">
        <v>1882</v>
      </c>
      <c r="G205" s="60">
        <v>1946</v>
      </c>
      <c r="H205" s="54">
        <f t="shared" si="59"/>
        <v>1996.88</v>
      </c>
      <c r="I205" s="1"/>
      <c r="J205" s="60">
        <v>1719</v>
      </c>
      <c r="K205" s="60">
        <v>1760</v>
      </c>
      <c r="L205" s="60">
        <v>6853</v>
      </c>
      <c r="M205" s="60">
        <v>1755</v>
      </c>
      <c r="N205" s="60">
        <v>1769</v>
      </c>
      <c r="O205" s="1"/>
      <c r="P205" s="49"/>
    </row>
    <row r="206" ht="15" customHeight="1">
      <c r="A206" s="1"/>
      <c r="B206" s="50" t="s">
        <v>115</v>
      </c>
      <c r="C206" s="16">
        <f t="shared" si="6"/>
        <v>0.06573589296102389</v>
      </c>
      <c r="D206" s="16">
        <f t="shared" si="6"/>
        <v>0.072159090909091</v>
      </c>
      <c r="E206" s="16">
        <f t="shared" si="6"/>
        <v>0.05690938275207946</v>
      </c>
      <c r="F206" s="16">
        <f t="shared" si="6"/>
        <v>0.07236467236467226</v>
      </c>
      <c r="G206" s="16">
        <f t="shared" si="6"/>
        <v>0.10005652911249285</v>
      </c>
      <c r="H206" s="58">
        <v>0.09</v>
      </c>
      <c r="I206" s="1"/>
      <c r="J206" s="16"/>
      <c r="K206" s="16"/>
      <c r="L206" s="16"/>
      <c r="M206" s="16"/>
      <c r="N206" s="16"/>
      <c r="O206" s="1"/>
      <c r="P206" s="49"/>
    </row>
    <row r="207" ht="15" customHeight="1">
      <c r="A207" s="1"/>
      <c r="B207" s="50" t="s">
        <v>116</v>
      </c>
      <c r="C207" s="16">
        <f t="shared" si="50"/>
        <v>0.03561334087054835</v>
      </c>
      <c r="D207" s="16">
        <f t="shared" si="46"/>
        <v>0.030021834061135344</v>
      </c>
      <c r="E207" s="52" t="s">
        <v>15</v>
      </c>
      <c r="F207" s="16">
        <f t="shared" si="51"/>
        <v>-0.002649708532061479</v>
      </c>
      <c r="G207" s="16">
        <f t="shared" si="46"/>
        <v>0.0340063761955367</v>
      </c>
      <c r="H207" s="51">
        <f t="shared" si="46"/>
        <v>0.026145940390544853</v>
      </c>
      <c r="I207" s="1"/>
      <c r="J207" s="16"/>
      <c r="K207" s="16"/>
      <c r="L207" s="16"/>
      <c r="M207" s="16"/>
      <c r="N207" s="16"/>
      <c r="O207" s="1"/>
      <c r="P207" s="49"/>
    </row>
    <row r="208" ht="15" customHeight="1">
      <c r="A208" s="1"/>
      <c r="B208" s="53" t="s">
        <v>118</v>
      </c>
      <c r="C208" s="15">
        <f t="shared" si="52"/>
        <v>63</v>
      </c>
      <c r="D208" s="15">
        <f t="shared" si="47"/>
        <v>55</v>
      </c>
      <c r="E208" s="21" t="s">
        <v>15</v>
      </c>
      <c r="F208" s="15">
        <f t="shared" si="53"/>
        <v>-5</v>
      </c>
      <c r="G208" s="15">
        <f t="shared" si="47"/>
        <v>64</v>
      </c>
      <c r="H208" s="54">
        <f t="shared" si="47"/>
        <v>50.88000000000011</v>
      </c>
      <c r="I208" s="1"/>
      <c r="J208" s="15"/>
      <c r="K208" s="15"/>
      <c r="L208" s="15"/>
      <c r="M208" s="15"/>
      <c r="N208" s="15"/>
      <c r="O208" s="1"/>
      <c r="P208" s="49"/>
    </row>
    <row r="209" ht="15" customHeight="1">
      <c r="A209" s="1"/>
      <c r="B209" s="50" t="s">
        <v>119</v>
      </c>
      <c r="C209" s="57">
        <v>0</v>
      </c>
      <c r="D209" s="57">
        <v>0</v>
      </c>
      <c r="E209" s="57">
        <v>0</v>
      </c>
      <c r="F209" s="57">
        <v>0</v>
      </c>
      <c r="G209" s="57">
        <v>0</v>
      </c>
      <c r="H209" s="58">
        <v>0</v>
      </c>
      <c r="I209" s="1"/>
      <c r="J209" s="16"/>
      <c r="K209" s="16"/>
      <c r="L209" s="16"/>
      <c r="M209" s="16"/>
      <c r="N209" s="16"/>
      <c r="O209" s="1"/>
      <c r="P209" s="49"/>
    </row>
    <row r="210" ht="15" customHeight="1">
      <c r="A210" s="1"/>
      <c r="B210" s="50" t="s">
        <v>120</v>
      </c>
      <c r="C210" s="57">
        <v>0</v>
      </c>
      <c r="D210" s="57">
        <v>0</v>
      </c>
      <c r="E210" s="57">
        <v>0</v>
      </c>
      <c r="F210" s="57">
        <v>0</v>
      </c>
      <c r="G210" s="57">
        <v>0</v>
      </c>
      <c r="H210" s="58">
        <v>0</v>
      </c>
      <c r="I210" s="1"/>
      <c r="J210" s="16"/>
      <c r="K210" s="16"/>
      <c r="L210" s="16"/>
      <c r="M210" s="16"/>
      <c r="N210" s="16"/>
      <c r="O210" s="1"/>
      <c r="P210" s="49"/>
    </row>
    <row r="211" ht="15" customHeight="1">
      <c r="A211" s="1"/>
      <c r="B211" s="50" t="s">
        <v>121</v>
      </c>
      <c r="C211" s="16">
        <f t="shared" si="48"/>
        <v>0.06573589296102389</v>
      </c>
      <c r="D211" s="16">
        <f t="shared" si="48"/>
        <v>0.072159090909091</v>
      </c>
      <c r="E211" s="16">
        <f t="shared" si="48"/>
        <v>0.05690938275207946</v>
      </c>
      <c r="F211" s="16">
        <f t="shared" si="48"/>
        <v>0.07236467236467226</v>
      </c>
      <c r="G211" s="16">
        <f t="shared" si="48"/>
        <v>0.10005652911249285</v>
      </c>
      <c r="H211" s="51">
        <f t="shared" si="48"/>
        <v>0.09000000000000008</v>
      </c>
      <c r="I211" s="1"/>
      <c r="J211" s="16"/>
      <c r="K211" s="16"/>
      <c r="L211" s="16"/>
      <c r="M211" s="16"/>
      <c r="N211" s="16"/>
      <c r="O211" s="1"/>
      <c r="P211" s="49"/>
    </row>
    <row r="212" ht="15" customHeight="1">
      <c r="A212" s="1"/>
      <c r="B212" s="50" t="s">
        <v>209</v>
      </c>
      <c r="C212" s="16">
        <f t="shared" si="64" ref="C212:H212">C205/C270</f>
        <v>0.06661091517289024</v>
      </c>
      <c r="D212" s="16">
        <f t="shared" si="64"/>
        <v>0.06241730616565229</v>
      </c>
      <c r="E212" s="16">
        <f t="shared" si="64"/>
        <v>0.06442574539244289</v>
      </c>
      <c r="F212" s="16">
        <f t="shared" si="64"/>
        <v>0.06610234975940431</v>
      </c>
      <c r="G212" s="16">
        <f t="shared" si="64"/>
        <v>0.06800629040712913</v>
      </c>
      <c r="H212" s="51">
        <f t="shared" si="64"/>
        <v>0.06950156066222944</v>
      </c>
      <c r="I212" s="1"/>
      <c r="J212" s="16"/>
      <c r="K212" s="16"/>
      <c r="L212" s="16"/>
      <c r="M212" s="16"/>
      <c r="N212" s="16"/>
      <c r="O212" s="1"/>
      <c r="P212" s="49"/>
    </row>
    <row r="213" ht="15" customHeight="1">
      <c r="A213" s="1"/>
      <c r="B213" s="1" t="s">
        <v>218</v>
      </c>
      <c r="C213" s="60">
        <v>1198</v>
      </c>
      <c r="D213" s="60">
        <v>1170</v>
      </c>
      <c r="E213" s="15">
        <f t="shared" si="18"/>
        <v>4911</v>
      </c>
      <c r="F213" s="60">
        <v>1083</v>
      </c>
      <c r="G213" s="60">
        <v>1042</v>
      </c>
      <c r="H213" s="54">
        <f t="shared" si="59"/>
        <v>1000.3299999999999</v>
      </c>
      <c r="I213" s="1"/>
      <c r="J213" s="60">
        <v>1411</v>
      </c>
      <c r="K213" s="60">
        <v>1402</v>
      </c>
      <c r="L213" s="60">
        <v>5906</v>
      </c>
      <c r="M213" s="60">
        <v>1294</v>
      </c>
      <c r="N213" s="60">
        <v>1249</v>
      </c>
      <c r="O213" s="1"/>
      <c r="P213" s="49"/>
    </row>
    <row r="214" ht="15" customHeight="1">
      <c r="A214" s="1"/>
      <c r="B214" s="50" t="s">
        <v>115</v>
      </c>
      <c r="C214" s="16">
        <f t="shared" si="6"/>
        <v>-0.15095676824946846</v>
      </c>
      <c r="D214" s="16">
        <f t="shared" si="6"/>
        <v>-0.16547788873038516</v>
      </c>
      <c r="E214" s="16">
        <f t="shared" si="6"/>
        <v>-0.16847273958686082</v>
      </c>
      <c r="F214" s="16">
        <f t="shared" si="6"/>
        <v>-0.16306027820710978</v>
      </c>
      <c r="G214" s="16">
        <f t="shared" si="6"/>
        <v>-0.1657325860688551</v>
      </c>
      <c r="H214" s="58">
        <v>-0.165</v>
      </c>
      <c r="I214" s="1"/>
      <c r="J214" s="16"/>
      <c r="K214" s="16"/>
      <c r="L214" s="16"/>
      <c r="M214" s="16"/>
      <c r="N214" s="16"/>
      <c r="O214" s="1"/>
      <c r="P214" s="49"/>
    </row>
    <row r="215" ht="15" customHeight="1">
      <c r="A215" s="1"/>
      <c r="B215" s="50" t="s">
        <v>116</v>
      </c>
      <c r="C215" s="16">
        <f t="shared" si="50"/>
        <v>-0.04083266613290637</v>
      </c>
      <c r="D215" s="16">
        <f t="shared" si="46"/>
        <v>-0.023372287145242088</v>
      </c>
      <c r="E215" s="52" t="s">
        <v>15</v>
      </c>
      <c r="F215" s="16">
        <f t="shared" si="51"/>
        <v>-0.07435897435897432</v>
      </c>
      <c r="G215" s="16">
        <f t="shared" si="46"/>
        <v>-0.03785780240073866</v>
      </c>
      <c r="H215" s="51">
        <f t="shared" si="46"/>
        <v>-0.03999040307101731</v>
      </c>
      <c r="I215" s="1"/>
      <c r="J215" s="16"/>
      <c r="K215" s="16"/>
      <c r="L215" s="16"/>
      <c r="M215" s="16"/>
      <c r="N215" s="16"/>
      <c r="O215" s="1"/>
      <c r="P215" s="49"/>
    </row>
    <row r="216" ht="15" customHeight="1">
      <c r="A216" s="1"/>
      <c r="B216" s="53" t="s">
        <v>118</v>
      </c>
      <c r="C216" s="15">
        <f t="shared" si="52"/>
        <v>-51</v>
      </c>
      <c r="D216" s="15">
        <f t="shared" si="47"/>
        <v>-28</v>
      </c>
      <c r="E216" s="21" t="s">
        <v>15</v>
      </c>
      <c r="F216" s="15">
        <f t="shared" si="53"/>
        <v>-87</v>
      </c>
      <c r="G216" s="15">
        <f t="shared" si="47"/>
        <v>-41</v>
      </c>
      <c r="H216" s="54">
        <f t="shared" si="47"/>
        <v>-41.67000000000007</v>
      </c>
      <c r="I216" s="1"/>
      <c r="J216" s="15"/>
      <c r="K216" s="15"/>
      <c r="L216" s="15"/>
      <c r="M216" s="15"/>
      <c r="N216" s="15"/>
      <c r="O216" s="1"/>
      <c r="P216" s="49"/>
    </row>
    <row r="217" ht="15" customHeight="1">
      <c r="A217" s="1"/>
      <c r="B217" s="50" t="s">
        <v>119</v>
      </c>
      <c r="C217" s="57">
        <v>0</v>
      </c>
      <c r="D217" s="57">
        <v>0</v>
      </c>
      <c r="E217" s="57">
        <v>0</v>
      </c>
      <c r="F217" s="57">
        <v>0</v>
      </c>
      <c r="G217" s="57">
        <v>0</v>
      </c>
      <c r="H217" s="58">
        <v>0</v>
      </c>
      <c r="I217" s="1"/>
      <c r="J217" s="16"/>
      <c r="K217" s="16"/>
      <c r="L217" s="16"/>
      <c r="M217" s="16"/>
      <c r="N217" s="16"/>
      <c r="O217" s="1"/>
      <c r="P217" s="49"/>
    </row>
    <row r="218" ht="15" customHeight="1">
      <c r="A218" s="1"/>
      <c r="B218" s="50" t="s">
        <v>120</v>
      </c>
      <c r="C218" s="57">
        <v>0</v>
      </c>
      <c r="D218" s="57">
        <v>0</v>
      </c>
      <c r="E218" s="57">
        <v>0</v>
      </c>
      <c r="F218" s="57">
        <v>0</v>
      </c>
      <c r="G218" s="57">
        <v>0</v>
      </c>
      <c r="H218" s="58">
        <v>0</v>
      </c>
      <c r="I218" s="1"/>
      <c r="J218" s="16"/>
      <c r="K218" s="16"/>
      <c r="L218" s="16"/>
      <c r="M218" s="16"/>
      <c r="N218" s="16"/>
      <c r="O218" s="1"/>
      <c r="P218" s="49"/>
    </row>
    <row r="219" ht="15" customHeight="1">
      <c r="A219" s="1"/>
      <c r="B219" s="50" t="s">
        <v>121</v>
      </c>
      <c r="C219" s="16">
        <f t="shared" si="48"/>
        <v>-0.15095676824946846</v>
      </c>
      <c r="D219" s="16">
        <f t="shared" si="48"/>
        <v>-0.16547788873038516</v>
      </c>
      <c r="E219" s="16">
        <f t="shared" si="48"/>
        <v>-0.16847273958686082</v>
      </c>
      <c r="F219" s="16">
        <f t="shared" si="48"/>
        <v>-0.16306027820710978</v>
      </c>
      <c r="G219" s="16">
        <f t="shared" si="48"/>
        <v>-0.1657325860688551</v>
      </c>
      <c r="H219" s="51">
        <f t="shared" si="48"/>
        <v>-0.16500000000000004</v>
      </c>
      <c r="I219" s="1"/>
      <c r="J219" s="16"/>
      <c r="K219" s="16"/>
      <c r="L219" s="16"/>
      <c r="M219" s="16"/>
      <c r="N219" s="16"/>
      <c r="O219" s="1"/>
      <c r="P219" s="49"/>
    </row>
    <row r="220" ht="15" customHeight="1">
      <c r="A220" s="1"/>
      <c r="B220" s="50" t="s">
        <v>209</v>
      </c>
      <c r="C220" s="16">
        <f t="shared" si="65" ref="C220:H220">C213/C270</f>
        <v>0.04355888448532887</v>
      </c>
      <c r="D220" s="16">
        <f t="shared" si="65"/>
        <v>0.03870071447472877</v>
      </c>
      <c r="E220" s="16">
        <f t="shared" si="65"/>
        <v>0.04368284352095638</v>
      </c>
      <c r="F220" s="16">
        <f t="shared" si="65"/>
        <v>0.03803870605177198</v>
      </c>
      <c r="G220" s="16">
        <f t="shared" si="65"/>
        <v>0.036414467936396994</v>
      </c>
      <c r="H220" s="51">
        <f t="shared" si="65"/>
        <v>0.034816561925227335</v>
      </c>
      <c r="I220" s="1"/>
      <c r="J220" s="16"/>
      <c r="K220" s="16"/>
      <c r="L220" s="16"/>
      <c r="M220" s="16"/>
      <c r="N220" s="16"/>
      <c r="O220" s="1"/>
      <c r="P220" s="49"/>
    </row>
    <row r="221" ht="15" customHeight="1">
      <c r="A221" s="1"/>
      <c r="B221" s="3" t="s">
        <v>219</v>
      </c>
      <c r="C221" s="61">
        <f t="shared" si="57"/>
        <v>5362</v>
      </c>
      <c r="D221" s="61">
        <f t="shared" si="57"/>
        <v>5406</v>
      </c>
      <c r="E221" s="61">
        <f t="shared" si="57"/>
        <v>21410</v>
      </c>
      <c r="F221" s="61">
        <f t="shared" si="57"/>
        <v>5322</v>
      </c>
      <c r="G221" s="61">
        <f t="shared" si="57"/>
        <v>5409</v>
      </c>
      <c r="H221" s="62">
        <f t="shared" si="57"/>
        <v>5442.7715823</v>
      </c>
      <c r="I221" s="1"/>
      <c r="J221" s="61">
        <f t="shared" si="57"/>
        <v>5458</v>
      </c>
      <c r="K221" s="61">
        <f t="shared" si="57"/>
        <v>5495</v>
      </c>
      <c r="L221" s="61">
        <f t="shared" si="57"/>
        <v>21971</v>
      </c>
      <c r="M221" s="61">
        <f t="shared" si="57"/>
        <v>5330</v>
      </c>
      <c r="N221" s="61">
        <f t="shared" si="57"/>
        <v>5312</v>
      </c>
      <c r="O221" s="1"/>
      <c r="P221" s="49"/>
    </row>
    <row r="222" ht="15" customHeight="1">
      <c r="A222" s="1"/>
      <c r="B222" s="50" t="s">
        <v>115</v>
      </c>
      <c r="C222" s="16">
        <f t="shared" si="6"/>
        <v>-0.01758886038842067</v>
      </c>
      <c r="D222" s="16">
        <f t="shared" si="6"/>
        <v>-0.01619654231119194</v>
      </c>
      <c r="E222" s="16">
        <f t="shared" si="6"/>
        <v>-0.025533658003732196</v>
      </c>
      <c r="F222" s="16">
        <f t="shared" si="6"/>
        <v>-0.0015009380863039157</v>
      </c>
      <c r="G222" s="16">
        <f t="shared" si="6"/>
        <v>0.018260542168674787</v>
      </c>
      <c r="H222" s="51">
        <f t="shared" si="10"/>
        <v>0.015063704270794398</v>
      </c>
      <c r="I222" s="1"/>
      <c r="J222" s="16"/>
      <c r="K222" s="16"/>
      <c r="L222" s="16"/>
      <c r="M222" s="16"/>
      <c r="N222" s="16"/>
      <c r="O222" s="1"/>
      <c r="P222" s="49"/>
    </row>
    <row r="223" ht="15" customHeight="1">
      <c r="A223" s="1"/>
      <c r="B223" s="50" t="s">
        <v>116</v>
      </c>
      <c r="C223" s="16">
        <f t="shared" si="50"/>
        <v>0.0094126506024097</v>
      </c>
      <c r="D223" s="16">
        <f t="shared" si="46"/>
        <v>0.008205893323386837</v>
      </c>
      <c r="E223" s="52" t="s">
        <v>15</v>
      </c>
      <c r="F223" s="16">
        <f t="shared" si="51"/>
        <v>-0.015538290788013276</v>
      </c>
      <c r="G223" s="16">
        <f t="shared" si="46"/>
        <v>0.01634723788049608</v>
      </c>
      <c r="H223" s="51">
        <f t="shared" si="46"/>
        <v>0.006243590737659455</v>
      </c>
      <c r="I223" s="1"/>
      <c r="J223" s="16"/>
      <c r="K223" s="16"/>
      <c r="L223" s="16"/>
      <c r="M223" s="16"/>
      <c r="N223" s="16"/>
      <c r="O223" s="1"/>
      <c r="P223" s="49"/>
    </row>
    <row r="224" ht="15" customHeight="1">
      <c r="A224" s="1"/>
      <c r="B224" s="53" t="s">
        <v>118</v>
      </c>
      <c r="C224" s="15">
        <f t="shared" si="52"/>
        <v>50</v>
      </c>
      <c r="D224" s="15">
        <f t="shared" si="47"/>
        <v>44</v>
      </c>
      <c r="E224" s="21" t="s">
        <v>15</v>
      </c>
      <c r="F224" s="15">
        <f t="shared" si="53"/>
        <v>-84</v>
      </c>
      <c r="G224" s="15">
        <f t="shared" si="47"/>
        <v>87</v>
      </c>
      <c r="H224" s="54">
        <f t="shared" si="47"/>
        <v>33.771582299999864</v>
      </c>
      <c r="I224" s="1"/>
      <c r="J224" s="15"/>
      <c r="K224" s="15"/>
      <c r="L224" s="15"/>
      <c r="M224" s="15"/>
      <c r="N224" s="15"/>
      <c r="O224" s="1"/>
      <c r="P224" s="49"/>
    </row>
    <row r="225" ht="15" customHeight="1">
      <c r="A225" s="1"/>
      <c r="B225" s="50" t="s">
        <v>119</v>
      </c>
      <c r="C225" s="57">
        <v>0</v>
      </c>
      <c r="D225" s="57">
        <v>0</v>
      </c>
      <c r="E225" s="57">
        <v>0</v>
      </c>
      <c r="F225" s="57">
        <v>0</v>
      </c>
      <c r="G225" s="57">
        <v>0</v>
      </c>
      <c r="H225" s="58">
        <v>0</v>
      </c>
      <c r="I225" s="1"/>
      <c r="J225" s="16"/>
      <c r="K225" s="16"/>
      <c r="L225" s="16"/>
      <c r="M225" s="16"/>
      <c r="N225" s="16"/>
      <c r="O225" s="1"/>
      <c r="P225" s="49"/>
    </row>
    <row r="226" ht="15" customHeight="1">
      <c r="A226" s="1"/>
      <c r="B226" s="50" t="s">
        <v>120</v>
      </c>
      <c r="C226" s="57">
        <v>0</v>
      </c>
      <c r="D226" s="57">
        <v>0</v>
      </c>
      <c r="E226" s="57">
        <v>0</v>
      </c>
      <c r="F226" s="57">
        <v>0</v>
      </c>
      <c r="G226" s="57">
        <v>0</v>
      </c>
      <c r="H226" s="58">
        <v>0</v>
      </c>
      <c r="I226" s="1"/>
      <c r="J226" s="16"/>
      <c r="K226" s="16"/>
      <c r="L226" s="16"/>
      <c r="M226" s="16"/>
      <c r="N226" s="16"/>
      <c r="O226" s="1"/>
      <c r="P226" s="49"/>
    </row>
    <row r="227" ht="15" customHeight="1">
      <c r="A227" s="1"/>
      <c r="B227" s="50" t="s">
        <v>121</v>
      </c>
      <c r="C227" s="16">
        <f t="shared" si="48"/>
        <v>-0.01758886038842067</v>
      </c>
      <c r="D227" s="16">
        <f t="shared" si="48"/>
        <v>-0.01619654231119194</v>
      </c>
      <c r="E227" s="16">
        <f t="shared" si="48"/>
        <v>-0.025533658003732196</v>
      </c>
      <c r="F227" s="16">
        <f t="shared" si="48"/>
        <v>-0.0015009380863039157</v>
      </c>
      <c r="G227" s="16">
        <f t="shared" si="48"/>
        <v>0.018260542168674787</v>
      </c>
      <c r="H227" s="51">
        <f t="shared" si="48"/>
        <v>0.015063704270794398</v>
      </c>
      <c r="I227" s="1"/>
      <c r="J227" s="16"/>
      <c r="K227" s="16"/>
      <c r="L227" s="16"/>
      <c r="M227" s="16"/>
      <c r="N227" s="16"/>
      <c r="O227" s="1"/>
      <c r="P227" s="49"/>
    </row>
    <row r="228" ht="15" customHeight="1">
      <c r="A228" s="1"/>
      <c r="B228" s="1" t="s">
        <v>220</v>
      </c>
      <c r="C228" s="60">
        <v>867</v>
      </c>
      <c r="D228" s="60">
        <v>1112</v>
      </c>
      <c r="E228" s="15">
        <f t="shared" si="18"/>
        <v>3755</v>
      </c>
      <c r="F228" s="60">
        <v>997</v>
      </c>
      <c r="G228" s="60">
        <v>877</v>
      </c>
      <c r="H228" s="54">
        <f t="shared" si="59"/>
        <v>867</v>
      </c>
      <c r="I228" s="1"/>
      <c r="J228" s="60">
        <v>857</v>
      </c>
      <c r="K228" s="60">
        <v>989</v>
      </c>
      <c r="L228" s="60">
        <v>3537</v>
      </c>
      <c r="M228" s="60">
        <v>886</v>
      </c>
      <c r="N228" s="60">
        <v>890</v>
      </c>
      <c r="O228" s="1"/>
      <c r="P228" s="49"/>
    </row>
    <row r="229" ht="15" customHeight="1">
      <c r="A229" s="1"/>
      <c r="B229" s="50" t="s">
        <v>115</v>
      </c>
      <c r="C229" s="16">
        <f t="shared" si="6"/>
        <v>0.011668611435239118</v>
      </c>
      <c r="D229" s="16">
        <f t="shared" si="6"/>
        <v>0.12436804853387251</v>
      </c>
      <c r="E229" s="16">
        <f t="shared" si="6"/>
        <v>0.06163415323720667</v>
      </c>
      <c r="F229" s="16">
        <f t="shared" si="6"/>
        <v>0.12528216704288941</v>
      </c>
      <c r="G229" s="16">
        <f t="shared" si="6"/>
        <v>-0.014606741573033655</v>
      </c>
      <c r="H229" s="58">
        <v>0</v>
      </c>
      <c r="I229" s="1"/>
      <c r="J229" s="16"/>
      <c r="K229" s="16"/>
      <c r="L229" s="16"/>
      <c r="M229" s="16"/>
      <c r="N229" s="16"/>
      <c r="O229" s="1"/>
      <c r="P229" s="49"/>
    </row>
    <row r="230" ht="15" customHeight="1">
      <c r="A230" s="1"/>
      <c r="B230" s="50" t="s">
        <v>116</v>
      </c>
      <c r="C230" s="16">
        <f t="shared" si="50"/>
        <v>-0.025842696629213457</v>
      </c>
      <c r="D230" s="16">
        <f t="shared" si="46"/>
        <v>0.28258362168396767</v>
      </c>
      <c r="E230" s="52" t="s">
        <v>15</v>
      </c>
      <c r="F230" s="16">
        <f t="shared" si="51"/>
        <v>-0.10341726618705038</v>
      </c>
      <c r="G230" s="16">
        <f t="shared" si="46"/>
        <v>-0.12036108324974926</v>
      </c>
      <c r="H230" s="51">
        <f t="shared" si="46"/>
        <v>-0.011402508551881407</v>
      </c>
      <c r="I230" s="1"/>
      <c r="J230" s="16"/>
      <c r="K230" s="16"/>
      <c r="L230" s="16"/>
      <c r="M230" s="16"/>
      <c r="N230" s="16"/>
      <c r="O230" s="1"/>
      <c r="P230" s="49"/>
    </row>
    <row r="231" ht="15" customHeight="1">
      <c r="A231" s="1"/>
      <c r="B231" s="53" t="s">
        <v>118</v>
      </c>
      <c r="C231" s="15">
        <f t="shared" si="52"/>
        <v>-23</v>
      </c>
      <c r="D231" s="15">
        <f t="shared" si="47"/>
        <v>245</v>
      </c>
      <c r="E231" s="21" t="s">
        <v>15</v>
      </c>
      <c r="F231" s="15">
        <f t="shared" si="53"/>
        <v>-115</v>
      </c>
      <c r="G231" s="15">
        <f t="shared" si="47"/>
        <v>-120</v>
      </c>
      <c r="H231" s="54">
        <f t="shared" si="47"/>
        <v>-10</v>
      </c>
      <c r="I231" s="1"/>
      <c r="J231" s="15"/>
      <c r="K231" s="15"/>
      <c r="L231" s="15"/>
      <c r="M231" s="15"/>
      <c r="N231" s="15"/>
      <c r="O231" s="1"/>
      <c r="P231" s="49"/>
    </row>
    <row r="232" ht="15" customHeight="1">
      <c r="A232" s="1"/>
      <c r="B232" s="50" t="s">
        <v>119</v>
      </c>
      <c r="C232" s="57">
        <v>0</v>
      </c>
      <c r="D232" s="57">
        <v>0</v>
      </c>
      <c r="E232" s="57">
        <v>0</v>
      </c>
      <c r="F232" s="57">
        <v>0</v>
      </c>
      <c r="G232" s="57">
        <v>0</v>
      </c>
      <c r="H232" s="58">
        <v>0</v>
      </c>
      <c r="I232" s="1"/>
      <c r="J232" s="16"/>
      <c r="K232" s="16"/>
      <c r="L232" s="16"/>
      <c r="M232" s="16"/>
      <c r="N232" s="16"/>
      <c r="O232" s="1"/>
      <c r="P232" s="49"/>
    </row>
    <row r="233" ht="15" customHeight="1">
      <c r="A233" s="1"/>
      <c r="B233" s="50" t="s">
        <v>120</v>
      </c>
      <c r="C233" s="57">
        <v>0</v>
      </c>
      <c r="D233" s="57">
        <v>0</v>
      </c>
      <c r="E233" s="57">
        <v>0</v>
      </c>
      <c r="F233" s="57">
        <v>0</v>
      </c>
      <c r="G233" s="57">
        <v>0</v>
      </c>
      <c r="H233" s="58">
        <v>0</v>
      </c>
      <c r="I233" s="1"/>
      <c r="J233" s="16"/>
      <c r="K233" s="16"/>
      <c r="L233" s="16"/>
      <c r="M233" s="16"/>
      <c r="N233" s="16"/>
      <c r="O233" s="1"/>
      <c r="P233" s="49"/>
    </row>
    <row r="234" ht="15" customHeight="1">
      <c r="A234" s="1"/>
      <c r="B234" s="50" t="s">
        <v>121</v>
      </c>
      <c r="C234" s="16">
        <f t="shared" si="48"/>
        <v>0.011668611435239118</v>
      </c>
      <c r="D234" s="16">
        <f t="shared" si="48"/>
        <v>0.12436804853387251</v>
      </c>
      <c r="E234" s="16">
        <f t="shared" si="48"/>
        <v>0.06163415323720667</v>
      </c>
      <c r="F234" s="16">
        <f t="shared" si="48"/>
        <v>0.12528216704288941</v>
      </c>
      <c r="G234" s="16">
        <f t="shared" si="48"/>
        <v>-0.014606741573033655</v>
      </c>
      <c r="H234" s="51">
        <f t="shared" si="48"/>
        <v>0</v>
      </c>
      <c r="I234" s="1"/>
      <c r="J234" s="16"/>
      <c r="K234" s="16"/>
      <c r="L234" s="16"/>
      <c r="M234" s="16"/>
      <c r="N234" s="16"/>
      <c r="O234" s="1"/>
      <c r="P234" s="49"/>
    </row>
    <row r="235" ht="15" customHeight="1">
      <c r="A235" s="1"/>
      <c r="B235" s="50" t="s">
        <v>209</v>
      </c>
      <c r="C235" s="16">
        <f t="shared" si="66" ref="C235:H235">C228/C270</f>
        <v>0.03152383376358943</v>
      </c>
      <c r="D235" s="16">
        <f t="shared" si="66"/>
        <v>0.03678221751786187</v>
      </c>
      <c r="E235" s="16">
        <f t="shared" si="66"/>
        <v>0.033400341564078846</v>
      </c>
      <c r="F235" s="16">
        <f t="shared" si="66"/>
        <v>0.035018088581363495</v>
      </c>
      <c r="G235" s="16">
        <f t="shared" si="66"/>
        <v>0.03064826140136292</v>
      </c>
      <c r="H235" s="51">
        <f t="shared" si="66"/>
        <v>0.030176001108806198</v>
      </c>
      <c r="I235" s="1"/>
      <c r="J235" s="16"/>
      <c r="K235" s="16"/>
      <c r="L235" s="16"/>
      <c r="M235" s="16"/>
      <c r="N235" s="16"/>
      <c r="O235" s="1"/>
      <c r="P235" s="49"/>
    </row>
    <row r="236" ht="15" customHeight="1">
      <c r="A236" s="1"/>
      <c r="B236" s="3" t="s">
        <v>221</v>
      </c>
      <c r="C236" s="61">
        <f t="shared" si="61"/>
        <v>6229</v>
      </c>
      <c r="D236" s="61">
        <f t="shared" si="61"/>
        <v>6518</v>
      </c>
      <c r="E236" s="61">
        <f t="shared" si="61"/>
        <v>25165</v>
      </c>
      <c r="F236" s="61">
        <f t="shared" si="61"/>
        <v>6319</v>
      </c>
      <c r="G236" s="61">
        <f t="shared" si="61"/>
        <v>6286</v>
      </c>
      <c r="H236" s="62">
        <f t="shared" si="61"/>
        <v>6309.7715823</v>
      </c>
      <c r="I236" s="1"/>
      <c r="J236" s="61">
        <f t="shared" si="61"/>
        <v>6315</v>
      </c>
      <c r="K236" s="61">
        <f t="shared" si="61"/>
        <v>6484</v>
      </c>
      <c r="L236" s="61">
        <f t="shared" si="61"/>
        <v>25508</v>
      </c>
      <c r="M236" s="61">
        <f t="shared" si="61"/>
        <v>6216</v>
      </c>
      <c r="N236" s="61">
        <f t="shared" si="61"/>
        <v>6202</v>
      </c>
      <c r="O236" s="1"/>
      <c r="P236" s="49"/>
    </row>
    <row r="237" ht="15" customHeight="1">
      <c r="A237" s="1"/>
      <c r="B237" s="50" t="s">
        <v>115</v>
      </c>
      <c r="C237" s="16">
        <f t="shared" si="6"/>
        <v>-0.013618368962787009</v>
      </c>
      <c r="D237" s="16">
        <f t="shared" si="6"/>
        <v>0.00524367674275128</v>
      </c>
      <c r="E237" s="16">
        <f t="shared" si="6"/>
        <v>-0.013446761800219531</v>
      </c>
      <c r="F237" s="16">
        <f t="shared" si="6"/>
        <v>0.016570141570141583</v>
      </c>
      <c r="G237" s="16">
        <f t="shared" si="6"/>
        <v>0.013544018058690765</v>
      </c>
      <c r="H237" s="51">
        <f t="shared" si="10"/>
        <v>0.01296702236314018</v>
      </c>
      <c r="I237" s="1"/>
      <c r="J237" s="16"/>
      <c r="K237" s="16"/>
      <c r="L237" s="16"/>
      <c r="M237" s="16"/>
      <c r="N237" s="16"/>
      <c r="O237" s="1"/>
      <c r="P237" s="49"/>
    </row>
    <row r="238" ht="15" customHeight="1">
      <c r="A238" s="1"/>
      <c r="B238" s="50" t="s">
        <v>116</v>
      </c>
      <c r="C238" s="16">
        <f t="shared" si="50"/>
        <v>0.004353434376007659</v>
      </c>
      <c r="D238" s="16">
        <f t="shared" si="46"/>
        <v>0.046395890191041955</v>
      </c>
      <c r="E238" s="52" t="s">
        <v>15</v>
      </c>
      <c r="F238" s="16">
        <f t="shared" si="51"/>
        <v>-0.030530837680269984</v>
      </c>
      <c r="G238" s="16">
        <f t="shared" si="46"/>
        <v>-0.005222345307801857</v>
      </c>
      <c r="H238" s="51">
        <f t="shared" si="46"/>
        <v>0.0037816707445115227</v>
      </c>
      <c r="I238" s="1"/>
      <c r="J238" s="16"/>
      <c r="K238" s="16"/>
      <c r="L238" s="16"/>
      <c r="M238" s="16"/>
      <c r="N238" s="16"/>
      <c r="O238" s="1"/>
      <c r="P238" s="49"/>
    </row>
    <row r="239" ht="15" customHeight="1">
      <c r="A239" s="1"/>
      <c r="B239" s="53" t="s">
        <v>118</v>
      </c>
      <c r="C239" s="15">
        <f t="shared" si="52"/>
        <v>27</v>
      </c>
      <c r="D239" s="15">
        <f t="shared" si="47"/>
        <v>289</v>
      </c>
      <c r="E239" s="21" t="s">
        <v>15</v>
      </c>
      <c r="F239" s="15">
        <f t="shared" si="53"/>
        <v>-199</v>
      </c>
      <c r="G239" s="15">
        <f t="shared" si="47"/>
        <v>-33</v>
      </c>
      <c r="H239" s="54">
        <f t="shared" si="47"/>
        <v>23.771582299999864</v>
      </c>
      <c r="I239" s="1"/>
      <c r="J239" s="15"/>
      <c r="K239" s="15"/>
      <c r="L239" s="15"/>
      <c r="M239" s="15"/>
      <c r="N239" s="15"/>
      <c r="O239" s="1"/>
      <c r="P239" s="49"/>
    </row>
    <row r="240" ht="15" customHeight="1">
      <c r="A240" s="1"/>
      <c r="B240" s="50" t="s">
        <v>119</v>
      </c>
      <c r="C240" s="57">
        <v>0</v>
      </c>
      <c r="D240" s="57">
        <v>0</v>
      </c>
      <c r="E240" s="57">
        <v>0</v>
      </c>
      <c r="F240" s="57">
        <v>0</v>
      </c>
      <c r="G240" s="57">
        <v>0</v>
      </c>
      <c r="H240" s="58">
        <v>0</v>
      </c>
      <c r="I240" s="1"/>
      <c r="J240" s="16"/>
      <c r="K240" s="16"/>
      <c r="L240" s="16"/>
      <c r="M240" s="16"/>
      <c r="N240" s="16"/>
      <c r="O240" s="1"/>
      <c r="P240" s="49"/>
    </row>
    <row r="241" ht="15" customHeight="1">
      <c r="A241" s="1"/>
      <c r="B241" s="50" t="s">
        <v>120</v>
      </c>
      <c r="C241" s="57">
        <v>0</v>
      </c>
      <c r="D241" s="57">
        <v>0</v>
      </c>
      <c r="E241" s="57">
        <v>0</v>
      </c>
      <c r="F241" s="57">
        <v>0</v>
      </c>
      <c r="G241" s="57">
        <v>0</v>
      </c>
      <c r="H241" s="58">
        <v>0</v>
      </c>
      <c r="I241" s="1"/>
      <c r="J241" s="16"/>
      <c r="K241" s="16"/>
      <c r="L241" s="16"/>
      <c r="M241" s="16"/>
      <c r="N241" s="16"/>
      <c r="O241" s="1"/>
      <c r="P241" s="49"/>
    </row>
    <row r="242" ht="15" customHeight="1">
      <c r="A242" s="1"/>
      <c r="B242" s="50" t="s">
        <v>121</v>
      </c>
      <c r="C242" s="16">
        <f t="shared" si="48"/>
        <v>-0.013618368962787009</v>
      </c>
      <c r="D242" s="16">
        <f t="shared" si="48"/>
        <v>0.00524367674275128</v>
      </c>
      <c r="E242" s="16">
        <f t="shared" si="48"/>
        <v>-0.013446761800219531</v>
      </c>
      <c r="F242" s="16">
        <f t="shared" si="48"/>
        <v>0.016570141570141583</v>
      </c>
      <c r="G242" s="16">
        <f t="shared" si="48"/>
        <v>0.013544018058690765</v>
      </c>
      <c r="H242" s="51">
        <f t="shared" si="48"/>
        <v>0.01296702236314018</v>
      </c>
      <c r="I242" s="1"/>
      <c r="J242" s="16"/>
      <c r="K242" s="16"/>
      <c r="L242" s="16"/>
      <c r="M242" s="16"/>
      <c r="N242" s="16"/>
      <c r="O242" s="1"/>
      <c r="P242" s="49"/>
    </row>
    <row r="243" ht="15" customHeight="1">
      <c r="A243" s="1"/>
      <c r="B243" s="3" t="s">
        <v>222</v>
      </c>
      <c r="C243" s="1"/>
      <c r="D243" s="1"/>
      <c r="E243" s="1"/>
      <c r="F243" s="1"/>
      <c r="G243" s="1"/>
      <c r="H243" s="48"/>
      <c r="I243" s="1"/>
      <c r="J243" s="1"/>
      <c r="K243" s="1"/>
      <c r="L243" s="1"/>
      <c r="M243" s="1"/>
      <c r="N243" s="1"/>
      <c r="O243" s="1"/>
      <c r="P243" s="49"/>
    </row>
    <row r="244" ht="15" customHeight="1">
      <c r="A244" s="1"/>
      <c r="B244" s="72" t="s">
        <v>223</v>
      </c>
      <c r="C244" s="61">
        <f t="shared" si="67" ref="C244:N244">C150+C197</f>
        <v>16926</v>
      </c>
      <c r="D244" s="61">
        <f t="shared" si="67"/>
        <v>16954</v>
      </c>
      <c r="E244" s="61">
        <f t="shared" si="67"/>
        <v>67384</v>
      </c>
      <c r="F244" s="61">
        <f t="shared" si="67"/>
        <v>16941</v>
      </c>
      <c r="G244" s="61">
        <f t="shared" si="67"/>
        <v>17413</v>
      </c>
      <c r="H244" s="62">
        <f>H18*H142*3/1000</f>
        <v>17530.9074</v>
      </c>
      <c r="I244" s="1"/>
      <c r="J244" s="61">
        <f t="shared" si="67"/>
        <v>16539</v>
      </c>
      <c r="K244" s="61">
        <f t="shared" si="67"/>
        <v>16563</v>
      </c>
      <c r="L244" s="61">
        <f t="shared" si="67"/>
        <v>65373</v>
      </c>
      <c r="M244" s="61">
        <f t="shared" si="67"/>
        <v>16651</v>
      </c>
      <c r="N244" s="61">
        <f t="shared" si="67"/>
        <v>16853</v>
      </c>
      <c r="O244" s="1"/>
      <c r="P244" s="49"/>
    </row>
    <row r="245" ht="15" customHeight="1">
      <c r="A245" s="1"/>
      <c r="B245" s="50" t="s">
        <v>115</v>
      </c>
      <c r="C245" s="16">
        <f t="shared" si="6"/>
        <v>0.023399238164338865</v>
      </c>
      <c r="D245" s="16">
        <f t="shared" si="6"/>
        <v>0.02360683451065637</v>
      </c>
      <c r="E245" s="16">
        <f t="shared" si="6"/>
        <v>0.030761935355575032</v>
      </c>
      <c r="F245" s="16">
        <f t="shared" si="6"/>
        <v>0.01741637138910579</v>
      </c>
      <c r="G245" s="16">
        <f t="shared" si="6"/>
        <v>0.033228505310627154</v>
      </c>
      <c r="H245" s="51">
        <f t="shared" si="10"/>
        <v>0.035738355193194016</v>
      </c>
      <c r="I245" s="1"/>
      <c r="J245" s="16"/>
      <c r="K245" s="16"/>
      <c r="L245" s="16"/>
      <c r="M245" s="16"/>
      <c r="N245" s="16"/>
      <c r="O245" s="1"/>
      <c r="P245" s="49"/>
    </row>
    <row r="246" ht="15" customHeight="1">
      <c r="A246" s="1"/>
      <c r="B246" s="50" t="s">
        <v>116</v>
      </c>
      <c r="C246" s="16">
        <f t="shared" si="50"/>
        <v>0.004331573013706791</v>
      </c>
      <c r="D246" s="16">
        <f t="shared" si="46"/>
        <v>0.0016542597187758634</v>
      </c>
      <c r="E246" s="52" t="s">
        <v>15</v>
      </c>
      <c r="F246" s="16">
        <f t="shared" si="51"/>
        <v>-0.0007667807007195604</v>
      </c>
      <c r="G246" s="16">
        <f t="shared" si="46"/>
        <v>0.02786140133404169</v>
      </c>
      <c r="H246" s="51">
        <f t="shared" si="46"/>
        <v>0.006771228392580264</v>
      </c>
      <c r="I246" s="1"/>
      <c r="J246" s="16"/>
      <c r="K246" s="16"/>
      <c r="L246" s="16"/>
      <c r="M246" s="16"/>
      <c r="N246" s="16"/>
      <c r="O246" s="1"/>
      <c r="P246" s="49"/>
    </row>
    <row r="247" ht="15" customHeight="1">
      <c r="A247" s="1"/>
      <c r="B247" s="53" t="s">
        <v>118</v>
      </c>
      <c r="C247" s="15">
        <f t="shared" si="52"/>
        <v>73</v>
      </c>
      <c r="D247" s="15">
        <f t="shared" si="47"/>
        <v>28</v>
      </c>
      <c r="E247" s="21" t="s">
        <v>15</v>
      </c>
      <c r="F247" s="15">
        <f t="shared" si="53"/>
        <v>-13</v>
      </c>
      <c r="G247" s="15">
        <f t="shared" si="47"/>
        <v>472</v>
      </c>
      <c r="H247" s="54">
        <f t="shared" si="47"/>
        <v>117.90740000000005</v>
      </c>
      <c r="I247" s="1"/>
      <c r="J247" s="15"/>
      <c r="K247" s="15"/>
      <c r="L247" s="15"/>
      <c r="M247" s="15"/>
      <c r="N247" s="15"/>
      <c r="O247" s="1"/>
      <c r="P247" s="49"/>
    </row>
    <row r="248" ht="15" customHeight="1">
      <c r="A248" s="1"/>
      <c r="B248" s="50" t="s">
        <v>119</v>
      </c>
      <c r="C248" s="57">
        <v>0</v>
      </c>
      <c r="D248" s="57">
        <v>0</v>
      </c>
      <c r="E248" s="57">
        <v>0</v>
      </c>
      <c r="F248" s="57">
        <v>0</v>
      </c>
      <c r="G248" s="57">
        <v>0</v>
      </c>
      <c r="H248" s="58">
        <v>0</v>
      </c>
      <c r="I248" s="1"/>
      <c r="J248" s="16"/>
      <c r="K248" s="16"/>
      <c r="L248" s="16"/>
      <c r="M248" s="16"/>
      <c r="N248" s="16"/>
      <c r="O248" s="1"/>
      <c r="P248" s="49"/>
    </row>
    <row r="249" ht="15" customHeight="1">
      <c r="A249" s="1"/>
      <c r="B249" s="50" t="s">
        <v>120</v>
      </c>
      <c r="C249" s="57">
        <v>0</v>
      </c>
      <c r="D249" s="57">
        <v>0</v>
      </c>
      <c r="E249" s="57">
        <v>0</v>
      </c>
      <c r="F249" s="57">
        <v>0</v>
      </c>
      <c r="G249" s="57">
        <v>0</v>
      </c>
      <c r="H249" s="58">
        <v>0</v>
      </c>
      <c r="I249" s="1"/>
      <c r="J249" s="16"/>
      <c r="K249" s="16"/>
      <c r="L249" s="16"/>
      <c r="M249" s="16"/>
      <c r="N249" s="16"/>
      <c r="O249" s="1"/>
      <c r="P249" s="49"/>
    </row>
    <row r="250" ht="15" customHeight="1">
      <c r="A250" s="1"/>
      <c r="B250" s="50" t="s">
        <v>121</v>
      </c>
      <c r="C250" s="16">
        <f t="shared" si="48"/>
        <v>0.023399238164338865</v>
      </c>
      <c r="D250" s="16">
        <f t="shared" si="48"/>
        <v>0.02360683451065637</v>
      </c>
      <c r="E250" s="16">
        <f t="shared" si="48"/>
        <v>0.030761935355575032</v>
      </c>
      <c r="F250" s="16">
        <f t="shared" si="48"/>
        <v>0.01741637138910579</v>
      </c>
      <c r="G250" s="16">
        <f t="shared" si="48"/>
        <v>0.033228505310627154</v>
      </c>
      <c r="H250" s="51">
        <f t="shared" si="48"/>
        <v>0.035738355193194016</v>
      </c>
      <c r="I250" s="1"/>
      <c r="J250" s="16"/>
      <c r="K250" s="16"/>
      <c r="L250" s="16"/>
      <c r="M250" s="16"/>
      <c r="N250" s="16"/>
      <c r="O250" s="1"/>
      <c r="P250" s="49"/>
    </row>
    <row r="251" ht="15" customHeight="1">
      <c r="A251" s="1"/>
      <c r="B251" s="76" t="s">
        <v>224</v>
      </c>
      <c r="C251" s="16">
        <f t="shared" si="68" ref="C251:N251">C197/C244</f>
        <v>0.1377762022923313</v>
      </c>
      <c r="D251" s="16">
        <f t="shared" si="68"/>
        <v>0.13855137430694822</v>
      </c>
      <c r="E251" s="16">
        <f t="shared" si="68"/>
        <v>0.13736198504095928</v>
      </c>
      <c r="F251" s="16">
        <f t="shared" si="68"/>
        <v>0.13912992149223777</v>
      </c>
      <c r="G251" s="16">
        <f t="shared" si="68"/>
        <v>0.1390340550163671</v>
      </c>
      <c r="H251" s="58">
        <v>0.1395</v>
      </c>
      <c r="I251" s="1"/>
      <c r="J251" s="16">
        <f t="shared" si="68"/>
        <v>0.14075820787230184</v>
      </c>
      <c r="K251" s="16">
        <f t="shared" si="68"/>
        <v>0.14085612509811024</v>
      </c>
      <c r="L251" s="16">
        <f t="shared" si="68"/>
        <v>0.1409144448013706</v>
      </c>
      <c r="M251" s="16">
        <f t="shared" si="68"/>
        <v>0.13698876944327668</v>
      </c>
      <c r="N251" s="16">
        <f t="shared" si="68"/>
        <v>0.13611819854031923</v>
      </c>
      <c r="O251" s="1"/>
      <c r="P251" s="49"/>
    </row>
    <row r="252" ht="15" customHeight="1">
      <c r="A252" s="1"/>
      <c r="B252" s="50" t="s">
        <v>149</v>
      </c>
      <c r="C252" s="77">
        <f t="shared" si="11"/>
        <v>-29.82005579970526</v>
      </c>
      <c r="D252" s="77">
        <f t="shared" si="11"/>
        <v>-23.04750791162019</v>
      </c>
      <c r="E252" s="77">
        <f t="shared" si="11"/>
        <v>-35.524597604113254</v>
      </c>
      <c r="F252" s="77">
        <f t="shared" si="11"/>
        <v>21.411520489610925</v>
      </c>
      <c r="G252" s="77">
        <f t="shared" si="11"/>
        <v>29.158564760478622</v>
      </c>
      <c r="H252" s="78">
        <f t="shared" si="25"/>
        <v>17.237977076687006</v>
      </c>
      <c r="I252" s="1"/>
      <c r="J252" s="77"/>
      <c r="K252" s="77"/>
      <c r="L252" s="77"/>
      <c r="M252" s="77"/>
      <c r="N252" s="77"/>
      <c r="O252" s="1"/>
      <c r="P252" s="49"/>
    </row>
    <row r="253" ht="15" customHeight="1">
      <c r="A253" s="1"/>
      <c r="B253" s="50" t="s">
        <v>150</v>
      </c>
      <c r="C253" s="77">
        <f t="shared" si="26"/>
        <v>16.580037520120825</v>
      </c>
      <c r="D253" s="77">
        <f t="shared" si="12"/>
        <v>7.751720146169094</v>
      </c>
      <c r="E253" s="79" t="s">
        <v>15</v>
      </c>
      <c r="F253" s="77">
        <f t="shared" si="27"/>
        <v>5.785471852895463</v>
      </c>
      <c r="G253" s="77">
        <f t="shared" si="12"/>
        <v>-0.958664758706762</v>
      </c>
      <c r="H253" s="78">
        <f t="shared" si="12"/>
        <v>4.659449836329211</v>
      </c>
      <c r="I253" s="1"/>
      <c r="J253" s="77"/>
      <c r="K253" s="77"/>
      <c r="L253" s="77"/>
      <c r="M253" s="77"/>
      <c r="N253" s="77"/>
      <c r="O253" s="1"/>
      <c r="P253" s="49"/>
    </row>
    <row r="254" ht="15" customHeight="1">
      <c r="A254" s="1"/>
      <c r="B254" s="3" t="s">
        <v>225</v>
      </c>
      <c r="C254" s="61">
        <f t="shared" si="69" ref="C254:N254">C174+C221</f>
        <v>22529</v>
      </c>
      <c r="D254" s="61">
        <f t="shared" si="69"/>
        <v>22675</v>
      </c>
      <c r="E254" s="61">
        <f t="shared" si="69"/>
        <v>89598</v>
      </c>
      <c r="F254" s="61">
        <f t="shared" si="69"/>
        <v>22863</v>
      </c>
      <c r="G254" s="61">
        <f t="shared" si="69"/>
        <v>23478</v>
      </c>
      <c r="H254" s="62">
        <f t="shared" si="69"/>
        <v>23695.83615</v>
      </c>
      <c r="I254" s="1"/>
      <c r="J254" s="61">
        <f t="shared" si="69"/>
        <v>21795</v>
      </c>
      <c r="K254" s="61">
        <f t="shared" si="69"/>
        <v>21970</v>
      </c>
      <c r="L254" s="61">
        <f t="shared" si="69"/>
        <v>86447</v>
      </c>
      <c r="M254" s="61">
        <f t="shared" si="69"/>
        <v>22060</v>
      </c>
      <c r="N254" s="61">
        <f t="shared" si="69"/>
        <v>22334</v>
      </c>
      <c r="O254" s="1"/>
      <c r="P254" s="49"/>
    </row>
    <row r="255" ht="15" customHeight="1">
      <c r="A255" s="1"/>
      <c r="B255" s="50" t="s">
        <v>115</v>
      </c>
      <c r="C255" s="16">
        <f t="shared" si="6"/>
        <v>0.03367744895618263</v>
      </c>
      <c r="D255" s="16">
        <f t="shared" si="6"/>
        <v>0.032089212562585345</v>
      </c>
      <c r="E255" s="16">
        <f t="shared" si="6"/>
        <v>0.03645007923930277</v>
      </c>
      <c r="F255" s="16">
        <f t="shared" si="6"/>
        <v>0.03640072529465099</v>
      </c>
      <c r="G255" s="16">
        <f t="shared" si="6"/>
        <v>0.051222351571594826</v>
      </c>
      <c r="H255" s="51">
        <f t="shared" si="10"/>
        <v>0.05179262949975594</v>
      </c>
      <c r="I255" s="1"/>
      <c r="J255" s="16"/>
      <c r="K255" s="16"/>
      <c r="L255" s="16"/>
      <c r="M255" s="16"/>
      <c r="N255" s="16"/>
      <c r="O255" s="1"/>
      <c r="P255" s="49"/>
    </row>
    <row r="256" ht="15" customHeight="1">
      <c r="A256" s="1"/>
      <c r="B256" s="50" t="s">
        <v>116</v>
      </c>
      <c r="C256" s="16">
        <f t="shared" si="50"/>
        <v>0.008731082654249045</v>
      </c>
      <c r="D256" s="16">
        <f t="shared" si="46"/>
        <v>0.006480536197789544</v>
      </c>
      <c r="E256" s="52" t="s">
        <v>15</v>
      </c>
      <c r="F256" s="16">
        <f t="shared" si="51"/>
        <v>0.00829106945975755</v>
      </c>
      <c r="G256" s="16">
        <f t="shared" si="46"/>
        <v>0.026899357039758653</v>
      </c>
      <c r="H256" s="51">
        <f t="shared" si="46"/>
        <v>0.00927830948121633</v>
      </c>
      <c r="I256" s="1"/>
      <c r="J256" s="16"/>
      <c r="K256" s="16"/>
      <c r="L256" s="16"/>
      <c r="M256" s="16"/>
      <c r="N256" s="16"/>
      <c r="O256" s="1"/>
      <c r="P256" s="49"/>
    </row>
    <row r="257" ht="15" customHeight="1">
      <c r="A257" s="1"/>
      <c r="B257" s="53" t="s">
        <v>118</v>
      </c>
      <c r="C257" s="15">
        <f t="shared" si="52"/>
        <v>195</v>
      </c>
      <c r="D257" s="15">
        <f t="shared" si="47"/>
        <v>146</v>
      </c>
      <c r="E257" s="21" t="s">
        <v>15</v>
      </c>
      <c r="F257" s="15">
        <f t="shared" si="53"/>
        <v>188</v>
      </c>
      <c r="G257" s="15">
        <f t="shared" si="47"/>
        <v>615</v>
      </c>
      <c r="H257" s="54">
        <f t="shared" si="47"/>
        <v>217.83614999999918</v>
      </c>
      <c r="I257" s="1"/>
      <c r="J257" s="15"/>
      <c r="K257" s="15"/>
      <c r="L257" s="15"/>
      <c r="M257" s="15"/>
      <c r="N257" s="15"/>
      <c r="O257" s="1"/>
      <c r="P257" s="49"/>
    </row>
    <row r="258" ht="15" customHeight="1">
      <c r="A258" s="1"/>
      <c r="B258" s="50" t="s">
        <v>119</v>
      </c>
      <c r="C258" s="57">
        <v>0</v>
      </c>
      <c r="D258" s="57">
        <v>0</v>
      </c>
      <c r="E258" s="57">
        <v>0</v>
      </c>
      <c r="F258" s="16">
        <f t="shared" si="70" ref="F258:G258">_xlfn.IFERROR(F148/M254,"unavailable")</f>
        <v>0.00745489797523573</v>
      </c>
      <c r="G258" s="16">
        <f t="shared" si="70"/>
        <v>0.010630331682730651</v>
      </c>
      <c r="H258" s="51">
        <f>_xlfn.IFERROR(H148/C254,"unavailable")</f>
        <v>0.010434271383550091</v>
      </c>
      <c r="I258" s="1"/>
      <c r="J258" s="16"/>
      <c r="K258" s="16"/>
      <c r="L258" s="16"/>
      <c r="M258" s="16"/>
      <c r="N258" s="16"/>
      <c r="O258" s="1"/>
      <c r="P258" s="49"/>
    </row>
    <row r="259" ht="15" customHeight="1">
      <c r="A259" s="1"/>
      <c r="B259" s="50" t="s">
        <v>120</v>
      </c>
      <c r="C259" s="57">
        <v>0</v>
      </c>
      <c r="D259" s="57">
        <v>0</v>
      </c>
      <c r="E259" s="57">
        <v>0</v>
      </c>
      <c r="F259" s="57">
        <v>0</v>
      </c>
      <c r="G259" s="57">
        <v>0</v>
      </c>
      <c r="H259" s="58">
        <v>0</v>
      </c>
      <c r="I259" s="1"/>
      <c r="J259" s="16"/>
      <c r="K259" s="16"/>
      <c r="L259" s="16"/>
      <c r="M259" s="16"/>
      <c r="N259" s="16"/>
      <c r="O259" s="1"/>
      <c r="P259" s="49"/>
    </row>
    <row r="260" ht="15" customHeight="1">
      <c r="A260" s="1"/>
      <c r="B260" s="50" t="s">
        <v>121</v>
      </c>
      <c r="C260" s="16">
        <f t="shared" si="48"/>
        <v>0.03367744895618263</v>
      </c>
      <c r="D260" s="16">
        <f t="shared" si="48"/>
        <v>0.032089212562585345</v>
      </c>
      <c r="E260" s="16">
        <f t="shared" si="48"/>
        <v>0.03645007923930277</v>
      </c>
      <c r="F260" s="16">
        <f t="shared" si="48"/>
        <v>0.0287316359050811</v>
      </c>
      <c r="G260" s="16">
        <f t="shared" si="48"/>
        <v>0.04016505206337628</v>
      </c>
      <c r="H260" s="51">
        <f t="shared" si="48"/>
        <v>0.04093127013553821</v>
      </c>
      <c r="I260" s="1"/>
      <c r="J260" s="16"/>
      <c r="K260" s="16"/>
      <c r="L260" s="16"/>
      <c r="M260" s="16"/>
      <c r="N260" s="16"/>
      <c r="O260" s="1"/>
      <c r="P260" s="49"/>
    </row>
    <row r="261" ht="15" customHeight="1">
      <c r="A261" s="1"/>
      <c r="B261" s="50" t="s">
        <v>209</v>
      </c>
      <c r="C261" s="16">
        <f t="shared" si="71" ref="C261:H261">C254/C270</f>
        <v>0.8191470021452205</v>
      </c>
      <c r="D261" s="16">
        <f t="shared" si="71"/>
        <v>0.750033077533739</v>
      </c>
      <c r="E261" s="16">
        <f t="shared" si="71"/>
        <v>0.7969650608411015</v>
      </c>
      <c r="F261" s="16">
        <f t="shared" si="71"/>
        <v>0.8030276421622001</v>
      </c>
      <c r="G261" s="16">
        <f t="shared" si="71"/>
        <v>0.8204787698759392</v>
      </c>
      <c r="H261" s="51">
        <f t="shared" si="71"/>
        <v>0.8247353840097924</v>
      </c>
      <c r="I261" s="1"/>
      <c r="J261" s="16"/>
      <c r="K261" s="16"/>
      <c r="L261" s="16"/>
      <c r="M261" s="16"/>
      <c r="N261" s="16"/>
      <c r="O261" s="1"/>
      <c r="P261" s="49"/>
    </row>
    <row r="262" ht="15" customHeight="1">
      <c r="A262" s="1"/>
      <c r="B262" s="3" t="s">
        <v>131</v>
      </c>
      <c r="C262" s="61">
        <f t="shared" si="72" ref="C262:N262">C181+C228</f>
        <v>4974</v>
      </c>
      <c r="D262" s="61">
        <f t="shared" si="72"/>
        <v>7557</v>
      </c>
      <c r="E262" s="61">
        <f t="shared" si="72"/>
        <v>22826</v>
      </c>
      <c r="F262" s="61">
        <f t="shared" si="72"/>
        <v>5608</v>
      </c>
      <c r="G262" s="61">
        <f t="shared" si="72"/>
        <v>5137</v>
      </c>
      <c r="H262" s="62">
        <f t="shared" si="72"/>
        <v>5035.605</v>
      </c>
      <c r="I262" s="1"/>
      <c r="J262" s="61">
        <f t="shared" si="72"/>
        <v>4702</v>
      </c>
      <c r="K262" s="61">
        <f t="shared" si="72"/>
        <v>6735</v>
      </c>
      <c r="L262" s="61">
        <f t="shared" si="72"/>
        <v>20637</v>
      </c>
      <c r="M262" s="61">
        <f t="shared" si="72"/>
        <v>5132</v>
      </c>
      <c r="N262" s="61">
        <f t="shared" si="72"/>
        <v>5163</v>
      </c>
      <c r="O262" s="1"/>
      <c r="P262" s="49"/>
    </row>
    <row r="263" ht="15" customHeight="1">
      <c r="A263" s="1"/>
      <c r="B263" s="50" t="s">
        <v>115</v>
      </c>
      <c r="C263" s="16">
        <f t="shared" si="6"/>
        <v>0.057847724372607434</v>
      </c>
      <c r="D263" s="16">
        <f t="shared" si="6"/>
        <v>0.12204899777282852</v>
      </c>
      <c r="E263" s="16">
        <f t="shared" si="6"/>
        <v>0.1060716189368609</v>
      </c>
      <c r="F263" s="16">
        <f t="shared" si="6"/>
        <v>0.09275136399064698</v>
      </c>
      <c r="G263" s="16">
        <f t="shared" si="6"/>
        <v>-0.0050358318806895674</v>
      </c>
      <c r="H263" s="51">
        <f t="shared" si="10"/>
        <v>0.012385404101326714</v>
      </c>
      <c r="I263" s="1"/>
      <c r="J263" s="16"/>
      <c r="K263" s="16"/>
      <c r="L263" s="16"/>
      <c r="M263" s="16"/>
      <c r="N263" s="16"/>
      <c r="O263" s="1"/>
      <c r="P263" s="49"/>
    </row>
    <row r="264" ht="15" customHeight="1">
      <c r="A264" s="1"/>
      <c r="B264" s="50" t="s">
        <v>116</v>
      </c>
      <c r="C264" s="16">
        <f t="shared" si="50"/>
        <v>-0.03660662405578152</v>
      </c>
      <c r="D264" s="16">
        <f t="shared" si="46"/>
        <v>0.5193003618817853</v>
      </c>
      <c r="E264" s="52" t="s">
        <v>15</v>
      </c>
      <c r="F264" s="16">
        <f t="shared" si="51"/>
        <v>-0.2579065766838693</v>
      </c>
      <c r="G264" s="16">
        <f t="shared" si="46"/>
        <v>-0.0839871611982882</v>
      </c>
      <c r="H264" s="51">
        <f t="shared" si="46"/>
        <v>-0.019738174031535993</v>
      </c>
      <c r="I264" s="1"/>
      <c r="J264" s="16"/>
      <c r="K264" s="16"/>
      <c r="L264" s="16"/>
      <c r="M264" s="16"/>
      <c r="N264" s="16"/>
      <c r="O264" s="1"/>
      <c r="P264" s="49"/>
    </row>
    <row r="265" ht="15" customHeight="1">
      <c r="A265" s="1"/>
      <c r="B265" s="53" t="s">
        <v>118</v>
      </c>
      <c r="C265" s="15">
        <f t="shared" si="52"/>
        <v>-189</v>
      </c>
      <c r="D265" s="15">
        <f t="shared" si="47"/>
        <v>2583</v>
      </c>
      <c r="E265" s="21" t="s">
        <v>15</v>
      </c>
      <c r="F265" s="15">
        <f t="shared" si="53"/>
        <v>-1949</v>
      </c>
      <c r="G265" s="15">
        <f t="shared" si="47"/>
        <v>-471</v>
      </c>
      <c r="H265" s="54">
        <f t="shared" si="47"/>
        <v>-101.39500000000044</v>
      </c>
      <c r="I265" s="1"/>
      <c r="J265" s="15"/>
      <c r="K265" s="15"/>
      <c r="L265" s="15"/>
      <c r="M265" s="15"/>
      <c r="N265" s="15"/>
      <c r="O265" s="1"/>
      <c r="P265" s="49"/>
    </row>
    <row r="266" ht="15" customHeight="1">
      <c r="A266" s="1"/>
      <c r="B266" s="50" t="s">
        <v>119</v>
      </c>
      <c r="C266" s="57">
        <v>0</v>
      </c>
      <c r="D266" s="57">
        <v>0</v>
      </c>
      <c r="E266" s="57">
        <v>0</v>
      </c>
      <c r="F266" s="57">
        <v>0</v>
      </c>
      <c r="G266" s="57">
        <v>0</v>
      </c>
      <c r="H266" s="58">
        <v>0</v>
      </c>
      <c r="I266" s="1"/>
      <c r="J266" s="16"/>
      <c r="K266" s="16"/>
      <c r="L266" s="16"/>
      <c r="M266" s="16"/>
      <c r="N266" s="16"/>
      <c r="O266" s="1"/>
      <c r="P266" s="49"/>
    </row>
    <row r="267" ht="15" customHeight="1">
      <c r="A267" s="1"/>
      <c r="B267" s="50" t="s">
        <v>120</v>
      </c>
      <c r="C267" s="57">
        <v>0</v>
      </c>
      <c r="D267" s="57">
        <v>0</v>
      </c>
      <c r="E267" s="57">
        <v>0</v>
      </c>
      <c r="F267" s="57">
        <v>0</v>
      </c>
      <c r="G267" s="57">
        <v>0</v>
      </c>
      <c r="H267" s="58">
        <v>0</v>
      </c>
      <c r="I267" s="1"/>
      <c r="J267" s="16"/>
      <c r="K267" s="16"/>
      <c r="L267" s="16"/>
      <c r="M267" s="16"/>
      <c r="N267" s="16"/>
      <c r="O267" s="1"/>
      <c r="P267" s="49"/>
    </row>
    <row r="268" ht="15" customHeight="1">
      <c r="A268" s="1"/>
      <c r="B268" s="50" t="s">
        <v>121</v>
      </c>
      <c r="C268" s="16">
        <f t="shared" si="48"/>
        <v>0.057847724372607434</v>
      </c>
      <c r="D268" s="16">
        <f t="shared" si="48"/>
        <v>0.12204899777282852</v>
      </c>
      <c r="E268" s="16">
        <f t="shared" si="48"/>
        <v>0.1060716189368609</v>
      </c>
      <c r="F268" s="16">
        <f t="shared" si="48"/>
        <v>0.09275136399064698</v>
      </c>
      <c r="G268" s="16">
        <f t="shared" si="48"/>
        <v>-0.0050358318806895674</v>
      </c>
      <c r="H268" s="51">
        <f t="shared" si="48"/>
        <v>0.012385404101326714</v>
      </c>
      <c r="I268" s="1"/>
      <c r="J268" s="16"/>
      <c r="K268" s="16"/>
      <c r="L268" s="16"/>
      <c r="M268" s="16"/>
      <c r="N268" s="16"/>
      <c r="O268" s="1"/>
      <c r="P268" s="49"/>
    </row>
    <row r="269" ht="15" customHeight="1">
      <c r="A269" s="1"/>
      <c r="B269" s="50" t="s">
        <v>209</v>
      </c>
      <c r="C269" s="16">
        <f t="shared" si="73" ref="C269:H269">C262/C270</f>
        <v>0.18085299785477948</v>
      </c>
      <c r="D269" s="16">
        <f t="shared" si="73"/>
        <v>0.24996692246626093</v>
      </c>
      <c r="E269" s="16">
        <f t="shared" si="73"/>
        <v>0.20303493915889845</v>
      </c>
      <c r="F269" s="16">
        <f t="shared" si="73"/>
        <v>0.19697235783779987</v>
      </c>
      <c r="G269" s="16">
        <f t="shared" si="73"/>
        <v>0.17952123012406082</v>
      </c>
      <c r="H269" s="51">
        <f t="shared" si="73"/>
        <v>0.17526461599020765</v>
      </c>
      <c r="I269" s="1"/>
      <c r="J269" s="16"/>
      <c r="K269" s="16"/>
      <c r="L269" s="16"/>
      <c r="M269" s="16"/>
      <c r="N269" s="16"/>
      <c r="O269" s="1"/>
      <c r="P269" s="49"/>
    </row>
    <row r="270" ht="15" customHeight="1">
      <c r="A270" s="1"/>
      <c r="B270" s="72" t="s">
        <v>226</v>
      </c>
      <c r="C270" s="61">
        <f t="shared" si="74" ref="C270:N270">C254+C262</f>
        <v>27503</v>
      </c>
      <c r="D270" s="61">
        <f t="shared" si="74"/>
        <v>30232</v>
      </c>
      <c r="E270" s="61">
        <f t="shared" si="74"/>
        <v>112424</v>
      </c>
      <c r="F270" s="61">
        <f t="shared" si="74"/>
        <v>28471</v>
      </c>
      <c r="G270" s="61">
        <f t="shared" si="74"/>
        <v>28615</v>
      </c>
      <c r="H270" s="62">
        <f t="shared" si="74"/>
        <v>28731.44115</v>
      </c>
      <c r="I270" s="1"/>
      <c r="J270" s="61">
        <f t="shared" si="74"/>
        <v>26497</v>
      </c>
      <c r="K270" s="61">
        <f t="shared" si="74"/>
        <v>28705</v>
      </c>
      <c r="L270" s="61">
        <f t="shared" si="74"/>
        <v>107084</v>
      </c>
      <c r="M270" s="61">
        <f t="shared" si="74"/>
        <v>27192</v>
      </c>
      <c r="N270" s="61">
        <f t="shared" si="74"/>
        <v>27497</v>
      </c>
      <c r="O270" s="1"/>
      <c r="P270" s="49"/>
    </row>
    <row r="271" ht="15" customHeight="1">
      <c r="A271" s="1"/>
      <c r="B271" s="50" t="s">
        <v>115</v>
      </c>
      <c r="C271" s="16">
        <f t="shared" si="6"/>
        <v>0.037966562252330416</v>
      </c>
      <c r="D271" s="16">
        <f t="shared" si="6"/>
        <v>0.05319630726354285</v>
      </c>
      <c r="E271" s="16">
        <f t="shared" si="6"/>
        <v>0.04986739382167271</v>
      </c>
      <c r="F271" s="16">
        <f t="shared" si="6"/>
        <v>0.047035892909679244</v>
      </c>
      <c r="G271" s="16">
        <f t="shared" si="6"/>
        <v>0.0406589809797433</v>
      </c>
      <c r="H271" s="51">
        <f t="shared" si="10"/>
        <v>0.04466571464931102</v>
      </c>
      <c r="I271" s="1"/>
      <c r="J271" s="16"/>
      <c r="K271" s="16"/>
      <c r="L271" s="16"/>
      <c r="M271" s="16"/>
      <c r="N271" s="16"/>
      <c r="O271" s="1"/>
      <c r="P271" s="49"/>
    </row>
    <row r="272" ht="15" customHeight="1">
      <c r="A272" s="1"/>
      <c r="B272" s="50" t="s">
        <v>116</v>
      </c>
      <c r="C272" s="16">
        <f t="shared" si="50"/>
        <v>0.0002182056224315776</v>
      </c>
      <c r="D272" s="16">
        <f t="shared" si="46"/>
        <v>0.09922553903210551</v>
      </c>
      <c r="E272" s="52" t="s">
        <v>15</v>
      </c>
      <c r="F272" s="16">
        <f t="shared" si="51"/>
        <v>-0.05824953691452761</v>
      </c>
      <c r="G272" s="16">
        <f t="shared" si="46"/>
        <v>0.005057778089986309</v>
      </c>
      <c r="H272" s="51">
        <f t="shared" si="46"/>
        <v>0.004069234667132493</v>
      </c>
      <c r="I272" s="1"/>
      <c r="J272" s="16"/>
      <c r="K272" s="16"/>
      <c r="L272" s="16"/>
      <c r="M272" s="16"/>
      <c r="N272" s="16"/>
      <c r="O272" s="1"/>
      <c r="P272" s="49"/>
    </row>
    <row r="273" ht="15" customHeight="1">
      <c r="A273" s="1"/>
      <c r="B273" s="53" t="s">
        <v>118</v>
      </c>
      <c r="C273" s="15">
        <f t="shared" si="52"/>
        <v>6</v>
      </c>
      <c r="D273" s="15">
        <f t="shared" si="47"/>
        <v>2729</v>
      </c>
      <c r="E273" s="21" t="s">
        <v>15</v>
      </c>
      <c r="F273" s="15">
        <f t="shared" si="53"/>
        <v>-1761</v>
      </c>
      <c r="G273" s="15">
        <f t="shared" si="47"/>
        <v>144</v>
      </c>
      <c r="H273" s="54">
        <f t="shared" si="47"/>
        <v>116.44114999999874</v>
      </c>
      <c r="I273" s="1"/>
      <c r="J273" s="15"/>
      <c r="K273" s="15"/>
      <c r="L273" s="15"/>
      <c r="M273" s="15"/>
      <c r="N273" s="15"/>
      <c r="O273" s="1"/>
      <c r="P273" s="49"/>
    </row>
    <row r="274" ht="15" customHeight="1">
      <c r="A274" s="1"/>
      <c r="B274" s="50" t="s">
        <v>119</v>
      </c>
      <c r="C274" s="57">
        <v>0</v>
      </c>
      <c r="D274" s="57">
        <v>0</v>
      </c>
      <c r="E274" s="57">
        <v>0</v>
      </c>
      <c r="F274" s="16">
        <f t="shared" si="75" ref="F274:G274">_xlfn.IFERROR(F148/M270,"unavailable")</f>
        <v>0.006047920319715365</v>
      </c>
      <c r="G274" s="16">
        <f t="shared" si="75"/>
        <v>0.008634317481983721</v>
      </c>
      <c r="H274" s="51">
        <f>_xlfn.IFERROR(H148/C270,"unavailable")</f>
        <v>0.008547202123404719</v>
      </c>
      <c r="I274" s="1"/>
      <c r="J274" s="16"/>
      <c r="K274" s="16"/>
      <c r="L274" s="16"/>
      <c r="M274" s="16"/>
      <c r="N274" s="16"/>
      <c r="O274" s="1"/>
      <c r="P274" s="49"/>
    </row>
    <row r="275" ht="15" customHeight="1">
      <c r="A275" s="1"/>
      <c r="B275" s="50" t="s">
        <v>120</v>
      </c>
      <c r="C275" s="57">
        <v>0</v>
      </c>
      <c r="D275" s="57">
        <v>0</v>
      </c>
      <c r="E275" s="57">
        <v>0</v>
      </c>
      <c r="F275" s="57">
        <v>0</v>
      </c>
      <c r="G275" s="57">
        <v>0</v>
      </c>
      <c r="H275" s="58">
        <v>0</v>
      </c>
      <c r="I275" s="1"/>
      <c r="J275" s="16"/>
      <c r="K275" s="16"/>
      <c r="L275" s="16"/>
      <c r="M275" s="16"/>
      <c r="N275" s="16"/>
      <c r="O275" s="1"/>
      <c r="P275" s="49"/>
    </row>
    <row r="276" ht="15" customHeight="1">
      <c r="A276" s="1"/>
      <c r="B276" s="50" t="s">
        <v>121</v>
      </c>
      <c r="C276" s="16">
        <f t="shared" si="48"/>
        <v>0.037966562252330416</v>
      </c>
      <c r="D276" s="16">
        <f t="shared" si="48"/>
        <v>0.05319630726354285</v>
      </c>
      <c r="E276" s="16">
        <f t="shared" si="48"/>
        <v>0.04986739382167271</v>
      </c>
      <c r="F276" s="16">
        <f t="shared" si="48"/>
        <v>0.04074157081596885</v>
      </c>
      <c r="G276" s="16">
        <f t="shared" si="48"/>
        <v>0.031750519432759416</v>
      </c>
      <c r="H276" s="51">
        <f t="shared" si="48"/>
        <v>0.035812416563014704</v>
      </c>
      <c r="I276" s="1"/>
      <c r="J276" s="16"/>
      <c r="K276" s="16"/>
      <c r="L276" s="16"/>
      <c r="M276" s="16"/>
      <c r="N276" s="16"/>
      <c r="O276" s="1"/>
      <c r="P276" s="49"/>
    </row>
    <row r="277" ht="15" customHeight="1">
      <c r="A277" s="1"/>
      <c r="B277" s="3" t="s">
        <v>227</v>
      </c>
      <c r="C277" s="1"/>
      <c r="D277" s="1"/>
      <c r="E277" s="1"/>
      <c r="F277" s="1"/>
      <c r="G277" s="1"/>
      <c r="H277" s="48"/>
      <c r="I277" s="1"/>
      <c r="J277" s="1"/>
      <c r="K277" s="1"/>
      <c r="L277" s="1"/>
      <c r="M277" s="1"/>
      <c r="N277" s="1"/>
      <c r="O277" s="1"/>
      <c r="P277" s="49"/>
    </row>
    <row r="278" ht="15" customHeight="1">
      <c r="A278" s="1"/>
      <c r="B278" s="63" t="s">
        <v>228</v>
      </c>
      <c r="C278" s="60">
        <v>16010</v>
      </c>
      <c r="D278" s="60">
        <v>19264</v>
      </c>
      <c r="E278" s="15">
        <f t="shared" si="18"/>
        <v>67877</v>
      </c>
      <c r="F278" s="60">
        <v>16913</v>
      </c>
      <c r="G278" s="60">
        <v>16583</v>
      </c>
      <c r="H278" s="54">
        <f>H270-H281</f>
        <v>16520.57866125</v>
      </c>
      <c r="I278" s="1"/>
      <c r="J278" s="60">
        <v>15611</v>
      </c>
      <c r="K278" s="60">
        <v>18315</v>
      </c>
      <c r="L278" s="60">
        <v>64807</v>
      </c>
      <c r="M278" s="60">
        <v>16247</v>
      </c>
      <c r="N278" s="60">
        <v>16356</v>
      </c>
      <c r="O278" s="1"/>
      <c r="P278" s="49"/>
    </row>
    <row r="279" ht="15" customHeight="1">
      <c r="A279" s="1"/>
      <c r="B279" s="50" t="s">
        <v>115</v>
      </c>
      <c r="C279" s="16">
        <f t="shared" si="6"/>
        <v>0.025558900775094484</v>
      </c>
      <c r="D279" s="16">
        <f t="shared" si="6"/>
        <v>0.051815451815451885</v>
      </c>
      <c r="E279" s="16">
        <f t="shared" si="6"/>
        <v>0.047371425926211685</v>
      </c>
      <c r="F279" s="16">
        <f t="shared" si="6"/>
        <v>0.04099218317227793</v>
      </c>
      <c r="G279" s="16">
        <f t="shared" si="6"/>
        <v>0.013878698948398105</v>
      </c>
      <c r="H279" s="51">
        <f t="shared" si="10"/>
        <v>0.0318912343066835</v>
      </c>
      <c r="I279" s="1"/>
      <c r="J279" s="16"/>
      <c r="K279" s="16"/>
      <c r="L279" s="16"/>
      <c r="M279" s="16"/>
      <c r="N279" s="16"/>
      <c r="O279" s="1"/>
      <c r="P279" s="49"/>
    </row>
    <row r="280" ht="15" customHeight="1">
      <c r="A280" s="1"/>
      <c r="B280" s="53" t="s">
        <v>118</v>
      </c>
      <c r="C280" s="15">
        <f t="shared" si="7"/>
        <v>-346</v>
      </c>
      <c r="D280" s="15">
        <f t="shared" si="4"/>
        <v>3254</v>
      </c>
      <c r="E280" s="21" t="s">
        <v>15</v>
      </c>
      <c r="F280" s="15">
        <f t="shared" si="8"/>
        <v>-2351</v>
      </c>
      <c r="G280" s="15">
        <f t="shared" si="4"/>
        <v>-330</v>
      </c>
      <c r="H280" s="54">
        <f t="shared" si="4"/>
        <v>-62.42133874999854</v>
      </c>
      <c r="I280" s="1"/>
      <c r="J280" s="15"/>
      <c r="K280" s="15"/>
      <c r="L280" s="15"/>
      <c r="M280" s="15"/>
      <c r="N280" s="15"/>
      <c r="O280" s="1"/>
      <c r="P280" s="49"/>
    </row>
    <row r="281" ht="15" customHeight="1">
      <c r="A281" s="1"/>
      <c r="B281" s="3" t="s">
        <v>229</v>
      </c>
      <c r="C281" s="61">
        <f t="shared" si="76" ref="C281:N281">C270-C278</f>
        <v>11493</v>
      </c>
      <c r="D281" s="61">
        <f t="shared" si="76"/>
        <v>10968</v>
      </c>
      <c r="E281" s="61">
        <f t="shared" si="76"/>
        <v>44547</v>
      </c>
      <c r="F281" s="61">
        <f t="shared" si="76"/>
        <v>11558</v>
      </c>
      <c r="G281" s="61">
        <f t="shared" si="76"/>
        <v>12032</v>
      </c>
      <c r="H281" s="62">
        <f>H270*H284</f>
        <v>12210.86248875</v>
      </c>
      <c r="I281" s="1"/>
      <c r="J281" s="61">
        <f t="shared" si="76"/>
        <v>10886</v>
      </c>
      <c r="K281" s="61">
        <f t="shared" si="76"/>
        <v>10390</v>
      </c>
      <c r="L281" s="61">
        <f t="shared" si="76"/>
        <v>42277</v>
      </c>
      <c r="M281" s="61">
        <f t="shared" si="76"/>
        <v>10945</v>
      </c>
      <c r="N281" s="61">
        <f t="shared" si="76"/>
        <v>11141</v>
      </c>
      <c r="O281" s="1"/>
      <c r="P281" s="49"/>
    </row>
    <row r="282" ht="15" customHeight="1">
      <c r="A282" s="1"/>
      <c r="B282" s="50" t="s">
        <v>115</v>
      </c>
      <c r="C282" s="16">
        <f t="shared" si="6"/>
        <v>0.05575969134668379</v>
      </c>
      <c r="D282" s="16">
        <f t="shared" si="6"/>
        <v>0.05563041385948031</v>
      </c>
      <c r="E282" s="16">
        <f t="shared" si="6"/>
        <v>0.053693497646474464</v>
      </c>
      <c r="F282" s="16">
        <f t="shared" si="6"/>
        <v>0.05600730927364084</v>
      </c>
      <c r="G282" s="16">
        <f t="shared" si="6"/>
        <v>0.07997486760613959</v>
      </c>
      <c r="H282" s="51">
        <f t="shared" si="10"/>
        <v>0.06246084475332814</v>
      </c>
      <c r="I282" s="1"/>
      <c r="J282" s="16"/>
      <c r="K282" s="16"/>
      <c r="L282" s="16"/>
      <c r="M282" s="16"/>
      <c r="N282" s="16"/>
      <c r="O282" s="1"/>
      <c r="P282" s="49"/>
    </row>
    <row r="283" ht="15" customHeight="1">
      <c r="A283" s="1"/>
      <c r="B283" s="53" t="s">
        <v>118</v>
      </c>
      <c r="C283" s="15">
        <f t="shared" si="7"/>
        <v>352</v>
      </c>
      <c r="D283" s="15">
        <f t="shared" si="4"/>
        <v>-525</v>
      </c>
      <c r="E283" s="21" t="s">
        <v>15</v>
      </c>
      <c r="F283" s="15">
        <f t="shared" si="8"/>
        <v>590</v>
      </c>
      <c r="G283" s="15">
        <f t="shared" si="4"/>
        <v>474</v>
      </c>
      <c r="H283" s="54">
        <f t="shared" si="4"/>
        <v>178.8624887499991</v>
      </c>
      <c r="I283" s="1"/>
      <c r="J283" s="15"/>
      <c r="K283" s="15"/>
      <c r="L283" s="15"/>
      <c r="M283" s="15"/>
      <c r="N283" s="15"/>
      <c r="O283" s="1"/>
      <c r="P283" s="49"/>
    </row>
    <row r="284" ht="15" customHeight="1">
      <c r="A284" s="1"/>
      <c r="B284" s="84" t="s">
        <v>230</v>
      </c>
      <c r="C284" s="16">
        <f t="shared" si="77" ref="C284:N284">C281/C270</f>
        <v>0.41788168563429445</v>
      </c>
      <c r="D284" s="16">
        <f t="shared" si="77"/>
        <v>0.36279439005027786</v>
      </c>
      <c r="E284" s="16">
        <f t="shared" si="77"/>
        <v>0.39624101615313456</v>
      </c>
      <c r="F284" s="16">
        <f t="shared" si="77"/>
        <v>0.4059569386393172</v>
      </c>
      <c r="G284" s="16">
        <f t="shared" si="77"/>
        <v>0.4204787698759392</v>
      </c>
      <c r="H284" s="58">
        <v>0.425</v>
      </c>
      <c r="I284" s="1"/>
      <c r="J284" s="16">
        <f t="shared" si="77"/>
        <v>0.41083896290146055</v>
      </c>
      <c r="K284" s="16">
        <f t="shared" si="77"/>
        <v>0.36195784706497125</v>
      </c>
      <c r="L284" s="16">
        <f t="shared" si="77"/>
        <v>0.39480221134810056</v>
      </c>
      <c r="M284" s="16">
        <f t="shared" si="77"/>
        <v>0.40250809061488674</v>
      </c>
      <c r="N284" s="16">
        <f t="shared" si="77"/>
        <v>0.40517147325162745</v>
      </c>
      <c r="O284" s="1"/>
      <c r="P284" s="49"/>
    </row>
    <row r="285" ht="15" customHeight="1">
      <c r="A285" s="1"/>
      <c r="B285" s="50" t="s">
        <v>149</v>
      </c>
      <c r="C285" s="77">
        <f t="shared" si="11"/>
        <v>70.42722732833906</v>
      </c>
      <c r="D285" s="77">
        <f t="shared" si="11"/>
        <v>8.365429853066097</v>
      </c>
      <c r="E285" s="77">
        <f t="shared" si="11"/>
        <v>14.388048050339997</v>
      </c>
      <c r="F285" s="77">
        <f t="shared" si="11"/>
        <v>34.48848024430462</v>
      </c>
      <c r="G285" s="77">
        <f t="shared" si="11"/>
        <v>153.07296624311738</v>
      </c>
      <c r="H285" s="78">
        <f t="shared" si="25"/>
        <v>71.18314365705535</v>
      </c>
      <c r="I285" s="1"/>
      <c r="J285" s="77"/>
      <c r="K285" s="77"/>
      <c r="L285" s="77"/>
      <c r="M285" s="77"/>
      <c r="N285" s="77"/>
      <c r="O285" s="1"/>
      <c r="P285" s="49"/>
    </row>
    <row r="286" ht="15" customHeight="1">
      <c r="A286" s="1"/>
      <c r="B286" s="50" t="s">
        <v>150</v>
      </c>
      <c r="C286" s="77">
        <f t="shared" si="26"/>
        <v>127.10212382667008</v>
      </c>
      <c r="D286" s="77">
        <f t="shared" si="12"/>
        <v>-550.8729558401659</v>
      </c>
      <c r="E286" s="79" t="s">
        <v>15</v>
      </c>
      <c r="F286" s="77">
        <f t="shared" si="27"/>
        <v>431.6254858903934</v>
      </c>
      <c r="G286" s="77">
        <f t="shared" si="12"/>
        <v>145.21831236621983</v>
      </c>
      <c r="H286" s="78">
        <f t="shared" si="12"/>
        <v>45.21230124060804</v>
      </c>
      <c r="I286" s="1"/>
      <c r="J286" s="77"/>
      <c r="K286" s="77"/>
      <c r="L286" s="77"/>
      <c r="M286" s="77"/>
      <c r="N286" s="77"/>
      <c r="O286" s="1"/>
      <c r="P286" s="49"/>
    </row>
    <row r="287" ht="15" customHeight="1">
      <c r="A287" s="1"/>
      <c r="B287" s="63" t="s">
        <v>231</v>
      </c>
      <c r="C287" s="60">
        <v>5076</v>
      </c>
      <c r="D287" s="60">
        <v>4875</v>
      </c>
      <c r="E287" s="15">
        <f t="shared" si="18"/>
        <v>19959</v>
      </c>
      <c r="F287" s="60">
        <v>4705</v>
      </c>
      <c r="G287" s="60">
        <v>4687</v>
      </c>
      <c r="H287" s="85">
        <v>4725</v>
      </c>
      <c r="I287" s="1"/>
      <c r="J287" s="60">
        <v>4813</v>
      </c>
      <c r="K287" s="60">
        <v>5114</v>
      </c>
      <c r="L287" s="60">
        <v>19433</v>
      </c>
      <c r="M287" s="60">
        <v>4973</v>
      </c>
      <c r="N287" s="60">
        <v>5035</v>
      </c>
      <c r="O287" s="1"/>
      <c r="P287" s="49"/>
    </row>
    <row r="288" ht="15" customHeight="1">
      <c r="A288" s="1"/>
      <c r="B288" s="50" t="s">
        <v>115</v>
      </c>
      <c r="C288" s="16">
        <f t="shared" si="6"/>
        <v>0.054643673384583424</v>
      </c>
      <c r="D288" s="16">
        <f t="shared" si="6"/>
        <v>-0.046734454438795425</v>
      </c>
      <c r="E288" s="16">
        <f t="shared" si="6"/>
        <v>0.027067359645962963</v>
      </c>
      <c r="F288" s="16">
        <f t="shared" si="6"/>
        <v>-0.053891011461894234</v>
      </c>
      <c r="G288" s="16">
        <f t="shared" si="6"/>
        <v>-0.06911618669314801</v>
      </c>
      <c r="H288" s="51">
        <f t="shared" si="10"/>
        <v>-0.06914893617021278</v>
      </c>
      <c r="I288" s="1"/>
      <c r="J288" s="16"/>
      <c r="K288" s="16"/>
      <c r="L288" s="16"/>
      <c r="M288" s="16"/>
      <c r="N288" s="16"/>
      <c r="O288" s="1"/>
      <c r="P288" s="49"/>
    </row>
    <row r="289" ht="15" customHeight="1">
      <c r="A289" s="1"/>
      <c r="B289" s="53" t="s">
        <v>118</v>
      </c>
      <c r="C289" s="15">
        <f t="shared" si="7"/>
        <v>41</v>
      </c>
      <c r="D289" s="15">
        <f t="shared" si="4"/>
        <v>-201</v>
      </c>
      <c r="E289" s="21" t="s">
        <v>15</v>
      </c>
      <c r="F289" s="15">
        <f t="shared" si="8"/>
        <v>-170</v>
      </c>
      <c r="G289" s="15">
        <f t="shared" si="4"/>
        <v>-18</v>
      </c>
      <c r="H289" s="54">
        <f t="shared" si="4"/>
        <v>38</v>
      </c>
      <c r="I289" s="1"/>
      <c r="J289" s="15"/>
      <c r="K289" s="15"/>
      <c r="L289" s="15"/>
      <c r="M289" s="15"/>
      <c r="N289" s="15"/>
      <c r="O289" s="1"/>
      <c r="P289" s="49"/>
    </row>
    <row r="290" ht="15" customHeight="1">
      <c r="A290" s="1"/>
      <c r="B290" s="3" t="s">
        <v>232</v>
      </c>
      <c r="C290" s="61">
        <f t="shared" si="78" ref="C290:N290">C281-C287</f>
        <v>6417</v>
      </c>
      <c r="D290" s="61">
        <f t="shared" si="78"/>
        <v>6093</v>
      </c>
      <c r="E290" s="61">
        <f t="shared" si="78"/>
        <v>24588</v>
      </c>
      <c r="F290" s="61">
        <f t="shared" si="78"/>
        <v>6853</v>
      </c>
      <c r="G290" s="61">
        <f t="shared" si="78"/>
        <v>7345</v>
      </c>
      <c r="H290" s="62">
        <f t="shared" si="78"/>
        <v>7485.862488749999</v>
      </c>
      <c r="I290" s="1"/>
      <c r="J290" s="61">
        <f t="shared" si="78"/>
        <v>6073</v>
      </c>
      <c r="K290" s="61">
        <f t="shared" si="78"/>
        <v>5276</v>
      </c>
      <c r="L290" s="61">
        <f t="shared" si="78"/>
        <v>22844</v>
      </c>
      <c r="M290" s="61">
        <f t="shared" si="78"/>
        <v>5972</v>
      </c>
      <c r="N290" s="61">
        <f t="shared" si="78"/>
        <v>6106</v>
      </c>
      <c r="O290" s="1"/>
      <c r="P290" s="49"/>
    </row>
    <row r="291" ht="15" customHeight="1">
      <c r="A291" s="1"/>
      <c r="B291" s="50" t="s">
        <v>115</v>
      </c>
      <c r="C291" s="16">
        <f t="shared" si="6"/>
        <v>0.056644162687304433</v>
      </c>
      <c r="D291" s="16">
        <f t="shared" si="6"/>
        <v>0.15485216072782415</v>
      </c>
      <c r="E291" s="16">
        <f t="shared" si="6"/>
        <v>0.0763438977412012</v>
      </c>
      <c r="F291" s="16">
        <f t="shared" si="6"/>
        <v>0.14752176825184193</v>
      </c>
      <c r="G291" s="16">
        <f t="shared" si="6"/>
        <v>0.20291516541107102</v>
      </c>
      <c r="H291" s="51">
        <f t="shared" si="10"/>
        <v>0.16656731942496483</v>
      </c>
      <c r="I291" s="1"/>
      <c r="J291" s="16"/>
      <c r="K291" s="16"/>
      <c r="L291" s="16"/>
      <c r="M291" s="16"/>
      <c r="N291" s="16"/>
      <c r="O291" s="1"/>
      <c r="P291" s="49"/>
    </row>
    <row r="292" ht="15" customHeight="1">
      <c r="A292" s="1"/>
      <c r="B292" s="53" t="s">
        <v>118</v>
      </c>
      <c r="C292" s="15">
        <f t="shared" si="7"/>
        <v>311</v>
      </c>
      <c r="D292" s="15">
        <f t="shared" si="4"/>
        <v>-324</v>
      </c>
      <c r="E292" s="21" t="s">
        <v>15</v>
      </c>
      <c r="F292" s="15">
        <f t="shared" si="8"/>
        <v>760</v>
      </c>
      <c r="G292" s="15">
        <f t="shared" si="4"/>
        <v>492</v>
      </c>
      <c r="H292" s="54">
        <f t="shared" si="4"/>
        <v>140.8624887499991</v>
      </c>
      <c r="I292" s="1"/>
      <c r="J292" s="15"/>
      <c r="K292" s="15"/>
      <c r="L292" s="15"/>
      <c r="M292" s="15"/>
      <c r="N292" s="15"/>
      <c r="O292" s="1"/>
      <c r="P292" s="49"/>
    </row>
    <row r="293" ht="15" customHeight="1">
      <c r="A293" s="1"/>
      <c r="B293" s="84" t="s">
        <v>233</v>
      </c>
      <c r="C293" s="16">
        <f t="shared" si="79" ref="C293:N293">C290/C270</f>
        <v>0.2333200014543868</v>
      </c>
      <c r="D293" s="16">
        <f t="shared" si="79"/>
        <v>0.20154141307224133</v>
      </c>
      <c r="E293" s="16">
        <f t="shared" si="79"/>
        <v>0.21870774923503877</v>
      </c>
      <c r="F293" s="16">
        <f t="shared" si="79"/>
        <v>0.24070106424080642</v>
      </c>
      <c r="G293" s="16">
        <f t="shared" si="79"/>
        <v>0.2566835575746986</v>
      </c>
      <c r="H293" s="51">
        <f t="shared" si="79"/>
        <v>0.26054601471844374</v>
      </c>
      <c r="I293" s="1"/>
      <c r="J293" s="16">
        <f t="shared" si="79"/>
        <v>0.22919575801034078</v>
      </c>
      <c r="K293" s="16">
        <f t="shared" si="79"/>
        <v>0.18380073157986412</v>
      </c>
      <c r="L293" s="16">
        <f t="shared" si="79"/>
        <v>0.21332785476821933</v>
      </c>
      <c r="M293" s="16">
        <f t="shared" si="79"/>
        <v>0.21962341865254487</v>
      </c>
      <c r="N293" s="16">
        <f t="shared" si="79"/>
        <v>0.2220605884278285</v>
      </c>
      <c r="O293" s="1"/>
      <c r="P293" s="49"/>
    </row>
    <row r="294" ht="15" customHeight="1">
      <c r="A294" s="1"/>
      <c r="B294" s="50" t="s">
        <v>149</v>
      </c>
      <c r="C294" s="77">
        <f t="shared" si="11"/>
        <v>41.242434440460215</v>
      </c>
      <c r="D294" s="77">
        <f t="shared" si="11"/>
        <v>177.40681492377203</v>
      </c>
      <c r="E294" s="77">
        <f t="shared" si="11"/>
        <v>53.7989446681944</v>
      </c>
      <c r="F294" s="77">
        <f t="shared" si="11"/>
        <v>210.77645588261558</v>
      </c>
      <c r="G294" s="77">
        <f t="shared" si="11"/>
        <v>346.22969146870076</v>
      </c>
      <c r="H294" s="78">
        <f t="shared" si="25"/>
        <v>272.26013264056934</v>
      </c>
      <c r="I294" s="1"/>
      <c r="J294" s="77"/>
      <c r="K294" s="77"/>
      <c r="L294" s="77"/>
      <c r="M294" s="77"/>
      <c r="N294" s="77"/>
      <c r="O294" s="1"/>
      <c r="P294" s="49"/>
    </row>
    <row r="295" ht="15" customHeight="1">
      <c r="A295" s="1"/>
      <c r="B295" s="50" t="s">
        <v>150</v>
      </c>
      <c r="C295" s="77">
        <f t="shared" si="26"/>
        <v>112.59413026558308</v>
      </c>
      <c r="D295" s="77">
        <f t="shared" si="12"/>
        <v>-317.7858838214548</v>
      </c>
      <c r="E295" s="79" t="s">
        <v>15</v>
      </c>
      <c r="F295" s="77">
        <f t="shared" si="27"/>
        <v>391.59651168565097</v>
      </c>
      <c r="G295" s="77">
        <f t="shared" si="12"/>
        <v>159.8249333389215</v>
      </c>
      <c r="H295" s="78">
        <f t="shared" si="12"/>
        <v>38.624571437451685</v>
      </c>
      <c r="I295" s="1"/>
      <c r="J295" s="77"/>
      <c r="K295" s="77"/>
      <c r="L295" s="77"/>
      <c r="M295" s="77"/>
      <c r="N295" s="77"/>
      <c r="O295" s="1"/>
      <c r="P295" s="49"/>
    </row>
    <row r="296" ht="15" customHeight="1">
      <c r="A296" s="1"/>
      <c r="B296" s="65" t="s">
        <v>234</v>
      </c>
      <c r="C296" s="60">
        <v>6417</v>
      </c>
      <c r="D296" s="60">
        <v>6093</v>
      </c>
      <c r="E296" s="60">
        <v>24588</v>
      </c>
      <c r="F296" s="60">
        <v>6853</v>
      </c>
      <c r="G296" s="60">
        <v>7345</v>
      </c>
      <c r="H296" s="64" t="s">
        <v>15</v>
      </c>
      <c r="I296" s="1"/>
      <c r="J296" s="60">
        <v>6073</v>
      </c>
      <c r="K296" s="60">
        <v>5276</v>
      </c>
      <c r="L296" s="60">
        <v>22844</v>
      </c>
      <c r="M296" s="60">
        <v>5972</v>
      </c>
      <c r="N296" s="60">
        <v>6106</v>
      </c>
      <c r="O296" s="1"/>
      <c r="P296" s="49"/>
    </row>
    <row r="297" ht="23.25" customHeight="1">
      <c r="A297" s="1"/>
      <c r="B297" s="65" t="s">
        <v>235</v>
      </c>
      <c r="C297" s="15">
        <f t="shared" si="80" ref="C297:G297">C290-C296</f>
        <v>0</v>
      </c>
      <c r="D297" s="15">
        <f t="shared" si="80"/>
        <v>0</v>
      </c>
      <c r="E297" s="15">
        <f t="shared" si="80"/>
        <v>0</v>
      </c>
      <c r="F297" s="15">
        <f t="shared" si="80"/>
        <v>0</v>
      </c>
      <c r="G297" s="15">
        <f t="shared" si="80"/>
        <v>0</v>
      </c>
      <c r="H297" s="64" t="s">
        <v>15</v>
      </c>
      <c r="I297" s="1"/>
      <c r="J297" s="15"/>
      <c r="K297" s="15"/>
      <c r="L297" s="15"/>
      <c r="M297" s="15"/>
      <c r="N297" s="15"/>
      <c r="O297" s="1"/>
      <c r="P297"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884B5-CE88-A818-AC68-6157A229E628}"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236</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237</v>
      </c>
      <c r="C8" s="1"/>
      <c r="D8" s="1"/>
      <c r="E8" s="1"/>
      <c r="F8" s="1"/>
      <c r="G8" s="1"/>
      <c r="H8" s="48"/>
      <c r="I8" s="1"/>
      <c r="J8" s="1"/>
      <c r="K8" s="1"/>
      <c r="L8" s="1"/>
      <c r="M8" s="1"/>
      <c r="N8" s="1"/>
      <c r="O8" s="1"/>
      <c r="P8" s="49"/>
    </row>
    <row r="9" ht="15" customHeight="1">
      <c r="A9" s="1"/>
      <c r="B9" s="3" t="s">
        <v>238</v>
      </c>
      <c r="C9" s="86">
        <v>2013</v>
      </c>
      <c r="D9" s="86">
        <v>1889</v>
      </c>
      <c r="E9" s="87">
        <f t="shared" si="6" ref="E9:E17">M9+N9+C9+D9</f>
        <v>8472</v>
      </c>
      <c r="F9" s="86">
        <v>1768</v>
      </c>
      <c r="G9" s="86">
        <v>1632</v>
      </c>
      <c r="H9" s="88">
        <f>C9*(1+H10)</f>
        <v>1499.685</v>
      </c>
      <c r="I9" s="1"/>
      <c r="J9" s="86">
        <v>2577</v>
      </c>
      <c r="K9" s="86">
        <v>2434</v>
      </c>
      <c r="L9" s="86">
        <v>10568</v>
      </c>
      <c r="M9" s="86">
        <v>2368</v>
      </c>
      <c r="N9" s="86">
        <v>2202</v>
      </c>
      <c r="O9" s="1"/>
      <c r="P9" s="49" t="s">
        <v>239</v>
      </c>
    </row>
    <row r="10" ht="15" customHeight="1">
      <c r="A10" s="1"/>
      <c r="B10" s="50" t="s">
        <v>115</v>
      </c>
      <c r="C10" s="16">
        <f t="shared" si="2" ref="C10:G21">IF(AND(ISNUMBER(C9),ISNUMBER(J9)),IF(J9&lt;&gt;0,C9/J9-1,"n/a"),"n/a")</f>
        <v>-0.21885913853317807</v>
      </c>
      <c r="D10" s="16">
        <f t="shared" si="2"/>
        <v>-0.22391125718981097</v>
      </c>
      <c r="E10" s="16">
        <f t="shared" si="2"/>
        <v>-0.19833459500378503</v>
      </c>
      <c r="F10" s="16">
        <f t="shared" si="2"/>
        <v>-0.2533783783783784</v>
      </c>
      <c r="G10" s="16">
        <f t="shared" si="2"/>
        <v>-0.2588555858310627</v>
      </c>
      <c r="H10" s="58">
        <v>-0.255</v>
      </c>
      <c r="I10" s="1"/>
      <c r="J10" s="16"/>
      <c r="K10" s="16"/>
      <c r="L10" s="16"/>
      <c r="M10" s="16"/>
      <c r="N10" s="16"/>
      <c r="O10" s="1"/>
      <c r="P10" s="49"/>
    </row>
    <row r="11" ht="15" customHeight="1">
      <c r="A11" s="1"/>
      <c r="B11" s="50" t="s">
        <v>116</v>
      </c>
      <c r="C11" s="16">
        <f>IF(AND(ISNUMBER(C9),ISNUMBER(N9)),IF(N9&lt;&gt;0,C9/N9-1,"n/a"),"n/a")</f>
        <v>-0.08583106267029972</v>
      </c>
      <c r="D11" s="16">
        <f t="shared" si="3" ref="D11:H11">IF(AND(ISNUMBER(D9),ISNUMBER(C9)),IF(C9&lt;&gt;0,D9/C9-1,"n/a"),"n/a")</f>
        <v>-0.06159960258320918</v>
      </c>
      <c r="E11" s="52" t="s">
        <v>15</v>
      </c>
      <c r="F11" s="16">
        <f>IF(AND(ISNUMBER(F9),ISNUMBER(D9)),IF(D9&lt;&gt;0,F9/D9-1,"n/a"),"n/a")</f>
        <v>-0.0640550555849656</v>
      </c>
      <c r="G11" s="16">
        <f t="shared" si="3"/>
        <v>-0.07692307692307687</v>
      </c>
      <c r="H11" s="51">
        <f t="shared" si="3"/>
        <v>-0.0810753676470588</v>
      </c>
      <c r="I11" s="1"/>
      <c r="J11" s="16"/>
      <c r="K11" s="16"/>
      <c r="L11" s="16"/>
      <c r="M11" s="16"/>
      <c r="N11" s="16"/>
      <c r="O11" s="1"/>
      <c r="P11" s="49"/>
    </row>
    <row r="12" ht="15" customHeight="1">
      <c r="A12" s="1"/>
      <c r="B12" s="53" t="s">
        <v>118</v>
      </c>
      <c r="C12" s="15">
        <f>IF(AND(ISNUMBER(C9),ISNUMBER(N9)),C9-N9,"n/a")</f>
        <v>-189</v>
      </c>
      <c r="D12" s="15">
        <f t="shared" si="4" ref="D12:H12">IF(AND(ISNUMBER(D9),ISNUMBER(C9)),D9-C9,"n/a")</f>
        <v>-124</v>
      </c>
      <c r="E12" s="21" t="s">
        <v>15</v>
      </c>
      <c r="F12" s="15">
        <f>IF(AND(ISNUMBER(F9),ISNUMBER(D9)),F9-D9,"n/a")</f>
        <v>-121</v>
      </c>
      <c r="G12" s="15">
        <f t="shared" si="4"/>
        <v>-136</v>
      </c>
      <c r="H12" s="54">
        <f t="shared" si="4"/>
        <v>-132.31500000000005</v>
      </c>
      <c r="I12" s="1"/>
      <c r="J12" s="15"/>
      <c r="K12" s="15"/>
      <c r="L12" s="15"/>
      <c r="M12" s="15"/>
      <c r="N12" s="15"/>
      <c r="O12" s="1"/>
      <c r="P12" s="49"/>
    </row>
    <row r="13" ht="15" customHeight="1">
      <c r="A13" s="1"/>
      <c r="B13" s="50" t="s">
        <v>119</v>
      </c>
      <c r="C13" s="57">
        <v>0</v>
      </c>
      <c r="D13" s="57">
        <v>0</v>
      </c>
      <c r="E13" s="57">
        <v>0</v>
      </c>
      <c r="F13" s="57">
        <v>0</v>
      </c>
      <c r="G13" s="57">
        <v>0</v>
      </c>
      <c r="H13" s="58">
        <v>0</v>
      </c>
      <c r="I13" s="1"/>
      <c r="J13" s="16"/>
      <c r="K13" s="16"/>
      <c r="L13" s="16"/>
      <c r="M13" s="16"/>
      <c r="N13" s="16"/>
      <c r="O13" s="1"/>
      <c r="P13" s="49"/>
    </row>
    <row r="14" ht="15" customHeight="1">
      <c r="A14" s="1"/>
      <c r="B14" s="50" t="s">
        <v>120</v>
      </c>
      <c r="C14" s="57">
        <v>0</v>
      </c>
      <c r="D14" s="57">
        <v>0</v>
      </c>
      <c r="E14" s="57">
        <v>0</v>
      </c>
      <c r="F14" s="57">
        <v>0</v>
      </c>
      <c r="G14" s="57">
        <v>0</v>
      </c>
      <c r="H14" s="58">
        <v>0</v>
      </c>
      <c r="I14" s="1"/>
      <c r="J14" s="16"/>
      <c r="K14" s="16"/>
      <c r="L14" s="16"/>
      <c r="M14" s="16"/>
      <c r="N14" s="16"/>
      <c r="O14" s="1"/>
      <c r="P14" s="49"/>
    </row>
    <row r="15" ht="15" customHeight="1">
      <c r="A15" s="1"/>
      <c r="B15" s="50" t="s">
        <v>121</v>
      </c>
      <c r="C15" s="16">
        <f t="shared" si="5" ref="C15:H15">IF(AND(ISNUMBER(C10),ISNUMBER(C13),ISNUMBER(C14)),(1+C10)/((1+C13)*(1+C14))-1,"unavailable")</f>
        <v>-0.21885913853317807</v>
      </c>
      <c r="D15" s="16">
        <f t="shared" si="5"/>
        <v>-0.22391125718981097</v>
      </c>
      <c r="E15" s="16">
        <f t="shared" si="5"/>
        <v>-0.19833459500378503</v>
      </c>
      <c r="F15" s="16">
        <f t="shared" si="5"/>
        <v>-0.2533783783783784</v>
      </c>
      <c r="G15" s="16">
        <f t="shared" si="5"/>
        <v>-0.2588555858310627</v>
      </c>
      <c r="H15" s="51">
        <f t="shared" si="5"/>
        <v>-0.255</v>
      </c>
      <c r="I15" s="1"/>
      <c r="J15" s="16"/>
      <c r="K15" s="16"/>
      <c r="L15" s="16"/>
      <c r="M15" s="16"/>
      <c r="N15" s="16"/>
      <c r="O15" s="1"/>
      <c r="P15" s="49"/>
    </row>
    <row r="16" ht="15" customHeight="1">
      <c r="A16" s="1"/>
      <c r="B16" s="3" t="s">
        <v>240</v>
      </c>
      <c r="C16" s="1"/>
      <c r="D16" s="1"/>
      <c r="E16" s="1"/>
      <c r="F16" s="1"/>
      <c r="G16" s="1"/>
      <c r="H16" s="48"/>
      <c r="I16" s="1"/>
      <c r="J16" s="1"/>
      <c r="K16" s="1"/>
      <c r="L16" s="1"/>
      <c r="M16" s="1"/>
      <c r="N16" s="1"/>
      <c r="O16" s="1"/>
      <c r="P16" s="49"/>
    </row>
    <row r="17" ht="15" customHeight="1">
      <c r="A17" s="1"/>
      <c r="B17" s="65" t="s">
        <v>241</v>
      </c>
      <c r="C17" s="60">
        <v>1334</v>
      </c>
      <c r="D17" s="60">
        <v>1207</v>
      </c>
      <c r="E17" s="15">
        <f t="shared" si="6"/>
        <v>5133</v>
      </c>
      <c r="F17" s="60">
        <v>1156</v>
      </c>
      <c r="G17" s="60">
        <v>1109</v>
      </c>
      <c r="H17" s="54">
        <f>H9-H20</f>
        <v>1027.2842249999999</v>
      </c>
      <c r="I17" s="1"/>
      <c r="J17" s="60">
        <v>1494</v>
      </c>
      <c r="K17" s="60">
        <v>1521</v>
      </c>
      <c r="L17" s="60">
        <v>6317</v>
      </c>
      <c r="M17" s="60">
        <v>1349</v>
      </c>
      <c r="N17" s="60">
        <v>1243</v>
      </c>
      <c r="O17" s="1"/>
      <c r="P17" s="49"/>
    </row>
    <row r="18" ht="15" customHeight="1">
      <c r="A18" s="1"/>
      <c r="B18" s="50" t="s">
        <v>115</v>
      </c>
      <c r="C18" s="16">
        <f t="shared" si="2"/>
        <v>-0.107095046854083</v>
      </c>
      <c r="D18" s="16">
        <f t="shared" si="2"/>
        <v>-0.20644312952005262</v>
      </c>
      <c r="E18" s="16">
        <f t="shared" si="2"/>
        <v>-0.18743074244103208</v>
      </c>
      <c r="F18" s="16">
        <f t="shared" si="2"/>
        <v>-0.1430689399555226</v>
      </c>
      <c r="G18" s="16">
        <f t="shared" si="2"/>
        <v>-0.10780370072405465</v>
      </c>
      <c r="H18" s="51">
        <f t="shared" si="9" ref="H18:H21">IF(AND(ISNUMBER(H17),ISNUMBER(C17)),IF(C17&lt;&gt;0,H17/C17-1,"n/a"),"n/a")</f>
        <v>-0.22992187031484268</v>
      </c>
      <c r="I18" s="1"/>
      <c r="J18" s="16"/>
      <c r="K18" s="16"/>
      <c r="L18" s="16"/>
      <c r="M18" s="16"/>
      <c r="N18" s="16"/>
      <c r="O18" s="1"/>
      <c r="P18" s="49"/>
    </row>
    <row r="19" ht="15" customHeight="1">
      <c r="A19" s="1"/>
      <c r="B19" s="53" t="s">
        <v>118</v>
      </c>
      <c r="C19" s="15">
        <f t="shared" si="10" ref="C19:C22">IF(AND(ISNUMBER(C17),ISNUMBER(N17)),C17-N17,"n/a")</f>
        <v>91</v>
      </c>
      <c r="D19" s="15">
        <f t="shared" si="7" ref="D19:H22">IF(AND(ISNUMBER(D17),ISNUMBER(C17)),D17-C17,"n/a")</f>
        <v>-127</v>
      </c>
      <c r="E19" s="21" t="s">
        <v>15</v>
      </c>
      <c r="F19" s="15">
        <f t="shared" si="11" ref="F19:F22">IF(AND(ISNUMBER(F17),ISNUMBER(D17)),F17-D17,"n/a")</f>
        <v>-51</v>
      </c>
      <c r="G19" s="15">
        <f t="shared" si="7"/>
        <v>-47</v>
      </c>
      <c r="H19" s="54">
        <f t="shared" si="7"/>
        <v>-81.71577500000012</v>
      </c>
      <c r="I19" s="1"/>
      <c r="J19" s="15"/>
      <c r="K19" s="15"/>
      <c r="L19" s="15"/>
      <c r="M19" s="15"/>
      <c r="N19" s="15"/>
      <c r="O19" s="1"/>
      <c r="P19" s="49"/>
    </row>
    <row r="20" ht="15" customHeight="1">
      <c r="A20" s="1"/>
      <c r="B20" s="72" t="s">
        <v>242</v>
      </c>
      <c r="C20" s="61">
        <f t="shared" si="8" ref="C20:N20">C9-C17</f>
        <v>679</v>
      </c>
      <c r="D20" s="61">
        <f t="shared" si="8"/>
        <v>682</v>
      </c>
      <c r="E20" s="61">
        <f t="shared" si="8"/>
        <v>3339</v>
      </c>
      <c r="F20" s="61">
        <f t="shared" si="8"/>
        <v>612</v>
      </c>
      <c r="G20" s="61">
        <f t="shared" si="8"/>
        <v>523</v>
      </c>
      <c r="H20" s="62">
        <f>H9*H23</f>
        <v>472.400775</v>
      </c>
      <c r="I20" s="1"/>
      <c r="J20" s="61">
        <f t="shared" si="8"/>
        <v>1083</v>
      </c>
      <c r="K20" s="61">
        <f t="shared" si="8"/>
        <v>913</v>
      </c>
      <c r="L20" s="61">
        <f t="shared" si="8"/>
        <v>4251</v>
      </c>
      <c r="M20" s="61">
        <f t="shared" si="8"/>
        <v>1019</v>
      </c>
      <c r="N20" s="61">
        <f t="shared" si="8"/>
        <v>959</v>
      </c>
      <c r="O20" s="1"/>
      <c r="P20" s="49"/>
    </row>
    <row r="21" ht="15" customHeight="1">
      <c r="A21" s="1"/>
      <c r="B21" s="50" t="s">
        <v>115</v>
      </c>
      <c r="C21" s="16">
        <f t="shared" si="2"/>
        <v>-0.37303785780240073</v>
      </c>
      <c r="D21" s="16">
        <f t="shared" si="2"/>
        <v>-0.2530120481927711</v>
      </c>
      <c r="E21" s="16">
        <f t="shared" si="2"/>
        <v>-0.2145377558221595</v>
      </c>
      <c r="F21" s="16">
        <f t="shared" si="2"/>
        <v>-0.3994111874386653</v>
      </c>
      <c r="G21" s="16">
        <f t="shared" si="2"/>
        <v>-0.4546402502606882</v>
      </c>
      <c r="H21" s="51">
        <f t="shared" si="9"/>
        <v>-0.3042698453608247</v>
      </c>
      <c r="I21" s="1"/>
      <c r="J21" s="16"/>
      <c r="K21" s="16"/>
      <c r="L21" s="16"/>
      <c r="M21" s="16"/>
      <c r="N21" s="16"/>
      <c r="O21" s="1"/>
      <c r="P21" s="49"/>
    </row>
    <row r="22" ht="15" customHeight="1">
      <c r="A22" s="1"/>
      <c r="B22" s="53" t="s">
        <v>118</v>
      </c>
      <c r="C22" s="15">
        <f t="shared" si="10"/>
        <v>-280</v>
      </c>
      <c r="D22" s="15">
        <f t="shared" si="7"/>
        <v>3</v>
      </c>
      <c r="E22" s="21" t="s">
        <v>15</v>
      </c>
      <c r="F22" s="15">
        <f t="shared" si="11"/>
        <v>-70</v>
      </c>
      <c r="G22" s="15">
        <f t="shared" si="7"/>
        <v>-89</v>
      </c>
      <c r="H22" s="54">
        <f t="shared" si="7"/>
        <v>-50.59922499999999</v>
      </c>
      <c r="I22" s="1"/>
      <c r="J22" s="15"/>
      <c r="K22" s="15"/>
      <c r="L22" s="15"/>
      <c r="M22" s="15"/>
      <c r="N22" s="15"/>
      <c r="O22" s="1"/>
      <c r="P22" s="49"/>
    </row>
    <row r="23" ht="15" customHeight="1">
      <c r="A23" s="1"/>
      <c r="B23" s="84" t="s">
        <v>230</v>
      </c>
      <c r="C23" s="16">
        <f t="shared" si="12" ref="C23:N23">C20/C9</f>
        <v>0.3373075012419275</v>
      </c>
      <c r="D23" s="16">
        <f t="shared" si="12"/>
        <v>0.3610375860243515</v>
      </c>
      <c r="E23" s="16">
        <f t="shared" si="12"/>
        <v>0.39412181303116145</v>
      </c>
      <c r="F23" s="16">
        <f t="shared" si="12"/>
        <v>0.34615384615384615</v>
      </c>
      <c r="G23" s="16">
        <f t="shared" si="12"/>
        <v>0.32046568627450983</v>
      </c>
      <c r="H23" s="58">
        <v>0.315</v>
      </c>
      <c r="I23" s="1"/>
      <c r="J23" s="16">
        <f t="shared" si="12"/>
        <v>0.420256111757858</v>
      </c>
      <c r="K23" s="16">
        <f t="shared" si="12"/>
        <v>0.3751027115858669</v>
      </c>
      <c r="L23" s="16">
        <f t="shared" si="12"/>
        <v>0.40225208175624527</v>
      </c>
      <c r="M23" s="16">
        <f t="shared" si="12"/>
        <v>0.43032094594594594</v>
      </c>
      <c r="N23" s="16">
        <f t="shared" si="12"/>
        <v>0.4355131698455949</v>
      </c>
      <c r="O23" s="1"/>
      <c r="P23" s="49" t="s">
        <v>243</v>
      </c>
    </row>
    <row r="24" ht="15" customHeight="1">
      <c r="A24" s="1"/>
      <c r="B24" s="50" t="s">
        <v>149</v>
      </c>
      <c r="C24" s="77">
        <f t="shared" si="13" ref="C24:G24">IF(AND(ISNUMBER(C23),ISNUMBER(J23)),(C23-J23)*10000,"n/a")</f>
        <v>-829.486105159305</v>
      </c>
      <c r="D24" s="77">
        <f t="shared" si="13"/>
        <v>-140.651255615154</v>
      </c>
      <c r="E24" s="77">
        <f t="shared" si="13"/>
        <v>-81.30268725083822</v>
      </c>
      <c r="F24" s="77">
        <f t="shared" si="13"/>
        <v>-841.6709979209979</v>
      </c>
      <c r="G24" s="77">
        <f t="shared" si="13"/>
        <v>-1150.4748357108508</v>
      </c>
      <c r="H24" s="78">
        <f>IF(AND(ISNUMBER(H23),ISNUMBER(C23)),(H23-C23)*10000,"n/a")</f>
        <v>-223.07501241927486</v>
      </c>
      <c r="I24" s="1"/>
      <c r="J24" s="77"/>
      <c r="K24" s="77"/>
      <c r="L24" s="77"/>
      <c r="M24" s="77"/>
      <c r="N24" s="77"/>
      <c r="O24" s="1"/>
      <c r="P24" s="49"/>
    </row>
    <row r="25" ht="15" customHeight="1">
      <c r="A25" s="1"/>
      <c r="B25" s="50" t="s">
        <v>150</v>
      </c>
      <c r="C25" s="77">
        <f>IF(AND(ISNUMBER(C23),ISNUMBER(N23)),(C23-N23)*10000,"n/a")</f>
        <v>-982.0566860366741</v>
      </c>
      <c r="D25" s="77">
        <f t="shared" si="14" ref="D25:H25">IF(AND(ISNUMBER(D23),ISNUMBER(C23)),(D23-C23)*10000,"n/a")</f>
        <v>237.30084782423998</v>
      </c>
      <c r="E25" s="79" t="s">
        <v>15</v>
      </c>
      <c r="F25" s="77">
        <f>IF(AND(ISNUMBER(F23),ISNUMBER(D23)),(F23-D23)*10000,"n/a")</f>
        <v>-148.8373987050534</v>
      </c>
      <c r="G25" s="77">
        <f t="shared" si="14"/>
        <v>-256.88159879336314</v>
      </c>
      <c r="H25" s="78">
        <f t="shared" si="14"/>
        <v>-54.65686274509829</v>
      </c>
      <c r="I25" s="1"/>
      <c r="J25" s="77"/>
      <c r="K25" s="77"/>
      <c r="L25" s="77"/>
      <c r="M25" s="77"/>
      <c r="N25" s="77"/>
      <c r="O25" s="1"/>
      <c r="P25"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83F88-E54A-D66C-6177-628098ADA758}"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244</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245</v>
      </c>
      <c r="C8" s="1"/>
      <c r="D8" s="1"/>
      <c r="E8" s="1"/>
      <c r="F8" s="1"/>
      <c r="G8" s="1"/>
      <c r="H8" s="48"/>
      <c r="I8" s="1"/>
      <c r="J8" s="1"/>
      <c r="K8" s="1"/>
      <c r="L8" s="1"/>
      <c r="M8" s="1"/>
      <c r="N8" s="1"/>
      <c r="O8" s="1"/>
      <c r="P8" s="49"/>
    </row>
    <row r="9" ht="15" customHeight="1">
      <c r="A9" s="1"/>
      <c r="B9" s="3" t="s">
        <v>246</v>
      </c>
      <c r="C9" s="1"/>
      <c r="D9" s="1"/>
      <c r="E9" s="1"/>
      <c r="F9" s="1"/>
      <c r="G9" s="1"/>
      <c r="H9" s="48"/>
      <c r="I9" s="1"/>
      <c r="J9" s="1"/>
      <c r="K9" s="1"/>
      <c r="L9" s="1"/>
      <c r="M9" s="1"/>
      <c r="N9" s="1"/>
      <c r="O9" s="1"/>
      <c r="P9" s="49"/>
    </row>
    <row r="10" ht="15" customHeight="1">
      <c r="A10" s="1"/>
      <c r="B10" s="63" t="s">
        <v>247</v>
      </c>
      <c r="C10" s="67">
        <f t="shared" si="9" ref="C10:C28">N15</f>
        <v>6180</v>
      </c>
      <c r="D10" s="67">
        <f t="shared" si="2" ref="D10:H28">C15</f>
        <v>6423</v>
      </c>
      <c r="E10" s="67">
        <f t="shared" si="10" ref="E10:E28">K15</f>
        <v>5837</v>
      </c>
      <c r="F10" s="67">
        <f t="shared" si="11" ref="F10:F28">D15</f>
        <v>6751</v>
      </c>
      <c r="G10" s="67">
        <f t="shared" si="2"/>
        <v>7088</v>
      </c>
      <c r="H10" s="68">
        <f t="shared" si="2"/>
        <v>7457</v>
      </c>
      <c r="I10" s="1"/>
      <c r="J10" s="67"/>
      <c r="K10" s="67"/>
      <c r="L10" s="67"/>
      <c r="M10" s="67"/>
      <c r="N10" s="67"/>
      <c r="O10" s="1"/>
      <c r="P10" s="49"/>
    </row>
    <row r="11" ht="15" customHeight="1">
      <c r="A11" s="1"/>
      <c r="B11" s="63" t="s">
        <v>248</v>
      </c>
      <c r="C11" s="69">
        <v>243</v>
      </c>
      <c r="D11" s="69">
        <v>328</v>
      </c>
      <c r="E11" s="67">
        <f t="shared" si="12" ref="E11:E91">M11+N11+C11+D11</f>
        <v>914</v>
      </c>
      <c r="F11" s="69">
        <v>337</v>
      </c>
      <c r="G11" s="69">
        <v>369</v>
      </c>
      <c r="H11" s="70">
        <v>350</v>
      </c>
      <c r="I11" s="1"/>
      <c r="J11" s="69">
        <v>139</v>
      </c>
      <c r="K11" s="69">
        <v>204</v>
      </c>
      <c r="L11" s="69">
        <v>601</v>
      </c>
      <c r="M11" s="69">
        <v>160</v>
      </c>
      <c r="N11" s="69">
        <v>183</v>
      </c>
      <c r="O11" s="1"/>
      <c r="P11" s="49"/>
    </row>
    <row r="12" ht="15" customHeight="1">
      <c r="A12" s="1"/>
      <c r="B12" s="53" t="s">
        <v>144</v>
      </c>
      <c r="C12" s="67">
        <f t="shared" si="3" ref="C12:G41">IF(AND(ISNUMBER(C11),ISNUMBER(J11)),C11-J11,"n/a")</f>
        <v>104</v>
      </c>
      <c r="D12" s="67">
        <f t="shared" si="3"/>
        <v>124</v>
      </c>
      <c r="E12" s="67">
        <f t="shared" si="3"/>
        <v>313</v>
      </c>
      <c r="F12" s="67">
        <f t="shared" si="3"/>
        <v>177</v>
      </c>
      <c r="G12" s="67">
        <f t="shared" si="3"/>
        <v>186</v>
      </c>
      <c r="H12" s="68">
        <f t="shared" si="13" ref="H12:H41">IF(AND(ISNUMBER(H11),ISNUMBER(C11)),H11-C11,"n/a")</f>
        <v>107</v>
      </c>
      <c r="I12" s="1"/>
      <c r="J12" s="67"/>
      <c r="K12" s="67"/>
      <c r="L12" s="67"/>
      <c r="M12" s="67"/>
      <c r="N12" s="67"/>
      <c r="O12" s="1"/>
      <c r="P12" s="49"/>
    </row>
    <row r="13" ht="15" customHeight="1">
      <c r="A13" s="1"/>
      <c r="B13" s="53" t="s">
        <v>118</v>
      </c>
      <c r="C13" s="67">
        <f t="shared" si="7" ref="C13:C96">IF(AND(ISNUMBER(C11),ISNUMBER(N11)),C11-N11,"n/a")</f>
        <v>60</v>
      </c>
      <c r="D13" s="67">
        <f t="shared" si="4" ref="D13:H96">IF(AND(ISNUMBER(D11),ISNUMBER(C11)),D11-C11,"n/a")</f>
        <v>85</v>
      </c>
      <c r="E13" s="71" t="s">
        <v>15</v>
      </c>
      <c r="F13" s="67">
        <f t="shared" si="8" ref="F13:F96">IF(AND(ISNUMBER(F11),ISNUMBER(D11)),F11-D11,"n/a")</f>
        <v>9</v>
      </c>
      <c r="G13" s="67">
        <f t="shared" si="4"/>
        <v>32</v>
      </c>
      <c r="H13" s="68">
        <f t="shared" si="4"/>
        <v>-19</v>
      </c>
      <c r="I13" s="1"/>
      <c r="J13" s="67"/>
      <c r="K13" s="67"/>
      <c r="L13" s="67"/>
      <c r="M13" s="67"/>
      <c r="N13" s="67"/>
      <c r="O13" s="1"/>
      <c r="P13" s="49"/>
    </row>
    <row r="14" ht="15" customHeight="1">
      <c r="A14" s="1"/>
      <c r="B14" s="63" t="s">
        <v>178</v>
      </c>
      <c r="C14" s="67">
        <f t="shared" si="5" ref="C14:G32">C15-C10-C11</f>
        <v>0</v>
      </c>
      <c r="D14" s="67">
        <f t="shared" si="5"/>
        <v>0</v>
      </c>
      <c r="E14" s="67">
        <f t="shared" si="5"/>
        <v>0</v>
      </c>
      <c r="F14" s="67">
        <f t="shared" si="5"/>
        <v>0</v>
      </c>
      <c r="G14" s="67">
        <f t="shared" si="5"/>
        <v>0</v>
      </c>
      <c r="H14" s="70">
        <v>0</v>
      </c>
      <c r="I14" s="1"/>
      <c r="J14" s="67"/>
      <c r="K14" s="67"/>
      <c r="L14" s="67"/>
      <c r="M14" s="67"/>
      <c r="N14" s="67"/>
      <c r="O14" s="1"/>
      <c r="P14" s="49"/>
    </row>
    <row r="15" ht="15" customHeight="1">
      <c r="A15" s="1"/>
      <c r="B15" s="3" t="s">
        <v>249</v>
      </c>
      <c r="C15" s="73">
        <v>6423</v>
      </c>
      <c r="D15" s="73">
        <v>6751</v>
      </c>
      <c r="E15" s="74">
        <f t="shared" si="14" ref="E15:E33">D15</f>
        <v>6751</v>
      </c>
      <c r="F15" s="73">
        <v>7088</v>
      </c>
      <c r="G15" s="73">
        <v>7457</v>
      </c>
      <c r="H15" s="75">
        <f t="shared" si="15" ref="H15:H33">H10+H11+H14</f>
        <v>7807</v>
      </c>
      <c r="I15" s="1"/>
      <c r="J15" s="73">
        <v>5633</v>
      </c>
      <c r="K15" s="73">
        <v>5837</v>
      </c>
      <c r="L15" s="74">
        <f t="shared" si="16" ref="L15:L33">IF(ISNUMBER(K15),K15,"n/a")</f>
        <v>5837</v>
      </c>
      <c r="M15" s="73">
        <v>5997</v>
      </c>
      <c r="N15" s="73">
        <v>6180</v>
      </c>
      <c r="O15" s="1"/>
      <c r="P15" s="49"/>
    </row>
    <row r="16" ht="15" customHeight="1">
      <c r="A16" s="1"/>
      <c r="B16" s="50" t="s">
        <v>115</v>
      </c>
      <c r="C16" s="16">
        <f t="shared" si="6" ref="C16:G95">IF(AND(ISNUMBER(C15),ISNUMBER(J15)),IF(J15&lt;&gt;0,C15/J15-1,"n/a"),"n/a")</f>
        <v>0.14024498491034976</v>
      </c>
      <c r="D16" s="16">
        <f t="shared" si="6"/>
        <v>0.156587287990406</v>
      </c>
      <c r="E16" s="16">
        <f t="shared" si="6"/>
        <v>0.156587287990406</v>
      </c>
      <c r="F16" s="16">
        <f t="shared" si="6"/>
        <v>0.1819242954810738</v>
      </c>
      <c r="G16" s="16">
        <f t="shared" si="6"/>
        <v>0.2066343042071197</v>
      </c>
      <c r="H16" s="51">
        <f t="shared" si="17" ref="H16:H95">IF(AND(ISNUMBER(H15),ISNUMBER(C15)),IF(C15&lt;&gt;0,H15/C15-1,"n/a"),"n/a")</f>
        <v>0.21547563443873585</v>
      </c>
      <c r="I16" s="1"/>
      <c r="J16" s="16"/>
      <c r="K16" s="16"/>
      <c r="L16" s="16"/>
      <c r="M16" s="16"/>
      <c r="N16" s="16"/>
      <c r="O16" s="1"/>
      <c r="P16" s="49"/>
    </row>
    <row r="17" ht="15" customHeight="1">
      <c r="A17" s="1"/>
      <c r="B17" s="53" t="s">
        <v>118</v>
      </c>
      <c r="C17" s="67">
        <f t="shared" si="7"/>
        <v>243</v>
      </c>
      <c r="D17" s="67">
        <f t="shared" si="4"/>
        <v>328</v>
      </c>
      <c r="E17" s="71" t="s">
        <v>15</v>
      </c>
      <c r="F17" s="67">
        <f t="shared" si="8"/>
        <v>337</v>
      </c>
      <c r="G17" s="67">
        <f t="shared" si="4"/>
        <v>369</v>
      </c>
      <c r="H17" s="68">
        <f t="shared" si="4"/>
        <v>350</v>
      </c>
      <c r="I17" s="1"/>
      <c r="J17" s="67"/>
      <c r="K17" s="67"/>
      <c r="L17" s="67"/>
      <c r="M17" s="67"/>
      <c r="N17" s="67"/>
      <c r="O17" s="1"/>
      <c r="P17" s="49"/>
    </row>
    <row r="18" ht="15" customHeight="1">
      <c r="A18" s="1"/>
      <c r="B18" s="3" t="s">
        <v>250</v>
      </c>
      <c r="C18" s="1"/>
      <c r="D18" s="1"/>
      <c r="E18" s="1"/>
      <c r="F18" s="1"/>
      <c r="G18" s="1"/>
      <c r="H18" s="48"/>
      <c r="I18" s="1"/>
      <c r="J18" s="1"/>
      <c r="K18" s="1"/>
      <c r="L18" s="1"/>
      <c r="M18" s="1"/>
      <c r="N18" s="1"/>
      <c r="O18" s="1"/>
      <c r="P18" s="49"/>
    </row>
    <row r="19" ht="15" customHeight="1">
      <c r="A19" s="1"/>
      <c r="B19" s="63" t="s">
        <v>251</v>
      </c>
      <c r="C19" s="67">
        <f t="shared" si="9"/>
        <v>17440</v>
      </c>
      <c r="D19" s="67">
        <f t="shared" si="2"/>
        <v>17508</v>
      </c>
      <c r="E19" s="67">
        <f t="shared" si="10"/>
        <v>17486</v>
      </c>
      <c r="F19" s="67">
        <f t="shared" si="11"/>
        <v>17730</v>
      </c>
      <c r="G19" s="67">
        <f t="shared" si="2"/>
        <v>16835</v>
      </c>
      <c r="H19" s="68">
        <f t="shared" si="2"/>
        <v>15829</v>
      </c>
      <c r="I19" s="1"/>
      <c r="J19" s="67"/>
      <c r="K19" s="67"/>
      <c r="L19" s="67"/>
      <c r="M19" s="67"/>
      <c r="N19" s="67"/>
      <c r="O19" s="1"/>
      <c r="P19" s="49"/>
    </row>
    <row r="20" ht="15" customHeight="1">
      <c r="A20" s="1"/>
      <c r="B20" s="63" t="s">
        <v>252</v>
      </c>
      <c r="C20" s="69">
        <v>68</v>
      </c>
      <c r="D20" s="69">
        <v>222</v>
      </c>
      <c r="E20" s="67">
        <f t="shared" si="12"/>
        <v>244</v>
      </c>
      <c r="F20" s="69">
        <v>-895</v>
      </c>
      <c r="G20" s="69">
        <v>-1006</v>
      </c>
      <c r="H20" s="70">
        <v>-800</v>
      </c>
      <c r="I20" s="1"/>
      <c r="J20" s="69">
        <v>187</v>
      </c>
      <c r="K20" s="69">
        <v>490</v>
      </c>
      <c r="L20" s="69">
        <v>823</v>
      </c>
      <c r="M20" s="69">
        <v>-110</v>
      </c>
      <c r="N20" s="69">
        <v>64</v>
      </c>
      <c r="O20" s="1"/>
      <c r="P20" s="49"/>
    </row>
    <row r="21" ht="15" customHeight="1">
      <c r="A21" s="1"/>
      <c r="B21" s="53" t="s">
        <v>144</v>
      </c>
      <c r="C21" s="67">
        <f t="shared" si="3"/>
        <v>-119</v>
      </c>
      <c r="D21" s="67">
        <f t="shared" si="3"/>
        <v>-268</v>
      </c>
      <c r="E21" s="67">
        <f t="shared" si="3"/>
        <v>-579</v>
      </c>
      <c r="F21" s="67">
        <f t="shared" si="3"/>
        <v>-785</v>
      </c>
      <c r="G21" s="67">
        <f t="shared" si="3"/>
        <v>-1070</v>
      </c>
      <c r="H21" s="68">
        <f t="shared" si="13"/>
        <v>-868</v>
      </c>
      <c r="I21" s="1"/>
      <c r="J21" s="67"/>
      <c r="K21" s="67"/>
      <c r="L21" s="67"/>
      <c r="M21" s="67"/>
      <c r="N21" s="67"/>
      <c r="O21" s="1"/>
      <c r="P21" s="49"/>
    </row>
    <row r="22" ht="15" customHeight="1">
      <c r="A22" s="1"/>
      <c r="B22" s="53" t="s">
        <v>118</v>
      </c>
      <c r="C22" s="67">
        <f t="shared" si="7"/>
        <v>4</v>
      </c>
      <c r="D22" s="67">
        <f t="shared" si="4"/>
        <v>154</v>
      </c>
      <c r="E22" s="71" t="s">
        <v>15</v>
      </c>
      <c r="F22" s="67">
        <f t="shared" si="8"/>
        <v>-1117</v>
      </c>
      <c r="G22" s="67">
        <f t="shared" si="4"/>
        <v>-111</v>
      </c>
      <c r="H22" s="68">
        <f t="shared" si="4"/>
        <v>206</v>
      </c>
      <c r="I22" s="1"/>
      <c r="J22" s="67"/>
      <c r="K22" s="67"/>
      <c r="L22" s="67"/>
      <c r="M22" s="67"/>
      <c r="N22" s="67"/>
      <c r="O22" s="1"/>
      <c r="P22" s="49"/>
    </row>
    <row r="23" ht="15" customHeight="1">
      <c r="A23" s="1"/>
      <c r="B23" s="63" t="s">
        <v>178</v>
      </c>
      <c r="C23" s="67">
        <f t="shared" si="5"/>
        <v>0</v>
      </c>
      <c r="D23" s="67">
        <f t="shared" si="5"/>
        <v>0</v>
      </c>
      <c r="E23" s="67">
        <f t="shared" si="5"/>
        <v>0</v>
      </c>
      <c r="F23" s="67">
        <f t="shared" si="5"/>
        <v>0</v>
      </c>
      <c r="G23" s="67">
        <f t="shared" si="5"/>
        <v>0</v>
      </c>
      <c r="H23" s="70">
        <v>0</v>
      </c>
      <c r="I23" s="1"/>
      <c r="J23" s="67"/>
      <c r="K23" s="67"/>
      <c r="L23" s="67"/>
      <c r="M23" s="67"/>
      <c r="N23" s="67"/>
      <c r="O23" s="1"/>
      <c r="P23" s="49"/>
    </row>
    <row r="24" ht="15" customHeight="1">
      <c r="A24" s="1"/>
      <c r="B24" s="3" t="s">
        <v>253</v>
      </c>
      <c r="C24" s="73">
        <v>17508</v>
      </c>
      <c r="D24" s="73">
        <v>17730</v>
      </c>
      <c r="E24" s="74">
        <f t="shared" si="14"/>
        <v>17730</v>
      </c>
      <c r="F24" s="73">
        <v>16835</v>
      </c>
      <c r="G24" s="73">
        <v>15829</v>
      </c>
      <c r="H24" s="75">
        <f t="shared" si="15"/>
        <v>15029</v>
      </c>
      <c r="I24" s="1"/>
      <c r="J24" s="73">
        <v>16996</v>
      </c>
      <c r="K24" s="73">
        <v>17486</v>
      </c>
      <c r="L24" s="74">
        <f t="shared" si="16"/>
        <v>17486</v>
      </c>
      <c r="M24" s="73">
        <v>17376</v>
      </c>
      <c r="N24" s="73">
        <v>17440</v>
      </c>
      <c r="O24" s="1"/>
      <c r="P24" s="49"/>
    </row>
    <row r="25" ht="15" customHeight="1">
      <c r="A25" s="1"/>
      <c r="B25" s="50" t="s">
        <v>115</v>
      </c>
      <c r="C25" s="16">
        <f t="shared" si="6"/>
        <v>0.030124735231819244</v>
      </c>
      <c r="D25" s="16">
        <f t="shared" si="6"/>
        <v>0.013954020359144392</v>
      </c>
      <c r="E25" s="16">
        <f t="shared" si="6"/>
        <v>0.013954020359144392</v>
      </c>
      <c r="F25" s="16">
        <f t="shared" si="6"/>
        <v>-0.03113489871086561</v>
      </c>
      <c r="G25" s="16">
        <f t="shared" si="6"/>
        <v>-0.09237385321100922</v>
      </c>
      <c r="H25" s="51">
        <f t="shared" si="17"/>
        <v>-0.14159241489604757</v>
      </c>
      <c r="I25" s="1"/>
      <c r="J25" s="16"/>
      <c r="K25" s="16"/>
      <c r="L25" s="16"/>
      <c r="M25" s="16"/>
      <c r="N25" s="16"/>
      <c r="O25" s="1"/>
      <c r="P25" s="49"/>
    </row>
    <row r="26" ht="15" customHeight="1">
      <c r="A26" s="1"/>
      <c r="B26" s="53" t="s">
        <v>118</v>
      </c>
      <c r="C26" s="67">
        <f t="shared" si="7"/>
        <v>68</v>
      </c>
      <c r="D26" s="67">
        <f t="shared" si="4"/>
        <v>222</v>
      </c>
      <c r="E26" s="71" t="s">
        <v>15</v>
      </c>
      <c r="F26" s="67">
        <f t="shared" si="8"/>
        <v>-895</v>
      </c>
      <c r="G26" s="67">
        <f t="shared" si="4"/>
        <v>-1006</v>
      </c>
      <c r="H26" s="68">
        <f t="shared" si="4"/>
        <v>-800</v>
      </c>
      <c r="I26" s="1"/>
      <c r="J26" s="67"/>
      <c r="K26" s="67"/>
      <c r="L26" s="67"/>
      <c r="M26" s="67"/>
      <c r="N26" s="67"/>
      <c r="O26" s="1"/>
      <c r="P26" s="49"/>
    </row>
    <row r="27" ht="15" customHeight="1">
      <c r="A27" s="1"/>
      <c r="B27" s="3" t="s">
        <v>254</v>
      </c>
      <c r="C27" s="1"/>
      <c r="D27" s="1"/>
      <c r="E27" s="1"/>
      <c r="F27" s="1"/>
      <c r="G27" s="1"/>
      <c r="H27" s="48"/>
      <c r="I27" s="1"/>
      <c r="J27" s="1"/>
      <c r="K27" s="1"/>
      <c r="L27" s="1"/>
      <c r="M27" s="1"/>
      <c r="N27" s="1"/>
      <c r="O27" s="1"/>
      <c r="P27" s="49"/>
    </row>
    <row r="28" ht="15" customHeight="1">
      <c r="A28" s="1"/>
      <c r="B28" s="63" t="s">
        <v>255</v>
      </c>
      <c r="C28" s="67">
        <f t="shared" si="9"/>
        <v>223</v>
      </c>
      <c r="D28" s="67">
        <f t="shared" si="2"/>
        <v>218</v>
      </c>
      <c r="E28" s="67">
        <f t="shared" si="10"/>
        <v>253</v>
      </c>
      <c r="F28" s="67">
        <f t="shared" si="11"/>
        <v>199</v>
      </c>
      <c r="G28" s="67">
        <f t="shared" si="2"/>
        <v>180</v>
      </c>
      <c r="H28" s="68">
        <f t="shared" si="2"/>
        <v>149</v>
      </c>
      <c r="I28" s="1"/>
      <c r="J28" s="67"/>
      <c r="K28" s="67"/>
      <c r="L28" s="67"/>
      <c r="M28" s="67"/>
      <c r="N28" s="67"/>
      <c r="O28" s="1"/>
      <c r="P28" s="49"/>
    </row>
    <row r="29" ht="15" customHeight="1">
      <c r="A29" s="1"/>
      <c r="B29" s="63" t="s">
        <v>256</v>
      </c>
      <c r="C29" s="69">
        <v>-5</v>
      </c>
      <c r="D29" s="69">
        <v>-19</v>
      </c>
      <c r="E29" s="67">
        <f t="shared" si="12"/>
        <v>-54</v>
      </c>
      <c r="F29" s="69">
        <v>-19</v>
      </c>
      <c r="G29" s="69">
        <v>-31</v>
      </c>
      <c r="H29" s="70">
        <v>-20</v>
      </c>
      <c r="I29" s="1"/>
      <c r="J29" s="69">
        <v>-51</v>
      </c>
      <c r="K29" s="69">
        <v>-29</v>
      </c>
      <c r="L29" s="69">
        <v>-164</v>
      </c>
      <c r="M29" s="69">
        <v>-18</v>
      </c>
      <c r="N29" s="69">
        <v>-12</v>
      </c>
      <c r="O29" s="1"/>
      <c r="P29" s="49"/>
    </row>
    <row r="30" ht="15" customHeight="1">
      <c r="A30" s="1"/>
      <c r="B30" s="53" t="s">
        <v>144</v>
      </c>
      <c r="C30" s="67">
        <f t="shared" si="3"/>
        <v>46</v>
      </c>
      <c r="D30" s="67">
        <f t="shared" si="3"/>
        <v>10</v>
      </c>
      <c r="E30" s="67">
        <f t="shared" si="3"/>
        <v>110</v>
      </c>
      <c r="F30" s="67">
        <f t="shared" si="3"/>
        <v>-1</v>
      </c>
      <c r="G30" s="67">
        <f t="shared" si="3"/>
        <v>-19</v>
      </c>
      <c r="H30" s="68">
        <f t="shared" si="13"/>
        <v>-15</v>
      </c>
      <c r="I30" s="1"/>
      <c r="J30" s="67"/>
      <c r="K30" s="67"/>
      <c r="L30" s="67"/>
      <c r="M30" s="67"/>
      <c r="N30" s="67"/>
      <c r="O30" s="1"/>
      <c r="P30" s="49"/>
    </row>
    <row r="31" ht="15" customHeight="1">
      <c r="A31" s="1"/>
      <c r="B31" s="53" t="s">
        <v>118</v>
      </c>
      <c r="C31" s="67">
        <f t="shared" si="7"/>
        <v>7</v>
      </c>
      <c r="D31" s="67">
        <f t="shared" si="4"/>
        <v>-14</v>
      </c>
      <c r="E31" s="71" t="s">
        <v>15</v>
      </c>
      <c r="F31" s="67">
        <f t="shared" si="8"/>
        <v>0</v>
      </c>
      <c r="G31" s="67">
        <f t="shared" si="4"/>
        <v>-12</v>
      </c>
      <c r="H31" s="68">
        <f t="shared" si="4"/>
        <v>11</v>
      </c>
      <c r="I31" s="1"/>
      <c r="J31" s="67"/>
      <c r="K31" s="67"/>
      <c r="L31" s="67"/>
      <c r="M31" s="67"/>
      <c r="N31" s="67"/>
      <c r="O31" s="1"/>
      <c r="P31" s="49"/>
    </row>
    <row r="32" ht="15" customHeight="1">
      <c r="A32" s="1"/>
      <c r="B32" s="63" t="s">
        <v>178</v>
      </c>
      <c r="C32" s="67">
        <f t="shared" si="5"/>
        <v>0</v>
      </c>
      <c r="D32" s="67">
        <f t="shared" si="5"/>
        <v>0</v>
      </c>
      <c r="E32" s="67">
        <f t="shared" si="5"/>
        <v>0</v>
      </c>
      <c r="F32" s="67">
        <f t="shared" si="5"/>
        <v>0</v>
      </c>
      <c r="G32" s="67">
        <f t="shared" si="5"/>
        <v>0</v>
      </c>
      <c r="H32" s="70">
        <v>0</v>
      </c>
      <c r="I32" s="1"/>
      <c r="J32" s="67"/>
      <c r="K32" s="67"/>
      <c r="L32" s="67"/>
      <c r="M32" s="67"/>
      <c r="N32" s="67"/>
      <c r="O32" s="1"/>
      <c r="P32" s="49"/>
    </row>
    <row r="33" ht="15" customHeight="1">
      <c r="A33" s="1"/>
      <c r="B33" s="3" t="s">
        <v>257</v>
      </c>
      <c r="C33" s="73">
        <v>218</v>
      </c>
      <c r="D33" s="73">
        <v>199</v>
      </c>
      <c r="E33" s="74">
        <f t="shared" si="14"/>
        <v>199</v>
      </c>
      <c r="F33" s="73">
        <v>180</v>
      </c>
      <c r="G33" s="73">
        <v>149</v>
      </c>
      <c r="H33" s="75">
        <f t="shared" si="15"/>
        <v>129</v>
      </c>
      <c r="I33" s="1"/>
      <c r="J33" s="73">
        <v>282</v>
      </c>
      <c r="K33" s="73">
        <v>253</v>
      </c>
      <c r="L33" s="74">
        <f t="shared" si="16"/>
        <v>253</v>
      </c>
      <c r="M33" s="73">
        <v>235</v>
      </c>
      <c r="N33" s="73">
        <v>223</v>
      </c>
      <c r="O33" s="1"/>
      <c r="P33" s="49"/>
    </row>
    <row r="34" ht="15" customHeight="1">
      <c r="A34" s="1"/>
      <c r="B34" s="50" t="s">
        <v>115</v>
      </c>
      <c r="C34" s="16">
        <f t="shared" si="6"/>
        <v>-0.22695035460992907</v>
      </c>
      <c r="D34" s="16">
        <f t="shared" si="6"/>
        <v>-0.2134387351778656</v>
      </c>
      <c r="E34" s="16">
        <f t="shared" si="6"/>
        <v>-0.2134387351778656</v>
      </c>
      <c r="F34" s="16">
        <f t="shared" si="6"/>
        <v>-0.23404255319148937</v>
      </c>
      <c r="G34" s="16">
        <f t="shared" si="6"/>
        <v>-0.3318385650224215</v>
      </c>
      <c r="H34" s="51">
        <f t="shared" si="17"/>
        <v>-0.40825688073394495</v>
      </c>
      <c r="I34" s="1"/>
      <c r="J34" s="16"/>
      <c r="K34" s="16"/>
      <c r="L34" s="16"/>
      <c r="M34" s="16"/>
      <c r="N34" s="16"/>
      <c r="O34" s="1"/>
      <c r="P34" s="49"/>
    </row>
    <row r="35" ht="15" customHeight="1">
      <c r="A35" s="1"/>
      <c r="B35" s="53" t="s">
        <v>118</v>
      </c>
      <c r="C35" s="67">
        <f t="shared" si="7"/>
        <v>-5</v>
      </c>
      <c r="D35" s="67">
        <f t="shared" si="4"/>
        <v>-19</v>
      </c>
      <c r="E35" s="71" t="s">
        <v>15</v>
      </c>
      <c r="F35" s="67">
        <f t="shared" si="8"/>
        <v>-19</v>
      </c>
      <c r="G35" s="67">
        <f t="shared" si="4"/>
        <v>-31</v>
      </c>
      <c r="H35" s="68">
        <f t="shared" si="4"/>
        <v>-20</v>
      </c>
      <c r="I35" s="1"/>
      <c r="J35" s="67"/>
      <c r="K35" s="67"/>
      <c r="L35" s="67"/>
      <c r="M35" s="67"/>
      <c r="N35" s="67"/>
      <c r="O35" s="1"/>
      <c r="P35" s="49"/>
    </row>
    <row r="36" ht="15" customHeight="1">
      <c r="A36" s="1"/>
      <c r="B36" s="3" t="s">
        <v>258</v>
      </c>
      <c r="C36" s="1"/>
      <c r="D36" s="1"/>
      <c r="E36" s="1"/>
      <c r="F36" s="1"/>
      <c r="G36" s="1"/>
      <c r="H36" s="48"/>
      <c r="I36" s="1"/>
      <c r="J36" s="1"/>
      <c r="K36" s="1"/>
      <c r="L36" s="1"/>
      <c r="M36" s="1"/>
      <c r="N36" s="1"/>
      <c r="O36" s="1"/>
      <c r="P36" s="49"/>
    </row>
    <row r="37" ht="15" customHeight="1">
      <c r="A37" s="1"/>
      <c r="B37" s="3" t="s">
        <v>259</v>
      </c>
      <c r="C37" s="74">
        <f t="shared" si="18" ref="C37:N37">C15+C24+C33</f>
        <v>24149</v>
      </c>
      <c r="D37" s="74">
        <f t="shared" si="18"/>
        <v>24680</v>
      </c>
      <c r="E37" s="74">
        <f t="shared" si="18"/>
        <v>24680</v>
      </c>
      <c r="F37" s="74">
        <f t="shared" si="18"/>
        <v>24103</v>
      </c>
      <c r="G37" s="74">
        <f t="shared" si="18"/>
        <v>23435</v>
      </c>
      <c r="H37" s="75">
        <f t="shared" si="18"/>
        <v>22965</v>
      </c>
      <c r="I37" s="1"/>
      <c r="J37" s="74">
        <f t="shared" si="18"/>
        <v>22911</v>
      </c>
      <c r="K37" s="74">
        <f t="shared" si="18"/>
        <v>23576</v>
      </c>
      <c r="L37" s="74">
        <f t="shared" si="18"/>
        <v>23576</v>
      </c>
      <c r="M37" s="74">
        <f t="shared" si="18"/>
        <v>23608</v>
      </c>
      <c r="N37" s="74">
        <f t="shared" si="18"/>
        <v>23843</v>
      </c>
      <c r="O37" s="1"/>
      <c r="P37" s="49"/>
    </row>
    <row r="38" ht="15" customHeight="1">
      <c r="A38" s="1"/>
      <c r="B38" s="50" t="s">
        <v>115</v>
      </c>
      <c r="C38" s="16">
        <f t="shared" si="6"/>
        <v>0.05403517960804849</v>
      </c>
      <c r="D38" s="16">
        <f t="shared" si="6"/>
        <v>0.04682728198167618</v>
      </c>
      <c r="E38" s="16">
        <f t="shared" si="6"/>
        <v>0.04682728198167618</v>
      </c>
      <c r="F38" s="16">
        <f t="shared" si="6"/>
        <v>0.020967468654693233</v>
      </c>
      <c r="G38" s="16">
        <f t="shared" si="6"/>
        <v>-0.01711194061150023</v>
      </c>
      <c r="H38" s="51">
        <f t="shared" si="17"/>
        <v>-0.049028945297941995</v>
      </c>
      <c r="I38" s="1"/>
      <c r="J38" s="16"/>
      <c r="K38" s="16"/>
      <c r="L38" s="16"/>
      <c r="M38" s="16"/>
      <c r="N38" s="16"/>
      <c r="O38" s="1"/>
      <c r="P38" s="49"/>
    </row>
    <row r="39" ht="15" customHeight="1">
      <c r="A39" s="1"/>
      <c r="B39" s="53" t="s">
        <v>118</v>
      </c>
      <c r="C39" s="67">
        <f t="shared" si="7"/>
        <v>306</v>
      </c>
      <c r="D39" s="67">
        <f t="shared" si="4"/>
        <v>531</v>
      </c>
      <c r="E39" s="71" t="s">
        <v>15</v>
      </c>
      <c r="F39" s="67">
        <f t="shared" si="8"/>
        <v>-577</v>
      </c>
      <c r="G39" s="67">
        <f t="shared" si="4"/>
        <v>-668</v>
      </c>
      <c r="H39" s="68">
        <f t="shared" si="4"/>
        <v>-470</v>
      </c>
      <c r="I39" s="1"/>
      <c r="J39" s="67"/>
      <c r="K39" s="67"/>
      <c r="L39" s="67"/>
      <c r="M39" s="67"/>
      <c r="N39" s="67"/>
      <c r="O39" s="1"/>
      <c r="P39" s="49"/>
    </row>
    <row r="40" ht="15" customHeight="1">
      <c r="A40" s="1"/>
      <c r="B40" s="3" t="s">
        <v>260</v>
      </c>
      <c r="C40" s="74">
        <f t="shared" si="19" ref="C40:N40">C11+C20+C29</f>
        <v>306</v>
      </c>
      <c r="D40" s="74">
        <f t="shared" si="19"/>
        <v>531</v>
      </c>
      <c r="E40" s="74">
        <f t="shared" si="19"/>
        <v>1104</v>
      </c>
      <c r="F40" s="74">
        <f t="shared" si="19"/>
        <v>-577</v>
      </c>
      <c r="G40" s="74">
        <f t="shared" si="19"/>
        <v>-668</v>
      </c>
      <c r="H40" s="75">
        <f t="shared" si="19"/>
        <v>-470</v>
      </c>
      <c r="I40" s="1"/>
      <c r="J40" s="74">
        <f t="shared" si="19"/>
        <v>275</v>
      </c>
      <c r="K40" s="74">
        <f t="shared" si="19"/>
        <v>665</v>
      </c>
      <c r="L40" s="74">
        <f t="shared" si="19"/>
        <v>1260</v>
      </c>
      <c r="M40" s="74">
        <f t="shared" si="19"/>
        <v>32</v>
      </c>
      <c r="N40" s="74">
        <f t="shared" si="19"/>
        <v>235</v>
      </c>
      <c r="O40" s="1"/>
      <c r="P40" s="49"/>
    </row>
    <row r="41" ht="15" customHeight="1">
      <c r="A41" s="1"/>
      <c r="B41" s="53" t="s">
        <v>144</v>
      </c>
      <c r="C41" s="67">
        <f t="shared" si="3"/>
        <v>31</v>
      </c>
      <c r="D41" s="67">
        <f t="shared" si="3"/>
        <v>-134</v>
      </c>
      <c r="E41" s="67">
        <f t="shared" si="3"/>
        <v>-156</v>
      </c>
      <c r="F41" s="67">
        <f t="shared" si="3"/>
        <v>-609</v>
      </c>
      <c r="G41" s="67">
        <f t="shared" si="3"/>
        <v>-903</v>
      </c>
      <c r="H41" s="68">
        <f t="shared" si="13"/>
        <v>-776</v>
      </c>
      <c r="I41" s="1"/>
      <c r="J41" s="67"/>
      <c r="K41" s="67"/>
      <c r="L41" s="67"/>
      <c r="M41" s="67"/>
      <c r="N41" s="67"/>
      <c r="O41" s="1"/>
      <c r="P41" s="49"/>
    </row>
    <row r="42" ht="15" customHeight="1">
      <c r="A42" s="1"/>
      <c r="B42" s="53" t="s">
        <v>118</v>
      </c>
      <c r="C42" s="67">
        <f t="shared" si="7"/>
        <v>71</v>
      </c>
      <c r="D42" s="67">
        <f t="shared" si="4"/>
        <v>225</v>
      </c>
      <c r="E42" s="71" t="s">
        <v>15</v>
      </c>
      <c r="F42" s="67">
        <f t="shared" si="8"/>
        <v>-1108</v>
      </c>
      <c r="G42" s="67">
        <f t="shared" si="4"/>
        <v>-91</v>
      </c>
      <c r="H42" s="68">
        <f t="shared" si="4"/>
        <v>198</v>
      </c>
      <c r="I42" s="1"/>
      <c r="J42" s="67"/>
      <c r="K42" s="67"/>
      <c r="L42" s="67"/>
      <c r="M42" s="67"/>
      <c r="N42" s="67"/>
      <c r="O42" s="1"/>
      <c r="P42" s="49"/>
    </row>
    <row r="43" ht="15" customHeight="1">
      <c r="A43" s="1"/>
      <c r="B43" s="84" t="s">
        <v>261</v>
      </c>
      <c r="C43" s="16">
        <f t="shared" si="20" ref="C43:N43">C15/C37</f>
        <v>0.26597374632489956</v>
      </c>
      <c r="D43" s="16">
        <f t="shared" si="20"/>
        <v>0.2735413290113452</v>
      </c>
      <c r="E43" s="16">
        <f t="shared" si="20"/>
        <v>0.2735413290113452</v>
      </c>
      <c r="F43" s="16">
        <f t="shared" si="20"/>
        <v>0.29407127743434425</v>
      </c>
      <c r="G43" s="16">
        <f t="shared" si="20"/>
        <v>0.31819927458928954</v>
      </c>
      <c r="H43" s="51">
        <f t="shared" si="20"/>
        <v>0.3399521010232963</v>
      </c>
      <c r="I43" s="1"/>
      <c r="J43" s="16">
        <f t="shared" si="20"/>
        <v>0.24586443193225963</v>
      </c>
      <c r="K43" s="16">
        <f t="shared" si="20"/>
        <v>0.24758228707159824</v>
      </c>
      <c r="L43" s="16">
        <f t="shared" si="20"/>
        <v>0.24758228707159824</v>
      </c>
      <c r="M43" s="16">
        <f t="shared" si="20"/>
        <v>0.2540240596407997</v>
      </c>
      <c r="N43" s="16">
        <f t="shared" si="20"/>
        <v>0.25919557102713586</v>
      </c>
      <c r="O43" s="1"/>
      <c r="P43" s="49"/>
    </row>
    <row r="44" ht="15" customHeight="1">
      <c r="A44" s="1"/>
      <c r="B44" s="50" t="s">
        <v>149</v>
      </c>
      <c r="C44" s="77">
        <f t="shared" si="21" ref="C44:G98">IF(AND(ISNUMBER(C43),ISNUMBER(J43)),(C43-J43)*10000,"n/a")</f>
        <v>201.09314392639936</v>
      </c>
      <c r="D44" s="77">
        <f t="shared" si="21"/>
        <v>259.59041939746965</v>
      </c>
      <c r="E44" s="77">
        <f t="shared" si="21"/>
        <v>259.59041939746965</v>
      </c>
      <c r="F44" s="77">
        <f t="shared" si="21"/>
        <v>400.4721779354453</v>
      </c>
      <c r="G44" s="77">
        <f t="shared" si="21"/>
        <v>590.0370356215368</v>
      </c>
      <c r="H44" s="78">
        <f t="shared" si="43" ref="H44:H98">IF(AND(ISNUMBER(H43),ISNUMBER(C43)),(H43-C43)*10000,"n/a")</f>
        <v>739.7835469839675</v>
      </c>
      <c r="I44" s="1"/>
      <c r="J44" s="77"/>
      <c r="K44" s="77"/>
      <c r="L44" s="77"/>
      <c r="M44" s="77"/>
      <c r="N44" s="77"/>
      <c r="O44" s="1"/>
      <c r="P44" s="49"/>
    </row>
    <row r="45" ht="15" customHeight="1">
      <c r="A45" s="1"/>
      <c r="B45" s="50" t="s">
        <v>150</v>
      </c>
      <c r="C45" s="77">
        <f t="shared" si="44" ref="C45:C99">IF(AND(ISNUMBER(C43),ISNUMBER(N43)),(C43-N43)*10000,"n/a")</f>
        <v>67.781752977637</v>
      </c>
      <c r="D45" s="77">
        <f t="shared" si="22" ref="D45:H99">IF(AND(ISNUMBER(D43),ISNUMBER(C43)),(D43-C43)*10000,"n/a")</f>
        <v>75.6758268644564</v>
      </c>
      <c r="E45" s="79" t="s">
        <v>15</v>
      </c>
      <c r="F45" s="77">
        <f t="shared" si="45" ref="F45:F99">IF(AND(ISNUMBER(F43),ISNUMBER(D43)),(F43-D43)*10000,"n/a")</f>
        <v>205.29948422999044</v>
      </c>
      <c r="G45" s="77">
        <f t="shared" si="22"/>
        <v>241.2799715494529</v>
      </c>
      <c r="H45" s="78">
        <f t="shared" si="22"/>
        <v>217.52826434006778</v>
      </c>
      <c r="I45" s="1"/>
      <c r="J45" s="77"/>
      <c r="K45" s="77"/>
      <c r="L45" s="77"/>
      <c r="M45" s="77"/>
      <c r="N45" s="77"/>
      <c r="O45" s="1"/>
      <c r="P45" s="49"/>
    </row>
    <row r="46" ht="15" customHeight="1">
      <c r="A46" s="1"/>
      <c r="B46" s="65" t="s">
        <v>262</v>
      </c>
      <c r="C46" s="67">
        <f>AVERAGE(N37,C37)</f>
        <v>23996</v>
      </c>
      <c r="D46" s="67">
        <f t="shared" si="23" ref="D46:N46">AVERAGE(C37,D37)</f>
        <v>24414.5</v>
      </c>
      <c r="E46" s="67">
        <f>AVERAGE(K37,D37)</f>
        <v>24128</v>
      </c>
      <c r="F46" s="67">
        <f t="shared" si="24" ref="F46:M46">AVERAGE(D37,F37)</f>
        <v>24391.5</v>
      </c>
      <c r="G46" s="67">
        <f t="shared" si="23"/>
        <v>23769</v>
      </c>
      <c r="H46" s="68">
        <f t="shared" si="23"/>
        <v>23200</v>
      </c>
      <c r="I46" s="1"/>
      <c r="J46" s="67"/>
      <c r="K46" s="67"/>
      <c r="L46" s="67"/>
      <c r="M46" s="67">
        <f t="shared" si="24"/>
        <v>23592</v>
      </c>
      <c r="N46" s="67">
        <f t="shared" si="23"/>
        <v>23725.5</v>
      </c>
      <c r="O46" s="1"/>
      <c r="P46" s="49"/>
    </row>
    <row r="47" ht="15" customHeight="1">
      <c r="A47" s="1"/>
      <c r="B47" s="50" t="s">
        <v>115</v>
      </c>
      <c r="C47" s="16" t="str">
        <f t="shared" si="6"/>
        <v>n/a</v>
      </c>
      <c r="D47" s="16" t="str">
        <f t="shared" si="6"/>
        <v>n/a</v>
      </c>
      <c r="E47" s="16" t="str">
        <f t="shared" si="6"/>
        <v>n/a</v>
      </c>
      <c r="F47" s="16">
        <f t="shared" si="6"/>
        <v>0.03388860630722279</v>
      </c>
      <c r="G47" s="16">
        <f t="shared" si="6"/>
        <v>0.0018334703167477429</v>
      </c>
      <c r="H47" s="51">
        <f t="shared" si="17"/>
        <v>-0.03317219536589433</v>
      </c>
      <c r="I47" s="1"/>
      <c r="J47" s="16"/>
      <c r="K47" s="16"/>
      <c r="L47" s="16"/>
      <c r="M47" s="16"/>
      <c r="N47" s="16"/>
      <c r="O47" s="1"/>
      <c r="P47" s="49"/>
    </row>
    <row r="48" ht="15" customHeight="1">
      <c r="A48" s="1"/>
      <c r="B48" s="53" t="s">
        <v>118</v>
      </c>
      <c r="C48" s="67">
        <f t="shared" si="7"/>
        <v>270.5</v>
      </c>
      <c r="D48" s="67">
        <f t="shared" si="4"/>
        <v>418.5</v>
      </c>
      <c r="E48" s="71" t="s">
        <v>15</v>
      </c>
      <c r="F48" s="67">
        <f t="shared" si="8"/>
        <v>-23</v>
      </c>
      <c r="G48" s="67">
        <f t="shared" si="4"/>
        <v>-622.5</v>
      </c>
      <c r="H48" s="68">
        <f t="shared" si="4"/>
        <v>-569</v>
      </c>
      <c r="I48" s="1"/>
      <c r="J48" s="67"/>
      <c r="K48" s="67"/>
      <c r="L48" s="67"/>
      <c r="M48" s="67"/>
      <c r="N48" s="67"/>
      <c r="O48" s="1"/>
      <c r="P48" s="49"/>
    </row>
    <row r="49" ht="15" customHeight="1">
      <c r="A49" s="1"/>
      <c r="B49" s="3" t="s">
        <v>263</v>
      </c>
      <c r="C49" s="1"/>
      <c r="D49" s="1"/>
      <c r="E49" s="1"/>
      <c r="F49" s="1"/>
      <c r="G49" s="1"/>
      <c r="H49" s="48"/>
      <c r="I49" s="1"/>
      <c r="J49" s="1"/>
      <c r="K49" s="1"/>
      <c r="L49" s="1"/>
      <c r="M49" s="1"/>
      <c r="N49" s="1"/>
      <c r="O49" s="1"/>
      <c r="P49" s="49"/>
    </row>
    <row r="50" ht="15" customHeight="1">
      <c r="A50" s="1"/>
      <c r="B50" s="63" t="s">
        <v>264</v>
      </c>
      <c r="C50" s="89">
        <v>18.6246</v>
      </c>
      <c r="D50" s="89">
        <v>18.3049</v>
      </c>
      <c r="E50" s="89">
        <v>19.2115</v>
      </c>
      <c r="F50" s="89">
        <v>17.5475</v>
      </c>
      <c r="G50" s="89">
        <v>17.3813</v>
      </c>
      <c r="H50" s="90">
        <v>17.262</v>
      </c>
      <c r="I50" s="1"/>
      <c r="J50" s="89">
        <v>18.9449</v>
      </c>
      <c r="K50" s="89">
        <v>20.106</v>
      </c>
      <c r="L50" s="89">
        <v>18.3256</v>
      </c>
      <c r="M50" s="89">
        <v>20.411</v>
      </c>
      <c r="N50" s="89">
        <v>19.5054</v>
      </c>
      <c r="O50" s="1"/>
      <c r="P50" s="49"/>
    </row>
    <row r="51" ht="15" customHeight="1">
      <c r="A51" s="1"/>
      <c r="B51" s="50" t="s">
        <v>115</v>
      </c>
      <c r="C51" s="16">
        <f t="shared" si="6"/>
        <v>-0.016906924818816615</v>
      </c>
      <c r="D51" s="16">
        <f t="shared" si="6"/>
        <v>-0.08958022480851491</v>
      </c>
      <c r="E51" s="16">
        <f t="shared" si="6"/>
        <v>0.048342209804863145</v>
      </c>
      <c r="F51" s="16">
        <f t="shared" si="6"/>
        <v>-0.1402919994120818</v>
      </c>
      <c r="G51" s="16">
        <f t="shared" si="6"/>
        <v>-0.1088980487454757</v>
      </c>
      <c r="H51" s="51">
        <f t="shared" si="17"/>
        <v>-0.0731613027930802</v>
      </c>
      <c r="I51" s="1"/>
      <c r="J51" s="16"/>
      <c r="K51" s="16"/>
      <c r="L51" s="16"/>
      <c r="M51" s="16"/>
      <c r="N51" s="16"/>
      <c r="O51" s="1"/>
      <c r="P51" s="49"/>
    </row>
    <row r="52" ht="15" customHeight="1">
      <c r="A52" s="1"/>
      <c r="B52" s="53" t="s">
        <v>118</v>
      </c>
      <c r="C52" s="91">
        <f t="shared" si="7"/>
        <v>-0.8808000000000007</v>
      </c>
      <c r="D52" s="91">
        <f t="shared" si="4"/>
        <v>-0.319700000000001</v>
      </c>
      <c r="E52" s="92" t="s">
        <v>15</v>
      </c>
      <c r="F52" s="91">
        <f t="shared" si="8"/>
        <v>-0.7574000000000005</v>
      </c>
      <c r="G52" s="91">
        <f t="shared" si="4"/>
        <v>-0.1661999999999999</v>
      </c>
      <c r="H52" s="93">
        <f t="shared" si="4"/>
        <v>-0.11929999999999907</v>
      </c>
      <c r="I52" s="1"/>
      <c r="J52" s="91"/>
      <c r="K52" s="91"/>
      <c r="L52" s="91"/>
      <c r="M52" s="91"/>
      <c r="N52" s="91"/>
      <c r="O52" s="1"/>
      <c r="P52" s="49"/>
    </row>
    <row r="53" ht="15" customHeight="1">
      <c r="A53" s="1"/>
      <c r="B53" s="84" t="s">
        <v>265</v>
      </c>
      <c r="C53" s="16">
        <f t="shared" si="25" ref="C53:G53">J50/C50-1</f>
        <v>0.01719768478249195</v>
      </c>
      <c r="D53" s="16">
        <f t="shared" si="25"/>
        <v>0.09839441898071022</v>
      </c>
      <c r="E53" s="16">
        <f t="shared" si="25"/>
        <v>-0.04611300523124162</v>
      </c>
      <c r="F53" s="16">
        <f t="shared" si="25"/>
        <v>0.16318563897991178</v>
      </c>
      <c r="G53" s="16">
        <f t="shared" si="25"/>
        <v>0.12220604902970456</v>
      </c>
      <c r="H53" s="51">
        <f>C50/H50-1</f>
        <v>0.0789363920750783</v>
      </c>
      <c r="I53" s="1"/>
      <c r="J53" s="16"/>
      <c r="K53" s="16"/>
      <c r="L53" s="16"/>
      <c r="M53" s="16"/>
      <c r="N53" s="16"/>
      <c r="O53" s="1"/>
      <c r="P53" s="49" t="s">
        <v>266</v>
      </c>
    </row>
    <row r="54" ht="15" customHeight="1">
      <c r="A54" s="1"/>
      <c r="B54" s="3" t="s">
        <v>267</v>
      </c>
      <c r="C54" s="1"/>
      <c r="D54" s="1"/>
      <c r="E54" s="1"/>
      <c r="F54" s="1"/>
      <c r="G54" s="1"/>
      <c r="H54" s="48"/>
      <c r="I54" s="1"/>
      <c r="J54" s="1"/>
      <c r="K54" s="1"/>
      <c r="L54" s="1"/>
      <c r="M54" s="1"/>
      <c r="N54" s="1"/>
      <c r="O54" s="1"/>
      <c r="P54" s="49"/>
    </row>
    <row r="55" ht="15" customHeight="1">
      <c r="A55" s="1"/>
      <c r="B55" s="63" t="s">
        <v>268</v>
      </c>
      <c r="C55" s="20">
        <f t="shared" si="26" ref="C55:N55">C58/C46/3*1000</f>
        <v>9.668278046341056</v>
      </c>
      <c r="D55" s="20">
        <f t="shared" si="26"/>
        <v>10.1305917931284</v>
      </c>
      <c r="E55" s="20">
        <f>E58/E46/12*1000</f>
        <v>9.37707228116711</v>
      </c>
      <c r="F55" s="20">
        <f t="shared" si="26"/>
        <v>10.290470040792899</v>
      </c>
      <c r="G55" s="20">
        <f t="shared" si="26"/>
        <v>10.938617527031006</v>
      </c>
      <c r="H55" s="81">
        <v>11.3</v>
      </c>
      <c r="I55" s="1"/>
      <c r="J55" s="20"/>
      <c r="K55" s="20"/>
      <c r="L55" s="20"/>
      <c r="M55" s="20">
        <f t="shared" si="26"/>
        <v>8.689386232621226</v>
      </c>
      <c r="N55" s="20">
        <f t="shared" si="26"/>
        <v>9.300822602965868</v>
      </c>
      <c r="O55" s="1"/>
      <c r="P55" s="49"/>
    </row>
    <row r="56" ht="15" customHeight="1">
      <c r="A56" s="1"/>
      <c r="B56" s="50" t="s">
        <v>115</v>
      </c>
      <c r="C56" s="16" t="str">
        <f t="shared" si="27" ref="C56:G56">IF(AND(ISNUMBER(C55),ISNUMBER(J55)),C55/J55-1,"n/a")</f>
        <v>n/a</v>
      </c>
      <c r="D56" s="16" t="str">
        <f t="shared" si="27"/>
        <v>n/a</v>
      </c>
      <c r="E56" s="16" t="str">
        <f t="shared" si="27"/>
        <v>n/a</v>
      </c>
      <c r="F56" s="16">
        <f t="shared" si="27"/>
        <v>0.18425741074334678</v>
      </c>
      <c r="G56" s="16">
        <f t="shared" si="27"/>
        <v>0.1760914054572844</v>
      </c>
      <c r="H56" s="51">
        <f>IF(AND(ISNUMBER(H55),ISNUMBER(C55)),H55/C55-1,"n/a")</f>
        <v>0.1687706896551726</v>
      </c>
      <c r="I56" s="1"/>
      <c r="J56" s="16"/>
      <c r="K56" s="16"/>
      <c r="L56" s="16"/>
      <c r="M56" s="16"/>
      <c r="N56" s="16"/>
      <c r="O56" s="1"/>
      <c r="P56" s="49"/>
    </row>
    <row r="57" ht="15" customHeight="1">
      <c r="A57" s="1"/>
      <c r="B57" s="53" t="s">
        <v>202</v>
      </c>
      <c r="C57" s="20">
        <f t="shared" si="7"/>
        <v>0.36745544337518865</v>
      </c>
      <c r="D57" s="20">
        <f t="shared" si="4"/>
        <v>0.46231374678734305</v>
      </c>
      <c r="E57" s="82" t="s">
        <v>15</v>
      </c>
      <c r="F57" s="20">
        <f t="shared" si="8"/>
        <v>0.15987824766449954</v>
      </c>
      <c r="G57" s="20">
        <f t="shared" si="4"/>
        <v>0.6481474862381074</v>
      </c>
      <c r="H57" s="83">
        <f t="shared" si="4"/>
        <v>0.3613824729689945</v>
      </c>
      <c r="I57" s="1"/>
      <c r="J57" s="20"/>
      <c r="K57" s="20"/>
      <c r="L57" s="20"/>
      <c r="M57" s="20"/>
      <c r="N57" s="20"/>
      <c r="O57" s="1"/>
      <c r="P57" s="49"/>
    </row>
    <row r="58" ht="15" customHeight="1">
      <c r="A58" s="1"/>
      <c r="B58" s="1" t="s">
        <v>269</v>
      </c>
      <c r="C58" s="60">
        <v>696</v>
      </c>
      <c r="D58" s="60">
        <v>742</v>
      </c>
      <c r="E58" s="15">
        <f t="shared" si="12"/>
        <v>2715</v>
      </c>
      <c r="F58" s="60">
        <v>753</v>
      </c>
      <c r="G58" s="60">
        <v>780</v>
      </c>
      <c r="H58" s="54">
        <f>H46*H55*3/1000</f>
        <v>786.48</v>
      </c>
      <c r="I58" s="1"/>
      <c r="J58" s="60">
        <v>645</v>
      </c>
      <c r="K58" s="60">
        <v>634</v>
      </c>
      <c r="L58" s="60">
        <v>2668</v>
      </c>
      <c r="M58" s="60">
        <v>615</v>
      </c>
      <c r="N58" s="60">
        <v>662</v>
      </c>
      <c r="O58" s="1"/>
      <c r="P58" s="49"/>
    </row>
    <row r="59" ht="15" customHeight="1">
      <c r="A59" s="1"/>
      <c r="B59" s="50" t="s">
        <v>115</v>
      </c>
      <c r="C59" s="16">
        <f t="shared" si="6"/>
        <v>0.07906976744186056</v>
      </c>
      <c r="D59" s="16">
        <f t="shared" si="6"/>
        <v>0.17034700315457418</v>
      </c>
      <c r="E59" s="16">
        <f t="shared" si="6"/>
        <v>0.017616191904048062</v>
      </c>
      <c r="F59" s="16">
        <f t="shared" si="6"/>
        <v>0.224390243902439</v>
      </c>
      <c r="G59" s="16">
        <f t="shared" si="6"/>
        <v>0.17824773413897277</v>
      </c>
      <c r="H59" s="51">
        <f t="shared" si="17"/>
        <v>0.13000000000000012</v>
      </c>
      <c r="I59" s="1"/>
      <c r="J59" s="16"/>
      <c r="K59" s="16"/>
      <c r="L59" s="16"/>
      <c r="M59" s="16"/>
      <c r="N59" s="16"/>
      <c r="O59" s="1"/>
      <c r="P59" s="49"/>
    </row>
    <row r="60" ht="15" customHeight="1">
      <c r="A60" s="1"/>
      <c r="B60" s="50" t="s">
        <v>116</v>
      </c>
      <c r="C60" s="16">
        <f t="shared" si="33" ref="C60:C76">IF(AND(ISNUMBER(C58),ISNUMBER(N58)),IF(N58&lt;&gt;0,C58/N58-1,"n/a"),"n/a")</f>
        <v>0.051359516616314105</v>
      </c>
      <c r="D60" s="16">
        <f t="shared" si="28" ref="D60:H76">IF(AND(ISNUMBER(D58),ISNUMBER(C58)),IF(C58&lt;&gt;0,D58/C58-1,"n/a"),"n/a")</f>
        <v>0.06609195402298851</v>
      </c>
      <c r="E60" s="52" t="s">
        <v>15</v>
      </c>
      <c r="F60" s="16">
        <f t="shared" si="34" ref="F60:F76">IF(AND(ISNUMBER(F58),ISNUMBER(D58)),IF(D58&lt;&gt;0,F58/D58-1,"n/a"),"n/a")</f>
        <v>0.014824797843665749</v>
      </c>
      <c r="G60" s="16">
        <f t="shared" si="28"/>
        <v>0.03585657370517925</v>
      </c>
      <c r="H60" s="51">
        <f t="shared" si="28"/>
        <v>0.00830769230769235</v>
      </c>
      <c r="I60" s="1"/>
      <c r="J60" s="16"/>
      <c r="K60" s="16"/>
      <c r="L60" s="16"/>
      <c r="M60" s="16"/>
      <c r="N60" s="16"/>
      <c r="O60" s="1"/>
      <c r="P60" s="49"/>
    </row>
    <row r="61" ht="15" customHeight="1">
      <c r="A61" s="1"/>
      <c r="B61" s="53" t="s">
        <v>118</v>
      </c>
      <c r="C61" s="15">
        <f t="shared" si="35" ref="C61:C77">IF(AND(ISNUMBER(C58),ISNUMBER(N58)),C58-N58,"n/a")</f>
        <v>34</v>
      </c>
      <c r="D61" s="15">
        <f t="shared" si="29" ref="D61:H77">IF(AND(ISNUMBER(D58),ISNUMBER(C58)),D58-C58,"n/a")</f>
        <v>46</v>
      </c>
      <c r="E61" s="21" t="s">
        <v>15</v>
      </c>
      <c r="F61" s="15">
        <f t="shared" si="36" ref="F61:F77">IF(AND(ISNUMBER(F58),ISNUMBER(D58)),F58-D58,"n/a")</f>
        <v>11</v>
      </c>
      <c r="G61" s="15">
        <f t="shared" si="29"/>
        <v>27</v>
      </c>
      <c r="H61" s="54">
        <f t="shared" si="29"/>
        <v>6.480000000000018</v>
      </c>
      <c r="I61" s="1"/>
      <c r="J61" s="15"/>
      <c r="K61" s="15"/>
      <c r="L61" s="15"/>
      <c r="M61" s="15"/>
      <c r="N61" s="15"/>
      <c r="O61" s="1"/>
      <c r="P61" s="49"/>
    </row>
    <row r="62" ht="15" customHeight="1">
      <c r="A62" s="1"/>
      <c r="B62" s="50" t="s">
        <v>119</v>
      </c>
      <c r="C62" s="57">
        <v>0</v>
      </c>
      <c r="D62" s="57">
        <v>0</v>
      </c>
      <c r="E62" s="57">
        <v>0</v>
      </c>
      <c r="F62" s="57">
        <v>0</v>
      </c>
      <c r="G62" s="57">
        <v>0</v>
      </c>
      <c r="H62" s="58">
        <v>0</v>
      </c>
      <c r="I62" s="1"/>
      <c r="J62" s="16"/>
      <c r="K62" s="16"/>
      <c r="L62" s="16"/>
      <c r="M62" s="16"/>
      <c r="N62" s="16"/>
      <c r="O62" s="1"/>
      <c r="P62" s="49"/>
    </row>
    <row r="63" ht="15" customHeight="1">
      <c r="A63" s="1"/>
      <c r="B63" s="50" t="s">
        <v>120</v>
      </c>
      <c r="C63" s="16">
        <f t="shared" si="30" ref="C63:H63">C53</f>
        <v>0.01719768478249195</v>
      </c>
      <c r="D63" s="16">
        <f t="shared" si="30"/>
        <v>0.09839441898071022</v>
      </c>
      <c r="E63" s="16">
        <f t="shared" si="30"/>
        <v>-0.04611300523124162</v>
      </c>
      <c r="F63" s="16">
        <f t="shared" si="30"/>
        <v>0.16318563897991178</v>
      </c>
      <c r="G63" s="16">
        <f t="shared" si="30"/>
        <v>0.12220604902970456</v>
      </c>
      <c r="H63" s="51">
        <f t="shared" si="30"/>
        <v>0.0789363920750783</v>
      </c>
      <c r="I63" s="1"/>
      <c r="J63" s="16"/>
      <c r="K63" s="16"/>
      <c r="L63" s="16"/>
      <c r="M63" s="16"/>
      <c r="N63" s="16"/>
      <c r="O63" s="1"/>
      <c r="P63" s="49"/>
    </row>
    <row r="64" ht="15" customHeight="1">
      <c r="A64" s="1"/>
      <c r="B64" s="50" t="s">
        <v>121</v>
      </c>
      <c r="C64" s="16">
        <f t="shared" si="31" ref="C64:H80">IF(AND(ISNUMBER(C59),ISNUMBER(C62),ISNUMBER(C63)),(1+C59)/((1+C62)*(1+C63))-1,"unavailable")</f>
        <v>0.060826016009463135</v>
      </c>
      <c r="D64" s="16">
        <f t="shared" si="31"/>
        <v>0.06550705550801572</v>
      </c>
      <c r="E64" s="16">
        <f t="shared" si="31"/>
        <v>0.0668100073538993</v>
      </c>
      <c r="F64" s="16">
        <f t="shared" si="31"/>
        <v>0.052618088524719386</v>
      </c>
      <c r="G64" s="16">
        <f t="shared" si="31"/>
        <v>0.04993885495246042</v>
      </c>
      <c r="H64" s="51">
        <f t="shared" si="31"/>
        <v>0.047327727843819556</v>
      </c>
      <c r="I64" s="1"/>
      <c r="J64" s="16"/>
      <c r="K64" s="16"/>
      <c r="L64" s="16"/>
      <c r="M64" s="16"/>
      <c r="N64" s="16"/>
      <c r="O64" s="1"/>
      <c r="P64" s="49"/>
    </row>
    <row r="65" ht="15" customHeight="1">
      <c r="A65" s="1"/>
      <c r="B65" s="50" t="s">
        <v>209</v>
      </c>
      <c r="C65" s="16">
        <f t="shared" si="32" ref="C65:H65">C58/C74</f>
        <v>0.6356164383561644</v>
      </c>
      <c r="D65" s="16">
        <f t="shared" si="32"/>
        <v>0.5893566322478158</v>
      </c>
      <c r="E65" s="16">
        <f t="shared" si="32"/>
        <v>0.6200045672527974</v>
      </c>
      <c r="F65" s="16">
        <f t="shared" si="32"/>
        <v>0.6419437340153452</v>
      </c>
      <c r="G65" s="16">
        <f t="shared" si="32"/>
        <v>0.6372549019607843</v>
      </c>
      <c r="H65" s="51">
        <f t="shared" si="32"/>
        <v>0.6460325283390833</v>
      </c>
      <c r="I65" s="1"/>
      <c r="J65" s="16"/>
      <c r="K65" s="16"/>
      <c r="L65" s="16"/>
      <c r="M65" s="16"/>
      <c r="N65" s="16"/>
      <c r="O65" s="1"/>
      <c r="P65" s="49"/>
    </row>
    <row r="66" ht="15" customHeight="1">
      <c r="A66" s="1"/>
      <c r="B66" s="1" t="s">
        <v>270</v>
      </c>
      <c r="C66" s="60">
        <v>399</v>
      </c>
      <c r="D66" s="60">
        <v>517</v>
      </c>
      <c r="E66" s="15">
        <f t="shared" si="12"/>
        <v>1664</v>
      </c>
      <c r="F66" s="60">
        <v>420</v>
      </c>
      <c r="G66" s="60">
        <v>444</v>
      </c>
      <c r="H66" s="54">
        <f>C66*(1+H67)</f>
        <v>430.92</v>
      </c>
      <c r="I66" s="1"/>
      <c r="J66" s="60">
        <v>377</v>
      </c>
      <c r="K66" s="60">
        <v>410</v>
      </c>
      <c r="L66" s="60">
        <v>1564</v>
      </c>
      <c r="M66" s="60">
        <v>356</v>
      </c>
      <c r="N66" s="60">
        <v>392</v>
      </c>
      <c r="O66" s="1"/>
      <c r="P66" s="49"/>
    </row>
    <row r="67" ht="15" customHeight="1">
      <c r="A67" s="1"/>
      <c r="B67" s="50" t="s">
        <v>115</v>
      </c>
      <c r="C67" s="16">
        <f t="shared" si="6"/>
        <v>0.05835543766578244</v>
      </c>
      <c r="D67" s="16">
        <f t="shared" si="6"/>
        <v>0.26097560975609757</v>
      </c>
      <c r="E67" s="16">
        <f t="shared" si="6"/>
        <v>0.0639386189258313</v>
      </c>
      <c r="F67" s="16">
        <f t="shared" si="6"/>
        <v>0.1797752808988764</v>
      </c>
      <c r="G67" s="16">
        <f t="shared" si="6"/>
        <v>0.13265306122448983</v>
      </c>
      <c r="H67" s="58">
        <v>0.08</v>
      </c>
      <c r="I67" s="1"/>
      <c r="J67" s="16"/>
      <c r="K67" s="16"/>
      <c r="L67" s="16"/>
      <c r="M67" s="16"/>
      <c r="N67" s="16"/>
      <c r="O67" s="1"/>
      <c r="P67" s="49"/>
    </row>
    <row r="68" ht="15" customHeight="1">
      <c r="A68" s="1"/>
      <c r="B68" s="50" t="s">
        <v>116</v>
      </c>
      <c r="C68" s="16">
        <f t="shared" si="33"/>
        <v>0.017857142857142794</v>
      </c>
      <c r="D68" s="16">
        <f t="shared" si="28"/>
        <v>0.2957393483709274</v>
      </c>
      <c r="E68" s="52" t="s">
        <v>15</v>
      </c>
      <c r="F68" s="16">
        <f t="shared" si="34"/>
        <v>-0.1876208897485493</v>
      </c>
      <c r="G68" s="16">
        <f t="shared" si="28"/>
        <v>0.05714285714285716</v>
      </c>
      <c r="H68" s="51">
        <f t="shared" si="28"/>
        <v>-0.02945945945945938</v>
      </c>
      <c r="I68" s="1"/>
      <c r="J68" s="16"/>
      <c r="K68" s="16"/>
      <c r="L68" s="16"/>
      <c r="M68" s="16"/>
      <c r="N68" s="16"/>
      <c r="O68" s="1"/>
      <c r="P68" s="49"/>
    </row>
    <row r="69" ht="15" customHeight="1">
      <c r="A69" s="1"/>
      <c r="B69" s="53" t="s">
        <v>118</v>
      </c>
      <c r="C69" s="15">
        <f t="shared" si="35"/>
        <v>7</v>
      </c>
      <c r="D69" s="15">
        <f t="shared" si="29"/>
        <v>118</v>
      </c>
      <c r="E69" s="21" t="s">
        <v>15</v>
      </c>
      <c r="F69" s="15">
        <f t="shared" si="36"/>
        <v>-97</v>
      </c>
      <c r="G69" s="15">
        <f t="shared" si="29"/>
        <v>24</v>
      </c>
      <c r="H69" s="54">
        <f t="shared" si="29"/>
        <v>-13.079999999999984</v>
      </c>
      <c r="I69" s="1"/>
      <c r="J69" s="15"/>
      <c r="K69" s="15"/>
      <c r="L69" s="15"/>
      <c r="M69" s="15"/>
      <c r="N69" s="15"/>
      <c r="O69" s="1"/>
      <c r="P69" s="49"/>
    </row>
    <row r="70" ht="15" customHeight="1">
      <c r="A70" s="1"/>
      <c r="B70" s="50" t="s">
        <v>119</v>
      </c>
      <c r="C70" s="57">
        <v>0</v>
      </c>
      <c r="D70" s="57">
        <v>0</v>
      </c>
      <c r="E70" s="57">
        <v>0</v>
      </c>
      <c r="F70" s="57">
        <v>0</v>
      </c>
      <c r="G70" s="57">
        <v>0</v>
      </c>
      <c r="H70" s="58">
        <v>0</v>
      </c>
      <c r="I70" s="1"/>
      <c r="J70" s="16"/>
      <c r="K70" s="16"/>
      <c r="L70" s="16"/>
      <c r="M70" s="16"/>
      <c r="N70" s="16"/>
      <c r="O70" s="1"/>
      <c r="P70" s="49"/>
    </row>
    <row r="71" ht="15" customHeight="1">
      <c r="A71" s="1"/>
      <c r="B71" s="50" t="s">
        <v>120</v>
      </c>
      <c r="C71" s="16">
        <f t="shared" si="37" ref="C71:H71">C53</f>
        <v>0.01719768478249195</v>
      </c>
      <c r="D71" s="16">
        <f t="shared" si="37"/>
        <v>0.09839441898071022</v>
      </c>
      <c r="E71" s="16">
        <f t="shared" si="37"/>
        <v>-0.04611300523124162</v>
      </c>
      <c r="F71" s="16">
        <f t="shared" si="37"/>
        <v>0.16318563897991178</v>
      </c>
      <c r="G71" s="16">
        <f t="shared" si="37"/>
        <v>0.12220604902970456</v>
      </c>
      <c r="H71" s="51">
        <f t="shared" si="37"/>
        <v>0.0789363920750783</v>
      </c>
      <c r="I71" s="1"/>
      <c r="J71" s="16"/>
      <c r="K71" s="16"/>
      <c r="L71" s="16"/>
      <c r="M71" s="16"/>
      <c r="N71" s="16"/>
      <c r="O71" s="1"/>
      <c r="P71" s="49"/>
    </row>
    <row r="72" ht="15" customHeight="1">
      <c r="A72" s="1"/>
      <c r="B72" s="50" t="s">
        <v>121</v>
      </c>
      <c r="C72" s="16">
        <f t="shared" si="31"/>
        <v>0.040461901849581317</v>
      </c>
      <c r="D72" s="16">
        <f t="shared" si="31"/>
        <v>0.14801713115609205</v>
      </c>
      <c r="E72" s="16">
        <f t="shared" si="31"/>
        <v>0.11537176286144013</v>
      </c>
      <c r="F72" s="16">
        <f t="shared" si="31"/>
        <v>0.014262247884622603</v>
      </c>
      <c r="G72" s="16">
        <f t="shared" si="31"/>
        <v>0.009309352951552885</v>
      </c>
      <c r="H72" s="51">
        <f t="shared" si="31"/>
        <v>0.0009857929834733437</v>
      </c>
      <c r="I72" s="1"/>
      <c r="J72" s="16"/>
      <c r="K72" s="16"/>
      <c r="L72" s="16"/>
      <c r="M72" s="16"/>
      <c r="N72" s="16"/>
      <c r="O72" s="1"/>
      <c r="P72" s="49"/>
    </row>
    <row r="73" ht="15" customHeight="1">
      <c r="A73" s="1"/>
      <c r="B73" s="50" t="s">
        <v>209</v>
      </c>
      <c r="C73" s="16">
        <f t="shared" si="38" ref="C73:H73">C66/C74</f>
        <v>0.3643835616438356</v>
      </c>
      <c r="D73" s="16">
        <f t="shared" si="38"/>
        <v>0.4106433677521843</v>
      </c>
      <c r="E73" s="16">
        <f t="shared" si="38"/>
        <v>0.37999543274720254</v>
      </c>
      <c r="F73" s="16">
        <f t="shared" si="38"/>
        <v>0.35805626598465473</v>
      </c>
      <c r="G73" s="16">
        <f t="shared" si="38"/>
        <v>0.3627450980392157</v>
      </c>
      <c r="H73" s="51">
        <f t="shared" si="38"/>
        <v>0.3539674716609167</v>
      </c>
      <c r="I73" s="1"/>
      <c r="J73" s="16"/>
      <c r="K73" s="16"/>
      <c r="L73" s="16"/>
      <c r="M73" s="16"/>
      <c r="N73" s="16"/>
      <c r="O73" s="1"/>
      <c r="P73" s="49"/>
    </row>
    <row r="74" ht="15" customHeight="1">
      <c r="A74" s="1"/>
      <c r="B74" s="72" t="s">
        <v>271</v>
      </c>
      <c r="C74" s="61">
        <f t="shared" si="39" ref="C74:N74">C58+C66</f>
        <v>1095</v>
      </c>
      <c r="D74" s="61">
        <f t="shared" si="39"/>
        <v>1259</v>
      </c>
      <c r="E74" s="61">
        <f t="shared" si="39"/>
        <v>4379</v>
      </c>
      <c r="F74" s="61">
        <f t="shared" si="39"/>
        <v>1173</v>
      </c>
      <c r="G74" s="61">
        <f t="shared" si="39"/>
        <v>1224</v>
      </c>
      <c r="H74" s="62">
        <f t="shared" si="39"/>
        <v>1217.4</v>
      </c>
      <c r="I74" s="1"/>
      <c r="J74" s="61">
        <f t="shared" si="39"/>
        <v>1022</v>
      </c>
      <c r="K74" s="61">
        <f t="shared" si="39"/>
        <v>1044</v>
      </c>
      <c r="L74" s="61">
        <f t="shared" si="39"/>
        <v>4232</v>
      </c>
      <c r="M74" s="61">
        <f t="shared" si="39"/>
        <v>971</v>
      </c>
      <c r="N74" s="61">
        <f t="shared" si="39"/>
        <v>1054</v>
      </c>
      <c r="O74" s="1"/>
      <c r="P74" s="49" t="s">
        <v>272</v>
      </c>
    </row>
    <row r="75" ht="15" customHeight="1">
      <c r="A75" s="1"/>
      <c r="B75" s="50" t="s">
        <v>115</v>
      </c>
      <c r="C75" s="16">
        <f t="shared" si="6"/>
        <v>0.0714285714285714</v>
      </c>
      <c r="D75" s="16">
        <f t="shared" si="6"/>
        <v>0.20593869731800774</v>
      </c>
      <c r="E75" s="16">
        <f t="shared" si="6"/>
        <v>0.03473534971644621</v>
      </c>
      <c r="F75" s="16">
        <f t="shared" si="6"/>
        <v>0.20803295571575697</v>
      </c>
      <c r="G75" s="16">
        <f t="shared" si="6"/>
        <v>0.16129032258064524</v>
      </c>
      <c r="H75" s="51">
        <f t="shared" si="17"/>
        <v>0.11178082191780825</v>
      </c>
      <c r="I75" s="1"/>
      <c r="J75" s="16"/>
      <c r="K75" s="16"/>
      <c r="L75" s="16"/>
      <c r="M75" s="16"/>
      <c r="N75" s="16"/>
      <c r="O75" s="1"/>
      <c r="P75" s="49"/>
    </row>
    <row r="76" ht="15" customHeight="1">
      <c r="A76" s="1"/>
      <c r="B76" s="50" t="s">
        <v>116</v>
      </c>
      <c r="C76" s="16">
        <f t="shared" si="33"/>
        <v>0.03889943074003788</v>
      </c>
      <c r="D76" s="16">
        <f t="shared" si="28"/>
        <v>0.1497716894977168</v>
      </c>
      <c r="E76" s="52" t="s">
        <v>15</v>
      </c>
      <c r="F76" s="16">
        <f t="shared" si="34"/>
        <v>-0.06830818109610803</v>
      </c>
      <c r="G76" s="16">
        <f t="shared" si="28"/>
        <v>0.04347826086956519</v>
      </c>
      <c r="H76" s="51">
        <f t="shared" si="28"/>
        <v>-0.005392156862745079</v>
      </c>
      <c r="I76" s="1"/>
      <c r="J76" s="16"/>
      <c r="K76" s="16"/>
      <c r="L76" s="16"/>
      <c r="M76" s="16"/>
      <c r="N76" s="16"/>
      <c r="O76" s="1"/>
      <c r="P76" s="49"/>
    </row>
    <row r="77" ht="15" customHeight="1">
      <c r="A77" s="1"/>
      <c r="B77" s="53" t="s">
        <v>118</v>
      </c>
      <c r="C77" s="15">
        <f t="shared" si="35"/>
        <v>41</v>
      </c>
      <c r="D77" s="15">
        <f t="shared" si="29"/>
        <v>164</v>
      </c>
      <c r="E77" s="21" t="s">
        <v>15</v>
      </c>
      <c r="F77" s="15">
        <f t="shared" si="36"/>
        <v>-86</v>
      </c>
      <c r="G77" s="15">
        <f t="shared" si="29"/>
        <v>51</v>
      </c>
      <c r="H77" s="54">
        <f t="shared" si="29"/>
        <v>-6.599999999999909</v>
      </c>
      <c r="I77" s="1"/>
      <c r="J77" s="15"/>
      <c r="K77" s="15"/>
      <c r="L77" s="15"/>
      <c r="M77" s="15"/>
      <c r="N77" s="15"/>
      <c r="O77" s="1"/>
      <c r="P77" s="49"/>
    </row>
    <row r="78" ht="15" customHeight="1">
      <c r="A78" s="1"/>
      <c r="B78" s="50" t="s">
        <v>119</v>
      </c>
      <c r="C78" s="57">
        <v>0</v>
      </c>
      <c r="D78" s="57">
        <v>0</v>
      </c>
      <c r="E78" s="57">
        <v>0</v>
      </c>
      <c r="F78" s="57">
        <v>0</v>
      </c>
      <c r="G78" s="57">
        <v>0</v>
      </c>
      <c r="H78" s="58">
        <v>0</v>
      </c>
      <c r="I78" s="1"/>
      <c r="J78" s="16"/>
      <c r="K78" s="16"/>
      <c r="L78" s="16"/>
      <c r="M78" s="16"/>
      <c r="N78" s="16"/>
      <c r="O78" s="1"/>
      <c r="P78" s="49"/>
    </row>
    <row r="79" ht="15" customHeight="1">
      <c r="A79" s="1"/>
      <c r="B79" s="50" t="s">
        <v>120</v>
      </c>
      <c r="C79" s="16">
        <f t="shared" si="40" ref="C79:H79">C53</f>
        <v>0.01719768478249195</v>
      </c>
      <c r="D79" s="16">
        <f t="shared" si="40"/>
        <v>0.09839441898071022</v>
      </c>
      <c r="E79" s="16">
        <f t="shared" si="40"/>
        <v>-0.04611300523124162</v>
      </c>
      <c r="F79" s="16">
        <f t="shared" si="40"/>
        <v>0.16318563897991178</v>
      </c>
      <c r="G79" s="16">
        <f t="shared" si="40"/>
        <v>0.12220604902970456</v>
      </c>
      <c r="H79" s="51">
        <f t="shared" si="40"/>
        <v>0.0789363920750783</v>
      </c>
      <c r="I79" s="1"/>
      <c r="J79" s="16"/>
      <c r="K79" s="16"/>
      <c r="L79" s="16"/>
      <c r="M79" s="16"/>
      <c r="N79" s="16"/>
      <c r="O79" s="1"/>
      <c r="P79" s="49"/>
    </row>
    <row r="80" ht="15" customHeight="1">
      <c r="A80" s="1"/>
      <c r="B80" s="50" t="s">
        <v>121</v>
      </c>
      <c r="C80" s="16">
        <f t="shared" si="31"/>
        <v>0.05331400912269646</v>
      </c>
      <c r="D80" s="16">
        <f t="shared" si="31"/>
        <v>0.09791043770697283</v>
      </c>
      <c r="E80" s="16">
        <f t="shared" si="31"/>
        <v>0.08475674308494696</v>
      </c>
      <c r="F80" s="16">
        <f t="shared" si="31"/>
        <v>0.0385555970027065</v>
      </c>
      <c r="G80" s="16">
        <f t="shared" si="31"/>
        <v>0.034828072424608836</v>
      </c>
      <c r="H80" s="51">
        <f t="shared" si="31"/>
        <v>0.030441488565939867</v>
      </c>
      <c r="I80" s="1"/>
      <c r="J80" s="16"/>
      <c r="K80" s="16"/>
      <c r="L80" s="16"/>
      <c r="M80" s="16"/>
      <c r="N80" s="16"/>
      <c r="O80" s="1"/>
      <c r="P80" s="49"/>
    </row>
    <row r="81" ht="15" customHeight="1">
      <c r="A81" s="1"/>
      <c r="B81" s="3" t="s">
        <v>273</v>
      </c>
      <c r="C81" s="1"/>
      <c r="D81" s="1"/>
      <c r="E81" s="1"/>
      <c r="F81" s="1"/>
      <c r="G81" s="1"/>
      <c r="H81" s="48"/>
      <c r="I81" s="1"/>
      <c r="J81" s="1"/>
      <c r="K81" s="1"/>
      <c r="L81" s="1"/>
      <c r="M81" s="1"/>
      <c r="N81" s="1"/>
      <c r="O81" s="1"/>
      <c r="P81" s="49"/>
    </row>
    <row r="82" ht="15" customHeight="1">
      <c r="A82" s="1"/>
      <c r="B82" s="63" t="s">
        <v>228</v>
      </c>
      <c r="C82" s="60">
        <v>896</v>
      </c>
      <c r="D82" s="60">
        <v>1036</v>
      </c>
      <c r="E82" s="15">
        <f t="shared" si="12"/>
        <v>3563</v>
      </c>
      <c r="F82" s="60">
        <v>953</v>
      </c>
      <c r="G82" s="60">
        <v>997</v>
      </c>
      <c r="H82" s="54">
        <f>H74-H85</f>
        <v>992.181</v>
      </c>
      <c r="I82" s="1"/>
      <c r="J82" s="60">
        <v>854</v>
      </c>
      <c r="K82" s="60">
        <v>873</v>
      </c>
      <c r="L82" s="60">
        <v>3535</v>
      </c>
      <c r="M82" s="60">
        <v>778</v>
      </c>
      <c r="N82" s="60">
        <v>853</v>
      </c>
      <c r="O82" s="1"/>
      <c r="P82" s="49"/>
    </row>
    <row r="83" ht="15" customHeight="1">
      <c r="A83" s="1"/>
      <c r="B83" s="50" t="s">
        <v>115</v>
      </c>
      <c r="C83" s="16">
        <f t="shared" si="6"/>
        <v>0.049180327868852514</v>
      </c>
      <c r="D83" s="16">
        <f t="shared" si="6"/>
        <v>0.18671248568155785</v>
      </c>
      <c r="E83" s="16">
        <f t="shared" si="6"/>
        <v>0.007920792079207928</v>
      </c>
      <c r="F83" s="16">
        <f t="shared" si="6"/>
        <v>0.22493573264781497</v>
      </c>
      <c r="G83" s="16">
        <f t="shared" si="6"/>
        <v>0.16881594372801878</v>
      </c>
      <c r="H83" s="51">
        <f t="shared" si="17"/>
        <v>0.10734486607142868</v>
      </c>
      <c r="I83" s="1"/>
      <c r="J83" s="16"/>
      <c r="K83" s="16"/>
      <c r="L83" s="16"/>
      <c r="M83" s="16"/>
      <c r="N83" s="16"/>
      <c r="O83" s="1"/>
      <c r="P83" s="49"/>
    </row>
    <row r="84" ht="15" customHeight="1">
      <c r="A84" s="1"/>
      <c r="B84" s="53" t="s">
        <v>118</v>
      </c>
      <c r="C84" s="15">
        <f t="shared" si="7"/>
        <v>43</v>
      </c>
      <c r="D84" s="15">
        <f t="shared" si="4"/>
        <v>140</v>
      </c>
      <c r="E84" s="21" t="s">
        <v>15</v>
      </c>
      <c r="F84" s="15">
        <f t="shared" si="8"/>
        <v>-83</v>
      </c>
      <c r="G84" s="15">
        <f t="shared" si="4"/>
        <v>44</v>
      </c>
      <c r="H84" s="54">
        <f t="shared" si="4"/>
        <v>-4.81899999999996</v>
      </c>
      <c r="I84" s="1"/>
      <c r="J84" s="15"/>
      <c r="K84" s="15"/>
      <c r="L84" s="15"/>
      <c r="M84" s="15"/>
      <c r="N84" s="15"/>
      <c r="O84" s="1"/>
      <c r="P84" s="49"/>
    </row>
    <row r="85" ht="15" customHeight="1">
      <c r="A85" s="1"/>
      <c r="B85" s="3" t="s">
        <v>229</v>
      </c>
      <c r="C85" s="61">
        <f t="shared" si="41" ref="C85:N85">C74-C82</f>
        <v>199</v>
      </c>
      <c r="D85" s="61">
        <f t="shared" si="41"/>
        <v>223</v>
      </c>
      <c r="E85" s="61">
        <f t="shared" si="41"/>
        <v>816</v>
      </c>
      <c r="F85" s="61">
        <f t="shared" si="41"/>
        <v>220</v>
      </c>
      <c r="G85" s="61">
        <f t="shared" si="41"/>
        <v>227</v>
      </c>
      <c r="H85" s="62">
        <f>H74*H88</f>
        <v>225.21900000000002</v>
      </c>
      <c r="I85" s="1"/>
      <c r="J85" s="61">
        <f t="shared" si="41"/>
        <v>168</v>
      </c>
      <c r="K85" s="61">
        <f t="shared" si="41"/>
        <v>171</v>
      </c>
      <c r="L85" s="61">
        <f t="shared" si="41"/>
        <v>697</v>
      </c>
      <c r="M85" s="61">
        <f t="shared" si="41"/>
        <v>193</v>
      </c>
      <c r="N85" s="61">
        <f t="shared" si="41"/>
        <v>201</v>
      </c>
      <c r="O85" s="1"/>
      <c r="P85" s="49"/>
    </row>
    <row r="86" ht="15" customHeight="1">
      <c r="A86" s="1"/>
      <c r="B86" s="50" t="s">
        <v>115</v>
      </c>
      <c r="C86" s="16">
        <f t="shared" si="6"/>
        <v>0.18452380952380953</v>
      </c>
      <c r="D86" s="16">
        <f t="shared" si="6"/>
        <v>0.30409356725146197</v>
      </c>
      <c r="E86" s="16">
        <f t="shared" si="6"/>
        <v>0.1707317073170731</v>
      </c>
      <c r="F86" s="16">
        <f t="shared" si="6"/>
        <v>0.13989637305699487</v>
      </c>
      <c r="G86" s="16">
        <f t="shared" si="6"/>
        <v>0.12935323383084585</v>
      </c>
      <c r="H86" s="51">
        <f t="shared" si="17"/>
        <v>0.1317537688442212</v>
      </c>
      <c r="I86" s="1"/>
      <c r="J86" s="16"/>
      <c r="K86" s="16"/>
      <c r="L86" s="16"/>
      <c r="M86" s="16"/>
      <c r="N86" s="16"/>
      <c r="O86" s="1"/>
      <c r="P86" s="49"/>
    </row>
    <row r="87" ht="15" customHeight="1">
      <c r="A87" s="1"/>
      <c r="B87" s="53" t="s">
        <v>118</v>
      </c>
      <c r="C87" s="15">
        <f t="shared" si="7"/>
        <v>-2</v>
      </c>
      <c r="D87" s="15">
        <f t="shared" si="4"/>
        <v>24</v>
      </c>
      <c r="E87" s="21" t="s">
        <v>15</v>
      </c>
      <c r="F87" s="15">
        <f t="shared" si="8"/>
        <v>-3</v>
      </c>
      <c r="G87" s="15">
        <f t="shared" si="4"/>
        <v>7</v>
      </c>
      <c r="H87" s="54">
        <f t="shared" si="4"/>
        <v>-1.7809999999999775</v>
      </c>
      <c r="I87" s="1"/>
      <c r="J87" s="15"/>
      <c r="K87" s="15"/>
      <c r="L87" s="15"/>
      <c r="M87" s="15"/>
      <c r="N87" s="15"/>
      <c r="O87" s="1"/>
      <c r="P87" s="49"/>
    </row>
    <row r="88" ht="15" customHeight="1">
      <c r="A88" s="1"/>
      <c r="B88" s="84" t="s">
        <v>230</v>
      </c>
      <c r="C88" s="16">
        <f t="shared" si="42" ref="C88:N88">C85/C74</f>
        <v>0.1817351598173516</v>
      </c>
      <c r="D88" s="16">
        <f t="shared" si="42"/>
        <v>0.17712470214455917</v>
      </c>
      <c r="E88" s="16">
        <f t="shared" si="42"/>
        <v>0.1863439141356474</v>
      </c>
      <c r="F88" s="16">
        <f t="shared" si="42"/>
        <v>0.1875532821824382</v>
      </c>
      <c r="G88" s="16">
        <f t="shared" si="42"/>
        <v>0.1854575163398693</v>
      </c>
      <c r="H88" s="58">
        <v>0.185</v>
      </c>
      <c r="I88" s="1"/>
      <c r="J88" s="16">
        <f t="shared" si="42"/>
        <v>0.1643835616438356</v>
      </c>
      <c r="K88" s="16">
        <f t="shared" si="42"/>
        <v>0.16379310344827586</v>
      </c>
      <c r="L88" s="16">
        <f t="shared" si="42"/>
        <v>0.16469754253308128</v>
      </c>
      <c r="M88" s="16">
        <f t="shared" si="42"/>
        <v>0.19876416065911431</v>
      </c>
      <c r="N88" s="16">
        <f t="shared" si="42"/>
        <v>0.19070208728652752</v>
      </c>
      <c r="O88" s="1"/>
      <c r="P88" s="49"/>
    </row>
    <row r="89" ht="15" customHeight="1">
      <c r="A89" s="1"/>
      <c r="B89" s="50" t="s">
        <v>149</v>
      </c>
      <c r="C89" s="77">
        <f t="shared" si="21"/>
        <v>173.51598173516004</v>
      </c>
      <c r="D89" s="77">
        <f t="shared" si="21"/>
        <v>133.31598696283308</v>
      </c>
      <c r="E89" s="77">
        <f t="shared" si="21"/>
        <v>216.46371602566134</v>
      </c>
      <c r="F89" s="77">
        <f t="shared" si="21"/>
        <v>-112.10878476676123</v>
      </c>
      <c r="G89" s="77">
        <f t="shared" si="21"/>
        <v>-52.44570946658228</v>
      </c>
      <c r="H89" s="78">
        <f t="shared" si="43"/>
        <v>32.64840182648388</v>
      </c>
      <c r="I89" s="1"/>
      <c r="J89" s="77"/>
      <c r="K89" s="77"/>
      <c r="L89" s="77"/>
      <c r="M89" s="77"/>
      <c r="N89" s="77"/>
      <c r="O89" s="1"/>
      <c r="P89" s="49"/>
    </row>
    <row r="90" ht="15" customHeight="1">
      <c r="A90" s="1"/>
      <c r="B90" s="50" t="s">
        <v>150</v>
      </c>
      <c r="C90" s="77">
        <f t="shared" si="44"/>
        <v>-89.66927469175906</v>
      </c>
      <c r="D90" s="77">
        <f t="shared" si="22"/>
        <v>-46.10457672792445</v>
      </c>
      <c r="E90" s="79" t="s">
        <v>15</v>
      </c>
      <c r="F90" s="77">
        <f t="shared" si="45"/>
        <v>104.28580037879026</v>
      </c>
      <c r="G90" s="77">
        <f t="shared" si="22"/>
        <v>-20.95765842568903</v>
      </c>
      <c r="H90" s="78">
        <f t="shared" si="22"/>
        <v>-4.575163398692905</v>
      </c>
      <c r="I90" s="1"/>
      <c r="J90" s="77"/>
      <c r="K90" s="77"/>
      <c r="L90" s="77"/>
      <c r="M90" s="77"/>
      <c r="N90" s="77"/>
      <c r="O90" s="1"/>
      <c r="P90" s="49"/>
    </row>
    <row r="91" ht="15" customHeight="1">
      <c r="A91" s="1"/>
      <c r="B91" s="63" t="s">
        <v>231</v>
      </c>
      <c r="C91" s="60">
        <v>177</v>
      </c>
      <c r="D91" s="60">
        <v>189</v>
      </c>
      <c r="E91" s="15">
        <f t="shared" si="12"/>
        <v>671</v>
      </c>
      <c r="F91" s="60">
        <v>200</v>
      </c>
      <c r="G91" s="60">
        <v>189</v>
      </c>
      <c r="H91" s="85">
        <v>190</v>
      </c>
      <c r="I91" s="1"/>
      <c r="J91" s="60">
        <v>158</v>
      </c>
      <c r="K91" s="60">
        <v>150</v>
      </c>
      <c r="L91" s="60">
        <v>657</v>
      </c>
      <c r="M91" s="60">
        <v>150</v>
      </c>
      <c r="N91" s="60">
        <v>155</v>
      </c>
      <c r="O91" s="1"/>
      <c r="P91" s="49"/>
    </row>
    <row r="92" ht="15" customHeight="1">
      <c r="A92" s="1"/>
      <c r="B92" s="50" t="s">
        <v>115</v>
      </c>
      <c r="C92" s="16">
        <f t="shared" si="6"/>
        <v>0.120253164556962</v>
      </c>
      <c r="D92" s="16">
        <f t="shared" si="6"/>
        <v>0.26</v>
      </c>
      <c r="E92" s="16">
        <f t="shared" si="6"/>
        <v>0.021308980213089912</v>
      </c>
      <c r="F92" s="16">
        <f t="shared" si="6"/>
        <v>0.33333333333333326</v>
      </c>
      <c r="G92" s="16">
        <f t="shared" si="6"/>
        <v>0.2193548387096773</v>
      </c>
      <c r="H92" s="51">
        <f t="shared" si="17"/>
        <v>0.07344632768361592</v>
      </c>
      <c r="I92" s="1"/>
      <c r="J92" s="16"/>
      <c r="K92" s="16"/>
      <c r="L92" s="16"/>
      <c r="M92" s="16"/>
      <c r="N92" s="16"/>
      <c r="O92" s="1"/>
      <c r="P92" s="49"/>
    </row>
    <row r="93" ht="15" customHeight="1">
      <c r="A93" s="1"/>
      <c r="B93" s="53" t="s">
        <v>118</v>
      </c>
      <c r="C93" s="15">
        <f t="shared" si="7"/>
        <v>22</v>
      </c>
      <c r="D93" s="15">
        <f t="shared" si="4"/>
        <v>12</v>
      </c>
      <c r="E93" s="21" t="s">
        <v>15</v>
      </c>
      <c r="F93" s="15">
        <f t="shared" si="8"/>
        <v>11</v>
      </c>
      <c r="G93" s="15">
        <f t="shared" si="4"/>
        <v>-11</v>
      </c>
      <c r="H93" s="54">
        <f t="shared" si="4"/>
        <v>1</v>
      </c>
      <c r="I93" s="1"/>
      <c r="J93" s="15"/>
      <c r="K93" s="15"/>
      <c r="L93" s="15"/>
      <c r="M93" s="15"/>
      <c r="N93" s="15"/>
      <c r="O93" s="1"/>
      <c r="P93" s="49"/>
    </row>
    <row r="94" ht="15" customHeight="1">
      <c r="A94" s="1"/>
      <c r="B94" s="3" t="s">
        <v>232</v>
      </c>
      <c r="C94" s="61">
        <f t="shared" si="46" ref="C94:N94">C85-C91</f>
        <v>22</v>
      </c>
      <c r="D94" s="61">
        <f t="shared" si="46"/>
        <v>34</v>
      </c>
      <c r="E94" s="61">
        <f t="shared" si="46"/>
        <v>145</v>
      </c>
      <c r="F94" s="61">
        <f t="shared" si="46"/>
        <v>20</v>
      </c>
      <c r="G94" s="61">
        <f t="shared" si="46"/>
        <v>38</v>
      </c>
      <c r="H94" s="62">
        <f t="shared" si="46"/>
        <v>35.21900000000002</v>
      </c>
      <c r="I94" s="1"/>
      <c r="J94" s="61">
        <f t="shared" si="46"/>
        <v>10</v>
      </c>
      <c r="K94" s="61">
        <f t="shared" si="46"/>
        <v>21</v>
      </c>
      <c r="L94" s="61">
        <f t="shared" si="46"/>
        <v>40</v>
      </c>
      <c r="M94" s="61">
        <f t="shared" si="46"/>
        <v>43</v>
      </c>
      <c r="N94" s="61">
        <f t="shared" si="46"/>
        <v>46</v>
      </c>
      <c r="O94" s="1"/>
      <c r="P94" s="49"/>
    </row>
    <row r="95" ht="15" customHeight="1">
      <c r="A95" s="1"/>
      <c r="B95" s="50" t="s">
        <v>115</v>
      </c>
      <c r="C95" s="16">
        <f t="shared" si="6"/>
        <v>1.2000000000000002</v>
      </c>
      <c r="D95" s="16">
        <f t="shared" si="6"/>
        <v>0.6190476190476191</v>
      </c>
      <c r="E95" s="16">
        <f t="shared" si="6"/>
        <v>2.625</v>
      </c>
      <c r="F95" s="16">
        <f t="shared" si="6"/>
        <v>-0.5348837209302326</v>
      </c>
      <c r="G95" s="16">
        <f t="shared" si="6"/>
        <v>-0.17391304347826086</v>
      </c>
      <c r="H95" s="51">
        <f t="shared" si="17"/>
        <v>0.6008636363636375</v>
      </c>
      <c r="I95" s="1"/>
      <c r="J95" s="16"/>
      <c r="K95" s="16"/>
      <c r="L95" s="16"/>
      <c r="M95" s="16"/>
      <c r="N95" s="16"/>
      <c r="O95" s="1"/>
      <c r="P95" s="49"/>
    </row>
    <row r="96" ht="15" customHeight="1">
      <c r="A96" s="1"/>
      <c r="B96" s="53" t="s">
        <v>118</v>
      </c>
      <c r="C96" s="15">
        <f t="shared" si="7"/>
        <v>-24</v>
      </c>
      <c r="D96" s="15">
        <f t="shared" si="4"/>
        <v>12</v>
      </c>
      <c r="E96" s="21" t="s">
        <v>15</v>
      </c>
      <c r="F96" s="15">
        <f t="shared" si="8"/>
        <v>-14</v>
      </c>
      <c r="G96" s="15">
        <f t="shared" si="4"/>
        <v>18</v>
      </c>
      <c r="H96" s="54">
        <f t="shared" si="4"/>
        <v>-2.7809999999999775</v>
      </c>
      <c r="I96" s="1"/>
      <c r="J96" s="15"/>
      <c r="K96" s="15"/>
      <c r="L96" s="15"/>
      <c r="M96" s="15"/>
      <c r="N96" s="15"/>
      <c r="O96" s="1"/>
      <c r="P96" s="49"/>
    </row>
    <row r="97" ht="15" customHeight="1">
      <c r="A97" s="1"/>
      <c r="B97" s="84" t="s">
        <v>233</v>
      </c>
      <c r="C97" s="16">
        <f t="shared" si="47" ref="C97:N97">C94/C74</f>
        <v>0.02009132420091324</v>
      </c>
      <c r="D97" s="16">
        <f t="shared" si="47"/>
        <v>0.027005559968228753</v>
      </c>
      <c r="E97" s="16">
        <f t="shared" si="47"/>
        <v>0.033112582781456956</v>
      </c>
      <c r="F97" s="16">
        <f t="shared" si="47"/>
        <v>0.017050298380221655</v>
      </c>
      <c r="G97" s="16">
        <f t="shared" si="47"/>
        <v>0.03104575163398693</v>
      </c>
      <c r="H97" s="51">
        <f t="shared" si="47"/>
        <v>0.028929686216527042</v>
      </c>
      <c r="I97" s="1"/>
      <c r="J97" s="16">
        <f t="shared" si="47"/>
        <v>0.009784735812133072</v>
      </c>
      <c r="K97" s="16">
        <f t="shared" si="47"/>
        <v>0.020114942528735632</v>
      </c>
      <c r="L97" s="16">
        <f t="shared" si="47"/>
        <v>0.00945179584120983</v>
      </c>
      <c r="M97" s="16">
        <f t="shared" si="47"/>
        <v>0.044284243048403706</v>
      </c>
      <c r="N97" s="16">
        <f t="shared" si="47"/>
        <v>0.04364326375711575</v>
      </c>
      <c r="O97" s="1"/>
      <c r="P97" s="49"/>
    </row>
    <row r="98" ht="15" customHeight="1">
      <c r="A98" s="1"/>
      <c r="B98" s="50" t="s">
        <v>149</v>
      </c>
      <c r="C98" s="77">
        <f t="shared" si="21"/>
        <v>103.0658838878017</v>
      </c>
      <c r="D98" s="77">
        <f t="shared" si="21"/>
        <v>68.90617439493121</v>
      </c>
      <c r="E98" s="77">
        <f t="shared" si="21"/>
        <v>236.60786940247127</v>
      </c>
      <c r="F98" s="77">
        <f t="shared" si="21"/>
        <v>-272.3394466818205</v>
      </c>
      <c r="G98" s="77">
        <f t="shared" si="21"/>
        <v>-125.97512123128818</v>
      </c>
      <c r="H98" s="78">
        <f t="shared" si="43"/>
        <v>88.38362015613801</v>
      </c>
      <c r="I98" s="1"/>
      <c r="J98" s="77"/>
      <c r="K98" s="77"/>
      <c r="L98" s="77"/>
      <c r="M98" s="77"/>
      <c r="N98" s="77"/>
      <c r="O98" s="1"/>
      <c r="P98" s="49"/>
    </row>
    <row r="99" ht="15" customHeight="1">
      <c r="A99" s="1"/>
      <c r="B99" s="50" t="s">
        <v>150</v>
      </c>
      <c r="C99" s="77">
        <f t="shared" si="44"/>
        <v>-235.51939556202504</v>
      </c>
      <c r="D99" s="77">
        <f t="shared" si="22"/>
        <v>69.1423576731551</v>
      </c>
      <c r="E99" s="79" t="s">
        <v>15</v>
      </c>
      <c r="F99" s="77">
        <f t="shared" si="45"/>
        <v>-99.55261588007097</v>
      </c>
      <c r="G99" s="77">
        <f t="shared" si="22"/>
        <v>139.95453253765274</v>
      </c>
      <c r="H99" s="78">
        <f t="shared" si="22"/>
        <v>-21.160654174598864</v>
      </c>
      <c r="I99" s="1"/>
      <c r="J99" s="77"/>
      <c r="K99" s="77"/>
      <c r="L99" s="77"/>
      <c r="M99" s="77"/>
      <c r="N99" s="77"/>
      <c r="O99" s="1"/>
      <c r="P99"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66D4D-D2F8-3B13-1F25-631C947A54E8}"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274</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275</v>
      </c>
      <c r="C8" s="1"/>
      <c r="D8" s="1"/>
      <c r="E8" s="1"/>
      <c r="F8" s="1"/>
      <c r="G8" s="1"/>
      <c r="H8" s="48"/>
      <c r="I8" s="1"/>
      <c r="J8" s="1"/>
      <c r="K8" s="1"/>
      <c r="L8" s="1"/>
      <c r="M8" s="1"/>
      <c r="N8" s="1"/>
      <c r="O8" s="1"/>
      <c r="P8" s="49"/>
    </row>
    <row r="9" ht="15" customHeight="1">
      <c r="A9" s="1"/>
      <c r="B9" s="63" t="s">
        <v>130</v>
      </c>
      <c r="C9" s="14">
        <f>'Revenue summary'!C51</f>
        <v>25336</v>
      </c>
      <c r="D9" s="14">
        <f>'Revenue summary'!D51</f>
        <v>25392</v>
      </c>
      <c r="E9" s="14">
        <f>'Revenue summary'!E51</f>
        <v>101158</v>
      </c>
      <c r="F9" s="14">
        <f>'Revenue summary'!F51</f>
        <v>25478</v>
      </c>
      <c r="G9" s="14">
        <f>'Revenue summary'!G51</f>
        <v>25977</v>
      </c>
      <c r="H9" s="13">
        <f>'Revenue summary'!H51</f>
        <v>26070.20115</v>
      </c>
      <c r="I9" s="1"/>
      <c r="J9" s="14">
        <f>'Revenue summary'!J51</f>
        <v>25134</v>
      </c>
      <c r="K9" s="14">
        <f>'Revenue summary'!K51</f>
        <v>25153</v>
      </c>
      <c r="L9" s="14">
        <f>'Revenue summary'!L51</f>
        <v>100135</v>
      </c>
      <c r="M9" s="14">
        <f>'Revenue summary'!M51</f>
        <v>25138</v>
      </c>
      <c r="N9" s="14">
        <f>'Revenue summary'!N51</f>
        <v>25292</v>
      </c>
      <c r="O9" s="1"/>
      <c r="P9" s="49"/>
    </row>
    <row r="10" ht="15" customHeight="1">
      <c r="A10" s="1"/>
      <c r="B10" s="63" t="s">
        <v>131</v>
      </c>
      <c r="C10" s="14">
        <f>'Revenue summary'!C59</f>
        <v>5373</v>
      </c>
      <c r="D10" s="14">
        <f>'Revenue summary'!D59</f>
        <v>8074</v>
      </c>
      <c r="E10" s="14">
        <f>'Revenue summary'!E59</f>
        <v>24490</v>
      </c>
      <c r="F10" s="14">
        <f>'Revenue summary'!F59</f>
        <v>6028</v>
      </c>
      <c r="G10" s="14">
        <f>'Revenue summary'!G59</f>
        <v>5581</v>
      </c>
      <c r="H10" s="13">
        <f>'Revenue summary'!H59</f>
        <v>5466.525</v>
      </c>
      <c r="I10" s="1"/>
      <c r="J10" s="14">
        <f>'Revenue summary'!J59</f>
        <v>5079</v>
      </c>
      <c r="K10" s="14">
        <f>'Revenue summary'!K59</f>
        <v>7145</v>
      </c>
      <c r="L10" s="14">
        <f>'Revenue summary'!L59</f>
        <v>22201</v>
      </c>
      <c r="M10" s="14">
        <f>'Revenue summary'!M59</f>
        <v>5488</v>
      </c>
      <c r="N10" s="14">
        <f>'Revenue summary'!N59</f>
        <v>5555</v>
      </c>
      <c r="O10" s="1"/>
      <c r="P10" s="49"/>
    </row>
    <row r="11" ht="15" customHeight="1">
      <c r="A11" s="1"/>
      <c r="B11" s="3" t="s">
        <v>14</v>
      </c>
      <c r="C11" s="61">
        <f t="shared" si="2" ref="C11:N114">C9+C10</f>
        <v>30709</v>
      </c>
      <c r="D11" s="61">
        <f t="shared" si="2"/>
        <v>33466</v>
      </c>
      <c r="E11" s="61">
        <f t="shared" si="2"/>
        <v>125648</v>
      </c>
      <c r="F11" s="61">
        <f t="shared" si="2"/>
        <v>31506</v>
      </c>
      <c r="G11" s="61">
        <f t="shared" si="2"/>
        <v>31558</v>
      </c>
      <c r="H11" s="62">
        <f t="shared" si="2"/>
        <v>31536.726150000002</v>
      </c>
      <c r="I11" s="1"/>
      <c r="J11" s="61">
        <f t="shared" si="2"/>
        <v>30213</v>
      </c>
      <c r="K11" s="61">
        <f t="shared" si="2"/>
        <v>32298</v>
      </c>
      <c r="L11" s="61">
        <f t="shared" si="2"/>
        <v>122336</v>
      </c>
      <c r="M11" s="61">
        <f t="shared" si="2"/>
        <v>30626</v>
      </c>
      <c r="N11" s="61">
        <f t="shared" si="2"/>
        <v>30847</v>
      </c>
      <c r="O11" s="1"/>
      <c r="P11" s="49"/>
    </row>
    <row r="12" ht="15" customHeight="1">
      <c r="A12" s="1"/>
      <c r="B12" s="50" t="s">
        <v>115</v>
      </c>
      <c r="C12" s="16">
        <f t="shared" si="3" ref="C12:G156">IF(AND(ISNUMBER(C11),ISNUMBER(J11)),IF(J11&lt;&gt;0,C11/J11-1,"n/a"),"n/a")</f>
        <v>0.016416774236255982</v>
      </c>
      <c r="D12" s="16">
        <f t="shared" si="3"/>
        <v>0.036163229921357454</v>
      </c>
      <c r="E12" s="16">
        <f t="shared" si="3"/>
        <v>0.027072979335600378</v>
      </c>
      <c r="F12" s="16">
        <f t="shared" si="3"/>
        <v>0.02873375563246916</v>
      </c>
      <c r="G12" s="16">
        <f t="shared" si="3"/>
        <v>0.02304924303822098</v>
      </c>
      <c r="H12" s="51">
        <f t="shared" si="5" ref="H12:H156">IF(AND(ISNUMBER(H11),ISNUMBER(C11)),IF(C11&lt;&gt;0,H11/C11-1,"n/a"),"n/a")</f>
        <v>0.026953862059982514</v>
      </c>
      <c r="I12" s="1"/>
      <c r="J12" s="16"/>
      <c r="K12" s="16"/>
      <c r="L12" s="16"/>
      <c r="M12" s="16"/>
      <c r="N12" s="16"/>
      <c r="O12" s="1"/>
      <c r="P12" s="49"/>
    </row>
    <row r="13" ht="15" customHeight="1">
      <c r="A13" s="1"/>
      <c r="B13" s="50" t="s">
        <v>116</v>
      </c>
      <c r="C13" s="16">
        <f t="shared" si="6" ref="C13:C157">IF(AND(ISNUMBER(C11),ISNUMBER(N11)),IF(N11&lt;&gt;0,C11/N11-1,"n/a"),"n/a")</f>
        <v>-0.004473692741595592</v>
      </c>
      <c r="D13" s="16">
        <f t="shared" si="4" ref="D13:H157">IF(AND(ISNUMBER(D11),ISNUMBER(C11)),IF(C11&lt;&gt;0,D11/C11-1,"n/a"),"n/a")</f>
        <v>0.0897782409065746</v>
      </c>
      <c r="E13" s="52" t="s">
        <v>15</v>
      </c>
      <c r="F13" s="16">
        <f t="shared" si="7" ref="F13:F157">IF(AND(ISNUMBER(F11),ISNUMBER(D11)),IF(D11&lt;&gt;0,F11/D11-1,"n/a"),"n/a")</f>
        <v>-0.05856690372318174</v>
      </c>
      <c r="G13" s="16">
        <f t="shared" si="4"/>
        <v>0.0016504792737890295</v>
      </c>
      <c r="H13" s="51">
        <f t="shared" si="4"/>
        <v>-0.0006741190823245091</v>
      </c>
      <c r="I13" s="1"/>
      <c r="J13" s="16"/>
      <c r="K13" s="16"/>
      <c r="L13" s="16"/>
      <c r="M13" s="16"/>
      <c r="N13" s="16"/>
      <c r="O13" s="1"/>
      <c r="P13" s="49"/>
    </row>
    <row r="14" ht="15" customHeight="1">
      <c r="A14" s="1"/>
      <c r="B14" s="3" t="s">
        <v>276</v>
      </c>
      <c r="C14" s="1"/>
      <c r="D14" s="1"/>
      <c r="E14" s="1"/>
      <c r="F14" s="1"/>
      <c r="G14" s="1"/>
      <c r="H14" s="48"/>
      <c r="I14" s="1"/>
      <c r="J14" s="1"/>
      <c r="K14" s="1"/>
      <c r="L14" s="1"/>
      <c r="M14" s="1"/>
      <c r="N14" s="1"/>
      <c r="O14" s="1"/>
      <c r="P14" s="49"/>
    </row>
    <row r="15" ht="15" customHeight="1">
      <c r="A15" s="1"/>
      <c r="B15" s="63" t="s">
        <v>277</v>
      </c>
      <c r="C15" s="60">
        <v>5468</v>
      </c>
      <c r="D15" s="60">
        <v>8496</v>
      </c>
      <c r="E15" s="15">
        <f t="shared" si="11" ref="E15:E113">M15+N15+C15+D15</f>
        <v>25396</v>
      </c>
      <c r="F15" s="60">
        <v>6305</v>
      </c>
      <c r="G15" s="60">
        <v>5741</v>
      </c>
      <c r="H15" s="54">
        <f>H10*H18</f>
        <v>5603.188124999999</v>
      </c>
      <c r="I15" s="1"/>
      <c r="J15" s="60">
        <v>4933</v>
      </c>
      <c r="K15" s="60">
        <v>7358</v>
      </c>
      <c r="L15" s="60">
        <v>22249</v>
      </c>
      <c r="M15" s="60">
        <v>5694</v>
      </c>
      <c r="N15" s="60">
        <v>5738</v>
      </c>
      <c r="O15" s="1"/>
      <c r="P15" s="49"/>
    </row>
    <row r="16" ht="15" customHeight="1">
      <c r="A16" s="1"/>
      <c r="B16" s="50" t="s">
        <v>115</v>
      </c>
      <c r="C16" s="16">
        <f t="shared" si="3"/>
        <v>0.10845327386985604</v>
      </c>
      <c r="D16" s="16">
        <f t="shared" si="3"/>
        <v>0.15466159282413705</v>
      </c>
      <c r="E16" s="16">
        <f t="shared" si="3"/>
        <v>0.14144455930603628</v>
      </c>
      <c r="F16" s="16">
        <f t="shared" si="3"/>
        <v>0.10730593607305927</v>
      </c>
      <c r="G16" s="16">
        <f t="shared" si="3"/>
        <v>0.0005228302544439956</v>
      </c>
      <c r="H16" s="51">
        <f t="shared" si="5"/>
        <v>0.02472350493781983</v>
      </c>
      <c r="I16" s="1"/>
      <c r="J16" s="16"/>
      <c r="K16" s="16"/>
      <c r="L16" s="16"/>
      <c r="M16" s="16"/>
      <c r="N16" s="16"/>
      <c r="O16" s="1"/>
      <c r="P16" s="49"/>
    </row>
    <row r="17" ht="15" customHeight="1">
      <c r="A17" s="1"/>
      <c r="B17" s="50" t="s">
        <v>116</v>
      </c>
      <c r="C17" s="16">
        <f t="shared" si="6"/>
        <v>-0.04705472289996515</v>
      </c>
      <c r="D17" s="16">
        <f t="shared" si="4"/>
        <v>0.5537673738112656</v>
      </c>
      <c r="E17" s="52" t="s">
        <v>15</v>
      </c>
      <c r="F17" s="16">
        <f t="shared" si="7"/>
        <v>-0.2578860640301318</v>
      </c>
      <c r="G17" s="16">
        <f t="shared" si="4"/>
        <v>-0.08945281522601112</v>
      </c>
      <c r="H17" s="51">
        <f t="shared" si="4"/>
        <v>-0.024004855425884153</v>
      </c>
      <c r="I17" s="1"/>
      <c r="J17" s="16"/>
      <c r="K17" s="16"/>
      <c r="L17" s="16"/>
      <c r="M17" s="16"/>
      <c r="N17" s="16"/>
      <c r="O17" s="1"/>
      <c r="P17" s="49"/>
    </row>
    <row r="18" ht="15" customHeight="1">
      <c r="A18" s="1"/>
      <c r="B18" s="66" t="s">
        <v>278</v>
      </c>
      <c r="C18" s="16">
        <f t="shared" si="8" ref="C18:N18">C15/C10</f>
        <v>1.017680997580495</v>
      </c>
      <c r="D18" s="16">
        <f t="shared" si="8"/>
        <v>1.0522665345553628</v>
      </c>
      <c r="E18" s="16">
        <f t="shared" si="8"/>
        <v>1.0369946917109023</v>
      </c>
      <c r="F18" s="16">
        <f t="shared" si="8"/>
        <v>1.0459522229595222</v>
      </c>
      <c r="G18" s="16">
        <f t="shared" si="8"/>
        <v>1.0286686973660635</v>
      </c>
      <c r="H18" s="58">
        <v>1.025</v>
      </c>
      <c r="I18" s="1"/>
      <c r="J18" s="16">
        <f t="shared" si="8"/>
        <v>0.9712541838944674</v>
      </c>
      <c r="K18" s="16">
        <f t="shared" si="8"/>
        <v>1.029811056682995</v>
      </c>
      <c r="L18" s="16">
        <f t="shared" si="8"/>
        <v>1.0021620647718572</v>
      </c>
      <c r="M18" s="16">
        <f t="shared" si="8"/>
        <v>1.037536443148688</v>
      </c>
      <c r="N18" s="16">
        <f t="shared" si="8"/>
        <v>1.032943294329433</v>
      </c>
      <c r="O18" s="1"/>
      <c r="P18" s="49" t="s">
        <v>279</v>
      </c>
    </row>
    <row r="19" ht="15" customHeight="1">
      <c r="A19" s="1"/>
      <c r="B19" s="50" t="s">
        <v>149</v>
      </c>
      <c r="C19" s="77">
        <f t="shared" si="9" ref="C19:G123">IF(AND(ISNUMBER(C18),ISNUMBER(J18)),(C18-J18)*10000,"n/a")</f>
        <v>464.26813686027634</v>
      </c>
      <c r="D19" s="77">
        <f t="shared" si="9"/>
        <v>224.5547787236779</v>
      </c>
      <c r="E19" s="77">
        <f t="shared" si="9"/>
        <v>348.326269390451</v>
      </c>
      <c r="F19" s="77">
        <f t="shared" si="9"/>
        <v>84.1577981083419</v>
      </c>
      <c r="G19" s="77">
        <f t="shared" si="9"/>
        <v>-42.74596963369515</v>
      </c>
      <c r="H19" s="78">
        <f t="shared" si="16" ref="H19:H123">IF(AND(ISNUMBER(H18),ISNUMBER(C18)),(H18-C18)*10000,"n/a")</f>
        <v>73.19002419504895</v>
      </c>
      <c r="I19" s="1"/>
      <c r="J19" s="77"/>
      <c r="K19" s="77"/>
      <c r="L19" s="77"/>
      <c r="M19" s="77"/>
      <c r="N19" s="77"/>
      <c r="O19" s="1"/>
      <c r="P19" s="49"/>
    </row>
    <row r="20" ht="15" customHeight="1">
      <c r="A20" s="1"/>
      <c r="B20" s="50" t="s">
        <v>150</v>
      </c>
      <c r="C20" s="77">
        <f t="shared" si="17" ref="C20:C124">IF(AND(ISNUMBER(C18),ISNUMBER(N18)),(C18-N18)*10000,"n/a")</f>
        <v>-152.62296748937976</v>
      </c>
      <c r="D20" s="77">
        <f t="shared" si="10" ref="D20:H124">IF(AND(ISNUMBER(D18),ISNUMBER(C18)),(D18-C18)*10000,"n/a")</f>
        <v>345.8553697486777</v>
      </c>
      <c r="E20" s="79" t="s">
        <v>15</v>
      </c>
      <c r="F20" s="77">
        <f t="shared" si="18" ref="F20:F124">IF(AND(ISNUMBER(F18),ISNUMBER(D18)),(F18-D18)*10000,"n/a")</f>
        <v>-63.143115958406156</v>
      </c>
      <c r="G20" s="77">
        <f t="shared" si="10"/>
        <v>-172.83525593458694</v>
      </c>
      <c r="H20" s="78">
        <f t="shared" si="10"/>
        <v>-36.68697366063567</v>
      </c>
      <c r="I20" s="1"/>
      <c r="J20" s="77"/>
      <c r="K20" s="77"/>
      <c r="L20" s="77"/>
      <c r="M20" s="77"/>
      <c r="N20" s="77"/>
      <c r="O20" s="1"/>
      <c r="P20" s="49"/>
    </row>
    <row r="21" ht="15" customHeight="1">
      <c r="A21" s="1"/>
      <c r="B21" s="65" t="s">
        <v>280</v>
      </c>
      <c r="C21" s="60">
        <v>6351</v>
      </c>
      <c r="D21" s="60">
        <v>6322</v>
      </c>
      <c r="E21" s="15">
        <f t="shared" si="11"/>
        <v>25424</v>
      </c>
      <c r="F21" s="60">
        <v>6261</v>
      </c>
      <c r="G21" s="60">
        <v>6306</v>
      </c>
      <c r="H21" s="54">
        <f>C21*(1+H22)</f>
        <v>6255.735</v>
      </c>
      <c r="I21" s="1"/>
      <c r="J21" s="60">
        <v>6697</v>
      </c>
      <c r="K21" s="60">
        <v>6837</v>
      </c>
      <c r="L21" s="60">
        <v>26972</v>
      </c>
      <c r="M21" s="60">
        <v>6339</v>
      </c>
      <c r="N21" s="60">
        <v>6412</v>
      </c>
      <c r="O21" s="1"/>
      <c r="P21" s="49"/>
    </row>
    <row r="22" ht="15" customHeight="1">
      <c r="A22" s="1"/>
      <c r="B22" s="50" t="s">
        <v>115</v>
      </c>
      <c r="C22" s="16">
        <f t="shared" si="3"/>
        <v>-0.05166492459310135</v>
      </c>
      <c r="D22" s="16">
        <f t="shared" si="3"/>
        <v>-0.075325435132368</v>
      </c>
      <c r="E22" s="16">
        <f t="shared" si="3"/>
        <v>-0.05739285184635923</v>
      </c>
      <c r="F22" s="16">
        <f t="shared" si="3"/>
        <v>-0.01230477993374346</v>
      </c>
      <c r="G22" s="16">
        <f t="shared" si="3"/>
        <v>-0.016531503431066796</v>
      </c>
      <c r="H22" s="58">
        <v>-0.015</v>
      </c>
      <c r="I22" s="1"/>
      <c r="J22" s="16"/>
      <c r="K22" s="16"/>
      <c r="L22" s="16"/>
      <c r="M22" s="16"/>
      <c r="N22" s="16"/>
      <c r="O22" s="1"/>
      <c r="P22" s="49"/>
    </row>
    <row r="23" ht="15" customHeight="1">
      <c r="A23" s="1"/>
      <c r="B23" s="50" t="s">
        <v>116</v>
      </c>
      <c r="C23" s="16">
        <f t="shared" si="6"/>
        <v>-0.009513412351840334</v>
      </c>
      <c r="D23" s="16">
        <f t="shared" si="4"/>
        <v>-0.004566210045662156</v>
      </c>
      <c r="E23" s="52" t="s">
        <v>15</v>
      </c>
      <c r="F23" s="16">
        <f t="shared" si="7"/>
        <v>-0.009648845302119624</v>
      </c>
      <c r="G23" s="16">
        <f t="shared" si="4"/>
        <v>0.00718735026353623</v>
      </c>
      <c r="H23" s="51">
        <f t="shared" si="4"/>
        <v>-0.007970980019029517</v>
      </c>
      <c r="I23" s="1"/>
      <c r="J23" s="16"/>
      <c r="K23" s="16"/>
      <c r="L23" s="16"/>
      <c r="M23" s="16"/>
      <c r="N23" s="16"/>
      <c r="O23" s="1"/>
      <c r="P23" s="49"/>
    </row>
    <row r="24" ht="15" customHeight="1">
      <c r="A24" s="1"/>
      <c r="B24" s="65" t="s">
        <v>281</v>
      </c>
      <c r="C24" s="60">
        <v>7454</v>
      </c>
      <c r="D24" s="60">
        <v>7398</v>
      </c>
      <c r="E24" s="15">
        <f t="shared" si="11"/>
        <v>28942</v>
      </c>
      <c r="F24" s="60">
        <v>7316</v>
      </c>
      <c r="G24" s="60">
        <v>7221</v>
      </c>
      <c r="H24" s="54">
        <f>H28-H15-H21-H27</f>
        <v>7399.320761250007</v>
      </c>
      <c r="I24" s="1"/>
      <c r="J24" s="60">
        <v>6958</v>
      </c>
      <c r="K24" s="60">
        <v>7389</v>
      </c>
      <c r="L24" s="60">
        <v>28411</v>
      </c>
      <c r="M24" s="60">
        <v>7145</v>
      </c>
      <c r="N24" s="60">
        <v>6945</v>
      </c>
      <c r="O24" s="1"/>
      <c r="P24" s="49" t="s">
        <v>282</v>
      </c>
    </row>
    <row r="25" ht="15" customHeight="1">
      <c r="A25" s="1"/>
      <c r="B25" s="50" t="s">
        <v>115</v>
      </c>
      <c r="C25" s="16">
        <f t="shared" si="3"/>
        <v>0.07128485196895662</v>
      </c>
      <c r="D25" s="16">
        <f t="shared" si="3"/>
        <v>0.0012180267965895553</v>
      </c>
      <c r="E25" s="16">
        <f t="shared" si="3"/>
        <v>0.018689944035760853</v>
      </c>
      <c r="F25" s="16">
        <f t="shared" si="3"/>
        <v>0.023932820153953704</v>
      </c>
      <c r="G25" s="16">
        <f t="shared" si="3"/>
        <v>0.039740820734341264</v>
      </c>
      <c r="H25" s="51">
        <f t="shared" si="5"/>
        <v>-0.00733555658035856</v>
      </c>
      <c r="I25" s="1"/>
      <c r="J25" s="16"/>
      <c r="K25" s="16"/>
      <c r="L25" s="16"/>
      <c r="M25" s="16"/>
      <c r="N25" s="16"/>
      <c r="O25" s="1"/>
      <c r="P25" s="49"/>
    </row>
    <row r="26" ht="15" customHeight="1">
      <c r="A26" s="1"/>
      <c r="B26" s="50" t="s">
        <v>116</v>
      </c>
      <c r="C26" s="16">
        <f t="shared" si="6"/>
        <v>0.07329013678905683</v>
      </c>
      <c r="D26" s="16">
        <f t="shared" si="4"/>
        <v>-0.007512744834987872</v>
      </c>
      <c r="E26" s="52" t="s">
        <v>15</v>
      </c>
      <c r="F26" s="16">
        <f t="shared" si="7"/>
        <v>-0.011084076777507446</v>
      </c>
      <c r="G26" s="16">
        <f t="shared" si="4"/>
        <v>-0.01298523783488248</v>
      </c>
      <c r="H26" s="51">
        <f t="shared" si="4"/>
        <v>0.02469474605317923</v>
      </c>
      <c r="I26" s="1"/>
      <c r="J26" s="16"/>
      <c r="K26" s="16"/>
      <c r="L26" s="16"/>
      <c r="M26" s="16"/>
      <c r="N26" s="16"/>
      <c r="O26" s="1"/>
      <c r="P26" s="49"/>
    </row>
    <row r="27" ht="15" customHeight="1">
      <c r="A27" s="1"/>
      <c r="B27" s="65" t="s">
        <v>283</v>
      </c>
      <c r="C27" s="60">
        <v>0</v>
      </c>
      <c r="D27" s="60">
        <v>334</v>
      </c>
      <c r="E27" s="15">
        <f t="shared" si="11"/>
        <v>838</v>
      </c>
      <c r="F27" s="60">
        <v>0</v>
      </c>
      <c r="G27" s="60">
        <v>286</v>
      </c>
      <c r="H27" s="85">
        <v>0</v>
      </c>
      <c r="I27" s="1"/>
      <c r="J27" s="60">
        <v>4422</v>
      </c>
      <c r="K27" s="60">
        <v>14</v>
      </c>
      <c r="L27" s="60">
        <v>5075</v>
      </c>
      <c r="M27" s="60">
        <v>504</v>
      </c>
      <c r="N27" s="60">
        <v>0</v>
      </c>
      <c r="O27" s="1"/>
      <c r="P27" s="49" t="s">
        <v>284</v>
      </c>
    </row>
    <row r="28" ht="15" customHeight="1">
      <c r="A28" s="1"/>
      <c r="B28" s="72" t="s">
        <v>285</v>
      </c>
      <c r="C28" s="61">
        <f t="shared" si="12" ref="C28:N28">C15+C21+C24+C27</f>
        <v>19273</v>
      </c>
      <c r="D28" s="61">
        <f t="shared" si="12"/>
        <v>22550</v>
      </c>
      <c r="E28" s="61">
        <f t="shared" si="12"/>
        <v>80600</v>
      </c>
      <c r="F28" s="61">
        <f t="shared" si="12"/>
        <v>19882</v>
      </c>
      <c r="G28" s="61">
        <f t="shared" si="12"/>
        <v>19554</v>
      </c>
      <c r="H28" s="62">
        <f>H11-H82</f>
        <v>19258.243886250006</v>
      </c>
      <c r="I28" s="1"/>
      <c r="J28" s="61">
        <f t="shared" si="12"/>
        <v>23010</v>
      </c>
      <c r="K28" s="61">
        <f t="shared" si="12"/>
        <v>21598</v>
      </c>
      <c r="L28" s="61">
        <f t="shared" si="12"/>
        <v>82707</v>
      </c>
      <c r="M28" s="61">
        <f t="shared" si="12"/>
        <v>19682</v>
      </c>
      <c r="N28" s="61">
        <f t="shared" si="12"/>
        <v>19095</v>
      </c>
      <c r="O28" s="1"/>
      <c r="P28" s="49"/>
    </row>
    <row r="29" ht="15" customHeight="1">
      <c r="A29" s="1"/>
      <c r="B29" s="63" t="s">
        <v>231</v>
      </c>
      <c r="C29" s="60">
        <v>5317</v>
      </c>
      <c r="D29" s="60">
        <v>5128</v>
      </c>
      <c r="E29" s="15">
        <f t="shared" si="11"/>
        <v>20886</v>
      </c>
      <c r="F29" s="60">
        <v>4966</v>
      </c>
      <c r="G29" s="60">
        <v>4966</v>
      </c>
      <c r="H29" s="13">
        <f>'Segment - Advanced Connectivity'!H287+'Segment - Latin America'!H91+H83</f>
        <v>5010</v>
      </c>
      <c r="I29" s="1"/>
      <c r="J29" s="60">
        <v>5087</v>
      </c>
      <c r="K29" s="60">
        <v>5374</v>
      </c>
      <c r="L29" s="60">
        <v>20580</v>
      </c>
      <c r="M29" s="60">
        <v>5190</v>
      </c>
      <c r="N29" s="60">
        <v>5251</v>
      </c>
      <c r="O29" s="1"/>
      <c r="P29" s="49"/>
    </row>
    <row r="30" ht="15" customHeight="1">
      <c r="A30" s="1"/>
      <c r="B30" s="50" t="s">
        <v>115</v>
      </c>
      <c r="C30" s="16">
        <f t="shared" si="3"/>
        <v>0.04521328877530961</v>
      </c>
      <c r="D30" s="16">
        <f t="shared" si="3"/>
        <v>-0.04577595831782655</v>
      </c>
      <c r="E30" s="16">
        <f t="shared" si="3"/>
        <v>0.014868804664722957</v>
      </c>
      <c r="F30" s="16">
        <f t="shared" si="3"/>
        <v>-0.04315992292870907</v>
      </c>
      <c r="G30" s="16">
        <f t="shared" si="3"/>
        <v>-0.054275376118834484</v>
      </c>
      <c r="H30" s="51">
        <f t="shared" si="5"/>
        <v>-0.057739326687981984</v>
      </c>
      <c r="I30" s="1"/>
      <c r="J30" s="16"/>
      <c r="K30" s="16"/>
      <c r="L30" s="16"/>
      <c r="M30" s="16"/>
      <c r="N30" s="16"/>
      <c r="O30" s="1"/>
      <c r="P30" s="49"/>
    </row>
    <row r="31" ht="15" customHeight="1">
      <c r="A31" s="1"/>
      <c r="B31" s="50" t="s">
        <v>116</v>
      </c>
      <c r="C31" s="16">
        <f t="shared" si="6"/>
        <v>0.012569034469624762</v>
      </c>
      <c r="D31" s="16">
        <f t="shared" si="4"/>
        <v>-0.03554636072973483</v>
      </c>
      <c r="E31" s="52" t="s">
        <v>15</v>
      </c>
      <c r="F31" s="16">
        <f t="shared" si="7"/>
        <v>-0.031591263650545987</v>
      </c>
      <c r="G31" s="16">
        <f t="shared" si="4"/>
        <v>0</v>
      </c>
      <c r="H31" s="51">
        <f t="shared" si="4"/>
        <v>0.008860249697945966</v>
      </c>
      <c r="I31" s="1"/>
      <c r="J31" s="16"/>
      <c r="K31" s="16"/>
      <c r="L31" s="16"/>
      <c r="M31" s="16"/>
      <c r="N31" s="16"/>
      <c r="O31" s="1"/>
      <c r="P31" s="49"/>
    </row>
    <row r="32" ht="15" customHeight="1">
      <c r="A32" s="1"/>
      <c r="B32" s="3" t="s">
        <v>286</v>
      </c>
      <c r="C32" s="61">
        <f t="shared" si="13" ref="C32:N32">C28+C29</f>
        <v>24590</v>
      </c>
      <c r="D32" s="61">
        <f t="shared" si="13"/>
        <v>27678</v>
      </c>
      <c r="E32" s="61">
        <f t="shared" si="13"/>
        <v>101486</v>
      </c>
      <c r="F32" s="61">
        <f t="shared" si="13"/>
        <v>24848</v>
      </c>
      <c r="G32" s="61">
        <f t="shared" si="13"/>
        <v>24520</v>
      </c>
      <c r="H32" s="62">
        <f t="shared" si="13"/>
        <v>24268.243886250006</v>
      </c>
      <c r="I32" s="1"/>
      <c r="J32" s="61">
        <f t="shared" si="13"/>
        <v>28097</v>
      </c>
      <c r="K32" s="61">
        <f t="shared" si="13"/>
        <v>26972</v>
      </c>
      <c r="L32" s="61">
        <f t="shared" si="13"/>
        <v>103287</v>
      </c>
      <c r="M32" s="61">
        <f t="shared" si="13"/>
        <v>24872</v>
      </c>
      <c r="N32" s="61">
        <f t="shared" si="13"/>
        <v>24346</v>
      </c>
      <c r="O32" s="1"/>
      <c r="P32" s="49"/>
    </row>
    <row r="33" ht="15" customHeight="1">
      <c r="A33" s="1"/>
      <c r="B33" s="3" t="s">
        <v>287</v>
      </c>
      <c r="C33" s="61">
        <f t="shared" si="14" ref="C33:N33">C11-C32</f>
        <v>6119</v>
      </c>
      <c r="D33" s="61">
        <f t="shared" si="14"/>
        <v>5788</v>
      </c>
      <c r="E33" s="61">
        <f t="shared" si="14"/>
        <v>24162</v>
      </c>
      <c r="F33" s="61">
        <f t="shared" si="14"/>
        <v>6658</v>
      </c>
      <c r="G33" s="61">
        <f t="shared" si="14"/>
        <v>7038</v>
      </c>
      <c r="H33" s="62">
        <f t="shared" si="14"/>
        <v>7268.4822637499965</v>
      </c>
      <c r="I33" s="1"/>
      <c r="J33" s="61">
        <f t="shared" si="14"/>
        <v>2116</v>
      </c>
      <c r="K33" s="61">
        <f t="shared" si="14"/>
        <v>5326</v>
      </c>
      <c r="L33" s="61">
        <f t="shared" si="14"/>
        <v>19049</v>
      </c>
      <c r="M33" s="61">
        <f t="shared" si="14"/>
        <v>5754</v>
      </c>
      <c r="N33" s="61">
        <f t="shared" si="14"/>
        <v>6501</v>
      </c>
      <c r="O33" s="1"/>
      <c r="P33" s="49"/>
    </row>
    <row r="34" ht="15" customHeight="1">
      <c r="A34" s="1"/>
      <c r="B34" s="50" t="s">
        <v>115</v>
      </c>
      <c r="C34" s="16">
        <f t="shared" si="3"/>
        <v>1.8917769376181472</v>
      </c>
      <c r="D34" s="16">
        <f t="shared" si="3"/>
        <v>0.08674427337589186</v>
      </c>
      <c r="E34" s="16">
        <f t="shared" si="3"/>
        <v>0.2684130400545961</v>
      </c>
      <c r="F34" s="16">
        <f t="shared" si="3"/>
        <v>0.15710809871393816</v>
      </c>
      <c r="G34" s="16">
        <f t="shared" si="3"/>
        <v>0.08260267651130593</v>
      </c>
      <c r="H34" s="51">
        <f t="shared" si="5"/>
        <v>0.18785459450073483</v>
      </c>
      <c r="I34" s="1"/>
      <c r="J34" s="16"/>
      <c r="K34" s="16"/>
      <c r="L34" s="16"/>
      <c r="M34" s="16"/>
      <c r="N34" s="16"/>
      <c r="O34" s="1"/>
      <c r="P34" s="49"/>
    </row>
    <row r="35" ht="15" customHeight="1">
      <c r="A35" s="1"/>
      <c r="B35" s="50" t="s">
        <v>116</v>
      </c>
      <c r="C35" s="16">
        <f t="shared" si="6"/>
        <v>-0.05876019073988614</v>
      </c>
      <c r="D35" s="16">
        <f t="shared" si="4"/>
        <v>-0.05409380617747994</v>
      </c>
      <c r="E35" s="52" t="s">
        <v>15</v>
      </c>
      <c r="F35" s="16">
        <f t="shared" si="7"/>
        <v>0.15031098825155498</v>
      </c>
      <c r="G35" s="16">
        <f t="shared" si="4"/>
        <v>0.05707419645539202</v>
      </c>
      <c r="H35" s="51">
        <f t="shared" si="4"/>
        <v>0.032748261402386625</v>
      </c>
      <c r="I35" s="1"/>
      <c r="J35" s="16"/>
      <c r="K35" s="16"/>
      <c r="L35" s="16"/>
      <c r="M35" s="16"/>
      <c r="N35" s="16"/>
      <c r="O35" s="1"/>
      <c r="P35" s="49"/>
    </row>
    <row r="36" ht="15" customHeight="1">
      <c r="A36" s="1"/>
      <c r="B36" s="84" t="s">
        <v>288</v>
      </c>
      <c r="C36" s="16">
        <f t="shared" si="15" ref="C36:N36">C33/C11</f>
        <v>0.1992575466475626</v>
      </c>
      <c r="D36" s="16">
        <f t="shared" si="15"/>
        <v>0.17295165242335506</v>
      </c>
      <c r="E36" s="16">
        <f t="shared" si="15"/>
        <v>0.1922991213548962</v>
      </c>
      <c r="F36" s="16">
        <f t="shared" si="15"/>
        <v>0.2113248270170761</v>
      </c>
      <c r="G36" s="16">
        <f t="shared" si="15"/>
        <v>0.22301793523036947</v>
      </c>
      <c r="H36" s="51">
        <f t="shared" si="15"/>
        <v>0.23047675364838072</v>
      </c>
      <c r="I36" s="1"/>
      <c r="J36" s="16">
        <f t="shared" si="15"/>
        <v>0.07003607718531758</v>
      </c>
      <c r="K36" s="16">
        <f t="shared" si="15"/>
        <v>0.1649018515078333</v>
      </c>
      <c r="L36" s="16">
        <f t="shared" si="15"/>
        <v>0.15571050222338478</v>
      </c>
      <c r="M36" s="16">
        <f t="shared" si="15"/>
        <v>0.18787957944230393</v>
      </c>
      <c r="N36" s="16">
        <f t="shared" si="15"/>
        <v>0.21074982980516743</v>
      </c>
      <c r="O36" s="1"/>
      <c r="P36" s="49"/>
    </row>
    <row r="37" ht="15" customHeight="1">
      <c r="A37" s="1"/>
      <c r="B37" s="50" t="s">
        <v>149</v>
      </c>
      <c r="C37" s="77">
        <f t="shared" si="9"/>
        <v>1292.21469462245</v>
      </c>
      <c r="D37" s="77">
        <f t="shared" si="9"/>
        <v>80.49800915521766</v>
      </c>
      <c r="E37" s="77">
        <f t="shared" si="9"/>
        <v>365.8861913151143</v>
      </c>
      <c r="F37" s="77">
        <f t="shared" si="9"/>
        <v>234.45247574772176</v>
      </c>
      <c r="G37" s="77">
        <f t="shared" si="9"/>
        <v>122.68105425202042</v>
      </c>
      <c r="H37" s="78">
        <f t="shared" si="16"/>
        <v>312.19207000818125</v>
      </c>
      <c r="I37" s="1"/>
      <c r="J37" s="77"/>
      <c r="K37" s="77"/>
      <c r="L37" s="77"/>
      <c r="M37" s="77"/>
      <c r="N37" s="77"/>
      <c r="O37" s="1"/>
      <c r="P37" s="49"/>
    </row>
    <row r="38" ht="15" customHeight="1">
      <c r="A38" s="1"/>
      <c r="B38" s="50" t="s">
        <v>150</v>
      </c>
      <c r="C38" s="77">
        <f t="shared" si="17"/>
        <v>-114.92283157604838</v>
      </c>
      <c r="D38" s="77">
        <f t="shared" si="10"/>
        <v>-263.0589422420754</v>
      </c>
      <c r="E38" s="79" t="s">
        <v>15</v>
      </c>
      <c r="F38" s="77">
        <f t="shared" si="18"/>
        <v>383.7317459372105</v>
      </c>
      <c r="G38" s="77">
        <f t="shared" si="10"/>
        <v>116.93108213293362</v>
      </c>
      <c r="H38" s="78">
        <f t="shared" si="10"/>
        <v>74.58818418011242</v>
      </c>
      <c r="I38" s="1"/>
      <c r="J38" s="77"/>
      <c r="K38" s="77"/>
      <c r="L38" s="77"/>
      <c r="M38" s="77"/>
      <c r="N38" s="77"/>
      <c r="O38" s="1"/>
      <c r="P38" s="49"/>
    </row>
    <row r="39" ht="15" customHeight="1">
      <c r="A39" s="1"/>
      <c r="B39" s="3" t="s">
        <v>289</v>
      </c>
      <c r="C39" s="1"/>
      <c r="D39" s="1"/>
      <c r="E39" s="1"/>
      <c r="F39" s="1"/>
      <c r="G39" s="1"/>
      <c r="H39" s="48"/>
      <c r="I39" s="1"/>
      <c r="J39" s="1"/>
      <c r="K39" s="1"/>
      <c r="L39" s="1"/>
      <c r="M39" s="1"/>
      <c r="N39" s="1"/>
      <c r="O39" s="1"/>
      <c r="P39" s="49"/>
    </row>
    <row r="40" ht="15" customHeight="1">
      <c r="A40" s="1"/>
      <c r="B40" s="63" t="s">
        <v>290</v>
      </c>
      <c r="C40" s="60">
        <v>1700</v>
      </c>
      <c r="D40" s="60">
        <v>1791</v>
      </c>
      <c r="E40" s="15">
        <f t="shared" si="11"/>
        <v>6804</v>
      </c>
      <c r="F40" s="60">
        <v>1813</v>
      </c>
      <c r="G40" s="60">
        <v>1883</v>
      </c>
      <c r="H40" s="54">
        <f>H99</f>
        <v>1974</v>
      </c>
      <c r="I40" s="1"/>
      <c r="J40" s="60">
        <v>1675</v>
      </c>
      <c r="K40" s="60">
        <v>1661</v>
      </c>
      <c r="L40" s="60">
        <v>6759</v>
      </c>
      <c r="M40" s="60">
        <v>1658</v>
      </c>
      <c r="N40" s="60">
        <v>1655</v>
      </c>
      <c r="O40" s="1"/>
      <c r="P40" s="49"/>
    </row>
    <row r="41" ht="15" customHeight="1">
      <c r="A41" s="1"/>
      <c r="B41" s="65" t="s">
        <v>291</v>
      </c>
      <c r="C41" s="60">
        <v>-20</v>
      </c>
      <c r="D41" s="60">
        <v>-10</v>
      </c>
      <c r="E41" s="15">
        <f t="shared" si="11"/>
        <v>1895</v>
      </c>
      <c r="F41" s="60">
        <v>-41</v>
      </c>
      <c r="G41" s="60">
        <v>-29</v>
      </c>
      <c r="H41" s="54">
        <f>H116-H105</f>
        <v>-35</v>
      </c>
      <c r="I41" s="1"/>
      <c r="J41" s="60">
        <v>272</v>
      </c>
      <c r="K41" s="60">
        <v>1074</v>
      </c>
      <c r="L41" s="60">
        <v>1989</v>
      </c>
      <c r="M41" s="60">
        <v>1440</v>
      </c>
      <c r="N41" s="60">
        <v>485</v>
      </c>
      <c r="O41" s="1"/>
      <c r="P41" s="49"/>
    </row>
    <row r="42" ht="15" customHeight="1">
      <c r="A42" s="1"/>
      <c r="B42" s="63" t="s">
        <v>292</v>
      </c>
      <c r="C42" s="60">
        <v>6254</v>
      </c>
      <c r="D42" s="60">
        <v>278</v>
      </c>
      <c r="E42" s="15">
        <f t="shared" si="11"/>
        <v>7754</v>
      </c>
      <c r="F42" s="60">
        <v>594</v>
      </c>
      <c r="G42" s="60">
        <v>696</v>
      </c>
      <c r="H42" s="54">
        <f>H117-H106-H107-H108</f>
        <v>585</v>
      </c>
      <c r="I42" s="1"/>
      <c r="J42" s="60">
        <v>717</v>
      </c>
      <c r="K42" s="60">
        <v>569</v>
      </c>
      <c r="L42" s="60">
        <v>2419</v>
      </c>
      <c r="M42" s="60">
        <v>455</v>
      </c>
      <c r="N42" s="60">
        <v>767</v>
      </c>
      <c r="O42" s="1"/>
      <c r="P42" s="49"/>
    </row>
    <row r="43" ht="23.25" customHeight="1">
      <c r="A43" s="1"/>
      <c r="B43" s="72" t="s">
        <v>293</v>
      </c>
      <c r="C43" s="61">
        <f t="shared" si="19" ref="C43:N43">C33-C40+C41+C42</f>
        <v>10653</v>
      </c>
      <c r="D43" s="61">
        <f t="shared" si="19"/>
        <v>4265</v>
      </c>
      <c r="E43" s="61">
        <f t="shared" si="19"/>
        <v>27007</v>
      </c>
      <c r="F43" s="61">
        <f t="shared" si="19"/>
        <v>5398</v>
      </c>
      <c r="G43" s="61">
        <f t="shared" si="19"/>
        <v>5822</v>
      </c>
      <c r="H43" s="62">
        <f t="shared" si="19"/>
        <v>5844.4822637499965</v>
      </c>
      <c r="I43" s="1"/>
      <c r="J43" s="61">
        <f t="shared" si="19"/>
        <v>1430</v>
      </c>
      <c r="K43" s="61">
        <f t="shared" si="19"/>
        <v>5308</v>
      </c>
      <c r="L43" s="61">
        <f t="shared" si="19"/>
        <v>16698</v>
      </c>
      <c r="M43" s="61">
        <f t="shared" si="19"/>
        <v>5991</v>
      </c>
      <c r="N43" s="61">
        <f t="shared" si="19"/>
        <v>6098</v>
      </c>
      <c r="O43" s="1"/>
      <c r="P43" s="49"/>
    </row>
    <row r="44" ht="15" customHeight="1">
      <c r="A44" s="1"/>
      <c r="B44" s="50" t="s">
        <v>115</v>
      </c>
      <c r="C44" s="16">
        <f t="shared" si="3"/>
        <v>6.44965034965035</v>
      </c>
      <c r="D44" s="16">
        <f t="shared" si="3"/>
        <v>-0.1964958553127355</v>
      </c>
      <c r="E44" s="16">
        <f t="shared" si="3"/>
        <v>0.6173793268654928</v>
      </c>
      <c r="F44" s="16">
        <f t="shared" si="3"/>
        <v>-0.09898180604239692</v>
      </c>
      <c r="G44" s="16">
        <f t="shared" si="3"/>
        <v>-0.04526074122663171</v>
      </c>
      <c r="H44" s="51">
        <f t="shared" si="5"/>
        <v>-0.45137686438092584</v>
      </c>
      <c r="I44" s="1"/>
      <c r="J44" s="16"/>
      <c r="K44" s="16"/>
      <c r="L44" s="16"/>
      <c r="M44" s="16"/>
      <c r="N44" s="16"/>
      <c r="O44" s="1"/>
      <c r="P44" s="49"/>
    </row>
    <row r="45" ht="15" customHeight="1">
      <c r="A45" s="1"/>
      <c r="B45" s="50" t="s">
        <v>116</v>
      </c>
      <c r="C45" s="16">
        <f t="shared" si="6"/>
        <v>0.746966218432273</v>
      </c>
      <c r="D45" s="16">
        <f t="shared" si="4"/>
        <v>-0.5996432929691167</v>
      </c>
      <c r="E45" s="52" t="s">
        <v>15</v>
      </c>
      <c r="F45" s="16">
        <f t="shared" si="7"/>
        <v>0.2656506447831184</v>
      </c>
      <c r="G45" s="16">
        <f t="shared" si="4"/>
        <v>0.07854761022600965</v>
      </c>
      <c r="H45" s="51">
        <f t="shared" si="4"/>
        <v>0.0038616049038124878</v>
      </c>
      <c r="I45" s="1"/>
      <c r="J45" s="16"/>
      <c r="K45" s="16"/>
      <c r="L45" s="16"/>
      <c r="M45" s="16"/>
      <c r="N45" s="16"/>
      <c r="O45" s="1"/>
      <c r="P45" s="49"/>
    </row>
    <row r="46" ht="15" customHeight="1">
      <c r="A46" s="1"/>
      <c r="B46" s="63" t="s">
        <v>294</v>
      </c>
      <c r="C46" s="60">
        <v>976</v>
      </c>
      <c r="D46" s="60">
        <v>109</v>
      </c>
      <c r="E46" s="15">
        <f t="shared" si="11"/>
        <v>3621</v>
      </c>
      <c r="F46" s="60">
        <v>1179</v>
      </c>
      <c r="G46" s="60">
        <v>784</v>
      </c>
      <c r="H46" s="54">
        <f>H121-H110-H111</f>
        <v>1285.7860980249993</v>
      </c>
      <c r="I46" s="1"/>
      <c r="J46" s="60">
        <v>1285</v>
      </c>
      <c r="K46" s="60">
        <v>900</v>
      </c>
      <c r="L46" s="60">
        <v>4445</v>
      </c>
      <c r="M46" s="60">
        <v>1299</v>
      </c>
      <c r="N46" s="60">
        <v>1237</v>
      </c>
      <c r="O46" s="1"/>
      <c r="P46" s="49"/>
    </row>
    <row r="47" ht="15" customHeight="1">
      <c r="A47" s="1"/>
      <c r="B47" s="50" t="s">
        <v>295</v>
      </c>
      <c r="C47" s="16">
        <f t="shared" si="20" ref="C47:N122">C46/C43</f>
        <v>0.091617384774242</v>
      </c>
      <c r="D47" s="16">
        <f t="shared" si="20"/>
        <v>0.02555685814771395</v>
      </c>
      <c r="E47" s="16">
        <f t="shared" si="20"/>
        <v>0.13407635057577666</v>
      </c>
      <c r="F47" s="16">
        <f t="shared" si="20"/>
        <v>0.2184142274916636</v>
      </c>
      <c r="G47" s="16">
        <f t="shared" si="20"/>
        <v>0.13466162830642392</v>
      </c>
      <c r="H47" s="51">
        <f t="shared" si="20"/>
        <v>0.22000000000000003</v>
      </c>
      <c r="I47" s="1"/>
      <c r="J47" s="16">
        <f t="shared" si="20"/>
        <v>0.8986013986013986</v>
      </c>
      <c r="K47" s="16">
        <f t="shared" si="20"/>
        <v>0.16955538809344387</v>
      </c>
      <c r="L47" s="16">
        <f t="shared" si="20"/>
        <v>0.2661995448556713</v>
      </c>
      <c r="M47" s="16">
        <f t="shared" si="20"/>
        <v>0.21682523785678517</v>
      </c>
      <c r="N47" s="16">
        <f t="shared" si="20"/>
        <v>0.202853394555592</v>
      </c>
      <c r="O47" s="1"/>
      <c r="P47" s="49"/>
    </row>
    <row r="48" ht="15" customHeight="1">
      <c r="A48" s="1"/>
      <c r="B48" s="50" t="s">
        <v>149</v>
      </c>
      <c r="C48" s="77">
        <f t="shared" si="9"/>
        <v>-8069.8401382715665</v>
      </c>
      <c r="D48" s="77">
        <f t="shared" si="9"/>
        <v>-1439.9852994572993</v>
      </c>
      <c r="E48" s="77">
        <f t="shared" si="9"/>
        <v>-1321.2319427989466</v>
      </c>
      <c r="F48" s="77">
        <f t="shared" si="9"/>
        <v>15.889896348784127</v>
      </c>
      <c r="G48" s="77">
        <f t="shared" si="9"/>
        <v>-681.9176624916809</v>
      </c>
      <c r="H48" s="78">
        <f t="shared" si="16"/>
        <v>1283.8261522575804</v>
      </c>
      <c r="I48" s="1"/>
      <c r="J48" s="77"/>
      <c r="K48" s="77"/>
      <c r="L48" s="77"/>
      <c r="M48" s="77"/>
      <c r="N48" s="77"/>
      <c r="O48" s="1"/>
      <c r="P48" s="49"/>
    </row>
    <row r="49" ht="15" customHeight="1">
      <c r="A49" s="1"/>
      <c r="B49" s="50" t="s">
        <v>150</v>
      </c>
      <c r="C49" s="77">
        <f t="shared" si="17"/>
        <v>-1112.3600978135</v>
      </c>
      <c r="D49" s="77">
        <f t="shared" si="10"/>
        <v>-660.6052662652804</v>
      </c>
      <c r="E49" s="79" t="s">
        <v>15</v>
      </c>
      <c r="F49" s="77">
        <f t="shared" si="18"/>
        <v>1928.5736934394965</v>
      </c>
      <c r="G49" s="77">
        <f t="shared" si="10"/>
        <v>-837.5259918523967</v>
      </c>
      <c r="H49" s="78">
        <f t="shared" si="10"/>
        <v>853.3837169357611</v>
      </c>
      <c r="I49" s="1"/>
      <c r="J49" s="77"/>
      <c r="K49" s="77"/>
      <c r="L49" s="77"/>
      <c r="M49" s="77"/>
      <c r="N49" s="77"/>
      <c r="O49" s="1"/>
      <c r="P49" s="49"/>
    </row>
    <row r="50" ht="15" customHeight="1">
      <c r="A50" s="1"/>
      <c r="B50" s="3" t="s">
        <v>296</v>
      </c>
      <c r="C50" s="61">
        <f t="shared" si="21" ref="C50:N125">C43-C46</f>
        <v>9677</v>
      </c>
      <c r="D50" s="61">
        <f t="shared" si="21"/>
        <v>4156</v>
      </c>
      <c r="E50" s="61">
        <f t="shared" si="21"/>
        <v>23386</v>
      </c>
      <c r="F50" s="61">
        <f t="shared" si="21"/>
        <v>4219</v>
      </c>
      <c r="G50" s="61">
        <f t="shared" si="21"/>
        <v>5038</v>
      </c>
      <c r="H50" s="62">
        <f t="shared" si="21"/>
        <v>4558.696165724998</v>
      </c>
      <c r="I50" s="1"/>
      <c r="J50" s="61">
        <f t="shared" si="21"/>
        <v>145</v>
      </c>
      <c r="K50" s="61">
        <f t="shared" si="21"/>
        <v>4408</v>
      </c>
      <c r="L50" s="61">
        <f t="shared" si="21"/>
        <v>12253</v>
      </c>
      <c r="M50" s="61">
        <f t="shared" si="21"/>
        <v>4692</v>
      </c>
      <c r="N50" s="61">
        <f t="shared" si="21"/>
        <v>4861</v>
      </c>
      <c r="O50" s="1"/>
      <c r="P50" s="49"/>
    </row>
    <row r="51" ht="15" customHeight="1">
      <c r="A51" s="1"/>
      <c r="B51" s="65" t="s">
        <v>297</v>
      </c>
      <c r="C51" s="60">
        <v>0</v>
      </c>
      <c r="D51" s="60">
        <v>0</v>
      </c>
      <c r="E51" s="15">
        <f t="shared" si="11"/>
        <v>0</v>
      </c>
      <c r="F51" s="60">
        <v>-38</v>
      </c>
      <c r="G51" s="60">
        <v>-28</v>
      </c>
      <c r="H51" s="85">
        <v>-30</v>
      </c>
      <c r="I51" s="1"/>
      <c r="J51" s="60">
        <v>0</v>
      </c>
      <c r="K51" s="60">
        <v>0</v>
      </c>
      <c r="L51" s="60">
        <v>0</v>
      </c>
      <c r="M51" s="60">
        <v>0</v>
      </c>
      <c r="N51" s="60">
        <v>0</v>
      </c>
      <c r="O51" s="1"/>
      <c r="P51" s="49" t="s">
        <v>298</v>
      </c>
    </row>
    <row r="52" ht="15" customHeight="1">
      <c r="A52" s="1"/>
      <c r="B52" s="3" t="s">
        <v>299</v>
      </c>
      <c r="C52" s="61">
        <f t="shared" si="2"/>
        <v>9677</v>
      </c>
      <c r="D52" s="61">
        <f t="shared" si="2"/>
        <v>4156</v>
      </c>
      <c r="E52" s="61">
        <f t="shared" si="2"/>
        <v>23386</v>
      </c>
      <c r="F52" s="61">
        <f t="shared" si="2"/>
        <v>4181</v>
      </c>
      <c r="G52" s="61">
        <f t="shared" si="2"/>
        <v>5010</v>
      </c>
      <c r="H52" s="62">
        <f t="shared" si="2"/>
        <v>4528.696165724998</v>
      </c>
      <c r="I52" s="1"/>
      <c r="J52" s="61">
        <f t="shared" si="2"/>
        <v>145</v>
      </c>
      <c r="K52" s="61">
        <f t="shared" si="2"/>
        <v>4408</v>
      </c>
      <c r="L52" s="61">
        <f t="shared" si="2"/>
        <v>12253</v>
      </c>
      <c r="M52" s="61">
        <f t="shared" si="2"/>
        <v>4692</v>
      </c>
      <c r="N52" s="61">
        <f t="shared" si="2"/>
        <v>4861</v>
      </c>
      <c r="O52" s="1"/>
      <c r="P52" s="49"/>
    </row>
    <row r="53" ht="23.25" customHeight="1">
      <c r="A53" s="1"/>
      <c r="B53" s="65" t="s">
        <v>300</v>
      </c>
      <c r="C53" s="60">
        <v>363</v>
      </c>
      <c r="D53" s="60">
        <v>368</v>
      </c>
      <c r="E53" s="15">
        <f t="shared" si="11"/>
        <v>1433</v>
      </c>
      <c r="F53" s="60">
        <v>352</v>
      </c>
      <c r="G53" s="60">
        <v>383</v>
      </c>
      <c r="H53" s="85">
        <v>380</v>
      </c>
      <c r="I53" s="1"/>
      <c r="J53" s="60">
        <v>319</v>
      </c>
      <c r="K53" s="60">
        <v>328</v>
      </c>
      <c r="L53" s="60">
        <v>1305</v>
      </c>
      <c r="M53" s="60">
        <v>341</v>
      </c>
      <c r="N53" s="60">
        <v>361</v>
      </c>
      <c r="O53" s="1"/>
      <c r="P53" s="49" t="s">
        <v>301</v>
      </c>
    </row>
    <row r="54" ht="15" customHeight="1">
      <c r="A54" s="1"/>
      <c r="B54" s="3" t="s">
        <v>302</v>
      </c>
      <c r="C54" s="61">
        <f t="shared" si="22" ref="C54:N56">C52-C53</f>
        <v>9314</v>
      </c>
      <c r="D54" s="61">
        <f t="shared" si="22"/>
        <v>3788</v>
      </c>
      <c r="E54" s="61">
        <f t="shared" si="22"/>
        <v>21953</v>
      </c>
      <c r="F54" s="61">
        <f t="shared" si="22"/>
        <v>3829</v>
      </c>
      <c r="G54" s="61">
        <f t="shared" si="22"/>
        <v>4627</v>
      </c>
      <c r="H54" s="62">
        <f t="shared" si="22"/>
        <v>4148.696165724998</v>
      </c>
      <c r="I54" s="1"/>
      <c r="J54" s="61">
        <f t="shared" si="22"/>
        <v>-174</v>
      </c>
      <c r="K54" s="61">
        <f t="shared" si="22"/>
        <v>4080</v>
      </c>
      <c r="L54" s="61">
        <f t="shared" si="22"/>
        <v>10948</v>
      </c>
      <c r="M54" s="61">
        <f t="shared" si="22"/>
        <v>4351</v>
      </c>
      <c r="N54" s="61">
        <f t="shared" si="22"/>
        <v>4500</v>
      </c>
      <c r="O54" s="1"/>
      <c r="P54" s="49"/>
    </row>
    <row r="55" ht="15" customHeight="1">
      <c r="A55" s="1"/>
      <c r="B55" s="65" t="s">
        <v>303</v>
      </c>
      <c r="C55" s="60">
        <v>36</v>
      </c>
      <c r="D55" s="60">
        <v>36</v>
      </c>
      <c r="E55" s="15">
        <f t="shared" si="11"/>
        <v>64</v>
      </c>
      <c r="F55" s="60">
        <v>36</v>
      </c>
      <c r="G55" s="60">
        <v>36</v>
      </c>
      <c r="H55" s="85">
        <v>36</v>
      </c>
      <c r="I55" s="1"/>
      <c r="J55" s="60">
        <v>52</v>
      </c>
      <c r="K55" s="60">
        <v>49</v>
      </c>
      <c r="L55" s="60">
        <v>202</v>
      </c>
      <c r="M55" s="60">
        <v>-44</v>
      </c>
      <c r="N55" s="60">
        <v>36</v>
      </c>
      <c r="O55" s="1"/>
      <c r="P55" s="49"/>
    </row>
    <row r="56" ht="15" customHeight="1">
      <c r="A56" s="1"/>
      <c r="B56" s="72" t="s">
        <v>304</v>
      </c>
      <c r="C56" s="61">
        <f t="shared" si="22"/>
        <v>9278</v>
      </c>
      <c r="D56" s="61">
        <f t="shared" si="22"/>
        <v>3752</v>
      </c>
      <c r="E56" s="61">
        <f t="shared" si="22"/>
        <v>21889</v>
      </c>
      <c r="F56" s="61">
        <f t="shared" si="22"/>
        <v>3793</v>
      </c>
      <c r="G56" s="61">
        <f t="shared" si="22"/>
        <v>4591</v>
      </c>
      <c r="H56" s="62">
        <f t="shared" si="22"/>
        <v>4112.696165724998</v>
      </c>
      <c r="I56" s="1"/>
      <c r="J56" s="61">
        <f t="shared" si="22"/>
        <v>-226</v>
      </c>
      <c r="K56" s="61">
        <f t="shared" si="22"/>
        <v>4031</v>
      </c>
      <c r="L56" s="61">
        <f t="shared" si="22"/>
        <v>10746</v>
      </c>
      <c r="M56" s="61">
        <f t="shared" si="22"/>
        <v>4395</v>
      </c>
      <c r="N56" s="61">
        <f t="shared" si="22"/>
        <v>4464</v>
      </c>
      <c r="O56" s="1"/>
      <c r="P56" s="49"/>
    </row>
    <row r="57" ht="15" customHeight="1">
      <c r="A57" s="1"/>
      <c r="B57" s="50" t="s">
        <v>115</v>
      </c>
      <c r="C57" s="52" t="str">
        <f t="shared" si="26" ref="C57:C65">IF(AND(ISNUMBER(C56),ISNUMBER(J56)),IF(J56&gt;0,C56/J56-1,"n/a"),"n/a")</f>
        <v>n/a</v>
      </c>
      <c r="D57" s="16">
        <f t="shared" si="3"/>
        <v>-0.06921359464152821</v>
      </c>
      <c r="E57" s="16">
        <f t="shared" si="3"/>
        <v>1.0369439791550343</v>
      </c>
      <c r="F57" s="16">
        <f t="shared" si="3"/>
        <v>-0.13697383390216156</v>
      </c>
      <c r="G57" s="16">
        <f t="shared" si="3"/>
        <v>0.028449820788530422</v>
      </c>
      <c r="H57" s="51">
        <f t="shared" si="5"/>
        <v>-0.5567260006763314</v>
      </c>
      <c r="I57" s="1"/>
      <c r="J57" s="16"/>
      <c r="K57" s="16"/>
      <c r="L57" s="16"/>
      <c r="M57" s="16"/>
      <c r="N57" s="16"/>
      <c r="O57" s="1"/>
      <c r="P57" s="49"/>
    </row>
    <row r="58" ht="15" customHeight="1">
      <c r="A58" s="1"/>
      <c r="B58" s="50" t="s">
        <v>116</v>
      </c>
      <c r="C58" s="16">
        <f t="shared" si="6"/>
        <v>1.0784050179211468</v>
      </c>
      <c r="D58" s="16">
        <f t="shared" si="4"/>
        <v>-0.5956025005389092</v>
      </c>
      <c r="E58" s="52" t="s">
        <v>15</v>
      </c>
      <c r="F58" s="16">
        <f t="shared" si="7"/>
        <v>0.010927505330490472</v>
      </c>
      <c r="G58" s="16">
        <f t="shared" si="4"/>
        <v>0.21038755602425518</v>
      </c>
      <c r="H58" s="51">
        <f t="shared" si="4"/>
        <v>-0.10418293057612771</v>
      </c>
      <c r="I58" s="1"/>
      <c r="J58" s="16"/>
      <c r="K58" s="16"/>
      <c r="L58" s="16"/>
      <c r="M58" s="16"/>
      <c r="N58" s="16"/>
      <c r="O58" s="1"/>
      <c r="P58" s="49"/>
    </row>
    <row r="59" ht="15" customHeight="1">
      <c r="A59" s="1"/>
      <c r="B59" s="72" t="s">
        <v>305</v>
      </c>
      <c r="C59" s="61">
        <f t="shared" si="23" ref="C59:N59">C56-C51</f>
        <v>9278</v>
      </c>
      <c r="D59" s="61">
        <f t="shared" si="23"/>
        <v>3752</v>
      </c>
      <c r="E59" s="61">
        <f t="shared" si="23"/>
        <v>21889</v>
      </c>
      <c r="F59" s="61">
        <f t="shared" si="23"/>
        <v>3831</v>
      </c>
      <c r="G59" s="61">
        <f t="shared" si="23"/>
        <v>4619</v>
      </c>
      <c r="H59" s="62">
        <f t="shared" si="23"/>
        <v>4142.696165724998</v>
      </c>
      <c r="I59" s="1"/>
      <c r="J59" s="61">
        <f t="shared" si="23"/>
        <v>-226</v>
      </c>
      <c r="K59" s="61">
        <f t="shared" si="23"/>
        <v>4031</v>
      </c>
      <c r="L59" s="61">
        <f t="shared" si="23"/>
        <v>10746</v>
      </c>
      <c r="M59" s="61">
        <f t="shared" si="23"/>
        <v>4395</v>
      </c>
      <c r="N59" s="61">
        <f t="shared" si="23"/>
        <v>4464</v>
      </c>
      <c r="O59" s="1"/>
      <c r="P59" s="49"/>
    </row>
    <row r="60" ht="15" customHeight="1">
      <c r="A60" s="1"/>
      <c r="B60" s="3" t="s">
        <v>306</v>
      </c>
      <c r="C60" s="1"/>
      <c r="D60" s="1"/>
      <c r="E60" s="1"/>
      <c r="F60" s="1"/>
      <c r="G60" s="1"/>
      <c r="H60" s="48"/>
      <c r="I60" s="1"/>
      <c r="J60" s="1"/>
      <c r="K60" s="1"/>
      <c r="L60" s="1"/>
      <c r="M60" s="1"/>
      <c r="N60" s="1"/>
      <c r="O60" s="1"/>
      <c r="P60" s="49"/>
    </row>
    <row r="61" ht="15" customHeight="1">
      <c r="A61" s="1"/>
      <c r="B61" s="65" t="s">
        <v>307</v>
      </c>
      <c r="C61" s="14">
        <f>'Share Count'!C24</f>
        <v>7156</v>
      </c>
      <c r="D61" s="14">
        <f>'Share Count'!D24</f>
        <v>7098</v>
      </c>
      <c r="E61" s="14">
        <f>'Share Count'!E24</f>
        <v>7169</v>
      </c>
      <c r="F61" s="14">
        <f>'Share Count'!F24</f>
        <v>7017</v>
      </c>
      <c r="G61" s="14">
        <f>'Share Count'!G24</f>
        <v>6938</v>
      </c>
      <c r="H61" s="13">
        <f>'Share Count'!H24</f>
        <v>6830.397959183673</v>
      </c>
      <c r="I61" s="1"/>
      <c r="J61" s="14">
        <f>'Share Count'!J24</f>
        <v>7202</v>
      </c>
      <c r="K61" s="14">
        <f>'Share Count'!K24</f>
        <v>7207</v>
      </c>
      <c r="L61" s="14">
        <f>'Share Count'!L24</f>
        <v>7199</v>
      </c>
      <c r="M61" s="14">
        <f>'Share Count'!M24</f>
        <v>7213</v>
      </c>
      <c r="N61" s="14">
        <f>'Share Count'!N24</f>
        <v>7209</v>
      </c>
      <c r="O61" s="1"/>
      <c r="P61" s="49"/>
    </row>
    <row r="62" ht="15" customHeight="1">
      <c r="A62" s="1"/>
      <c r="B62" s="65" t="s">
        <v>58</v>
      </c>
      <c r="C62" s="14">
        <f>'Share Count'!C29</f>
        <v>7169</v>
      </c>
      <c r="D62" s="14">
        <f>'Share Count'!D29</f>
        <v>7108</v>
      </c>
      <c r="E62" s="14">
        <f>'Share Count'!E29</f>
        <v>7179</v>
      </c>
      <c r="F62" s="14">
        <f>'Share Count'!F29</f>
        <v>7027</v>
      </c>
      <c r="G62" s="14">
        <f>'Share Count'!G29</f>
        <v>6946</v>
      </c>
      <c r="H62" s="13">
        <f>'Share Count'!H29</f>
        <v>6840.397959183673</v>
      </c>
      <c r="I62" s="1"/>
      <c r="J62" s="14">
        <f>'Share Count'!J29</f>
        <v>7208</v>
      </c>
      <c r="K62" s="14">
        <f>'Share Count'!K29</f>
        <v>7215</v>
      </c>
      <c r="L62" s="14">
        <f>'Share Count'!L29</f>
        <v>7204</v>
      </c>
      <c r="M62" s="14">
        <f>'Share Count'!M29</f>
        <v>7223</v>
      </c>
      <c r="N62" s="14">
        <f>'Share Count'!N29</f>
        <v>7219</v>
      </c>
      <c r="O62" s="1"/>
      <c r="P62" s="49"/>
    </row>
    <row r="63" ht="15" customHeight="1">
      <c r="A63" s="1"/>
      <c r="B63" s="65" t="s">
        <v>308</v>
      </c>
      <c r="C63" s="20">
        <f t="shared" si="24" ref="C63:N63">C56/C61</f>
        <v>1.2965343767467858</v>
      </c>
      <c r="D63" s="20">
        <f t="shared" si="24"/>
        <v>0.5285996055226825</v>
      </c>
      <c r="E63" s="20">
        <f t="shared" si="24"/>
        <v>3.0532849769842376</v>
      </c>
      <c r="F63" s="20">
        <f t="shared" si="24"/>
        <v>0.5405443921903947</v>
      </c>
      <c r="G63" s="20">
        <f t="shared" si="24"/>
        <v>0.6617180743730181</v>
      </c>
      <c r="H63" s="83">
        <f t="shared" si="24"/>
        <v>0.6021166248732778</v>
      </c>
      <c r="I63" s="1"/>
      <c r="J63" s="20">
        <f t="shared" si="24"/>
        <v>-0.031380172174396</v>
      </c>
      <c r="K63" s="20">
        <f t="shared" si="24"/>
        <v>0.5593173303732483</v>
      </c>
      <c r="L63" s="20">
        <f t="shared" si="24"/>
        <v>1.4927073204611752</v>
      </c>
      <c r="M63" s="20">
        <f t="shared" si="24"/>
        <v>0.6093165118535977</v>
      </c>
      <c r="N63" s="20">
        <f t="shared" si="24"/>
        <v>0.6192259675405742</v>
      </c>
      <c r="O63" s="1"/>
      <c r="P63" s="49"/>
    </row>
    <row r="64" ht="15" customHeight="1">
      <c r="A64" s="1"/>
      <c r="B64" s="72" t="s">
        <v>309</v>
      </c>
      <c r="C64" s="94">
        <f t="shared" si="25" ref="C64:N64">C59/C62</f>
        <v>1.2941832891616682</v>
      </c>
      <c r="D64" s="94">
        <f t="shared" si="25"/>
        <v>0.5278559369724254</v>
      </c>
      <c r="E64" s="94">
        <f t="shared" si="25"/>
        <v>3.049031898593119</v>
      </c>
      <c r="F64" s="94">
        <f t="shared" si="25"/>
        <v>0.5451828660879465</v>
      </c>
      <c r="G64" s="94">
        <f t="shared" si="25"/>
        <v>0.6649870429023899</v>
      </c>
      <c r="H64" s="95">
        <f t="shared" si="25"/>
        <v>0.6056220983697538</v>
      </c>
      <c r="I64" s="1"/>
      <c r="J64" s="94">
        <f t="shared" si="25"/>
        <v>-0.03135405105438402</v>
      </c>
      <c r="K64" s="94">
        <f t="shared" si="25"/>
        <v>0.5586971586971587</v>
      </c>
      <c r="L64" s="94">
        <f t="shared" si="25"/>
        <v>1.491671293725708</v>
      </c>
      <c r="M64" s="94">
        <f t="shared" si="25"/>
        <v>0.6084729336840647</v>
      </c>
      <c r="N64" s="94">
        <f t="shared" si="25"/>
        <v>0.6183681950408644</v>
      </c>
      <c r="O64" s="1"/>
      <c r="P64" s="49"/>
    </row>
    <row r="65" ht="15" customHeight="1">
      <c r="A65" s="1"/>
      <c r="B65" s="50" t="s">
        <v>115</v>
      </c>
      <c r="C65" s="52" t="str">
        <f t="shared" si="26"/>
        <v>n/a</v>
      </c>
      <c r="D65" s="16">
        <f t="shared" si="3"/>
        <v>-0.05520203789232225</v>
      </c>
      <c r="E65" s="16">
        <f t="shared" si="3"/>
        <v>1.044037390421071</v>
      </c>
      <c r="F65" s="16">
        <f t="shared" si="3"/>
        <v>-0.10401459800836443</v>
      </c>
      <c r="G65" s="16">
        <f t="shared" si="3"/>
        <v>0.07539011261477424</v>
      </c>
      <c r="H65" s="51">
        <f t="shared" si="5"/>
        <v>-0.5320430240124203</v>
      </c>
      <c r="I65" s="1"/>
      <c r="J65" s="16"/>
      <c r="K65" s="16"/>
      <c r="L65" s="16"/>
      <c r="M65" s="16"/>
      <c r="N65" s="16"/>
      <c r="O65" s="1"/>
      <c r="P65" s="49"/>
    </row>
    <row r="66" ht="15" customHeight="1">
      <c r="A66" s="1"/>
      <c r="B66" s="50" t="s">
        <v>116</v>
      </c>
      <c r="C66" s="16">
        <f t="shared" si="6"/>
        <v>1.092900798489714</v>
      </c>
      <c r="D66" s="16">
        <f t="shared" si="4"/>
        <v>-0.5921320098991898</v>
      </c>
      <c r="E66" s="52" t="s">
        <v>15</v>
      </c>
      <c r="F66" s="16">
        <f t="shared" si="7"/>
        <v>0.032825109848913625</v>
      </c>
      <c r="G66" s="16">
        <f t="shared" si="4"/>
        <v>0.2197504438723814</v>
      </c>
      <c r="H66" s="51">
        <f t="shared" si="4"/>
        <v>-0.0892723326961875</v>
      </c>
      <c r="I66" s="1"/>
      <c r="J66" s="16"/>
      <c r="K66" s="16"/>
      <c r="L66" s="16"/>
      <c r="M66" s="16"/>
      <c r="N66" s="16"/>
      <c r="O66" s="1"/>
      <c r="P66" s="49"/>
    </row>
    <row r="67" ht="15" customHeight="1">
      <c r="A67" s="1"/>
      <c r="B67" s="65" t="s">
        <v>310</v>
      </c>
      <c r="C67" s="20">
        <f t="shared" si="27" ref="C67:N67">C56/C62</f>
        <v>1.2941832891616682</v>
      </c>
      <c r="D67" s="20">
        <f t="shared" si="27"/>
        <v>0.5278559369724254</v>
      </c>
      <c r="E67" s="20">
        <f t="shared" si="27"/>
        <v>3.049031898593119</v>
      </c>
      <c r="F67" s="20">
        <f t="shared" si="27"/>
        <v>0.5397751529813576</v>
      </c>
      <c r="G67" s="20">
        <f t="shared" si="27"/>
        <v>0.6609559458681256</v>
      </c>
      <c r="H67" s="83">
        <f t="shared" si="27"/>
        <v>0.6012363886231852</v>
      </c>
      <c r="I67" s="1"/>
      <c r="J67" s="20">
        <f t="shared" si="27"/>
        <v>-0.03135405105438402</v>
      </c>
      <c r="K67" s="20">
        <f t="shared" si="27"/>
        <v>0.5586971586971587</v>
      </c>
      <c r="L67" s="20">
        <f t="shared" si="27"/>
        <v>1.491671293725708</v>
      </c>
      <c r="M67" s="20">
        <f t="shared" si="27"/>
        <v>0.6084729336840647</v>
      </c>
      <c r="N67" s="20">
        <f t="shared" si="27"/>
        <v>0.6183681950408644</v>
      </c>
      <c r="O67" s="1"/>
      <c r="P67" s="49"/>
    </row>
    <row r="68" ht="15" customHeight="1">
      <c r="A68" s="1"/>
      <c r="B68" s="65" t="s">
        <v>311</v>
      </c>
      <c r="C68" s="19">
        <f>Inputs!G94</f>
        <v>1.29</v>
      </c>
      <c r="D68" s="19">
        <f>Inputs!G95</f>
        <v>0.53</v>
      </c>
      <c r="E68" s="96">
        <v>3.04</v>
      </c>
      <c r="F68" s="19">
        <f>Inputs!G96</f>
        <v>0.54</v>
      </c>
      <c r="G68" s="19">
        <f>Inputs!G97</f>
        <v>0.66</v>
      </c>
      <c r="H68" s="97" t="s">
        <v>15</v>
      </c>
      <c r="I68" s="1"/>
      <c r="J68" s="96">
        <v>-0.03</v>
      </c>
      <c r="K68" s="96">
        <v>0.56</v>
      </c>
      <c r="L68" s="96">
        <v>1.49</v>
      </c>
      <c r="M68" s="19">
        <f>Inputs!G92</f>
        <v>0.61</v>
      </c>
      <c r="N68" s="19">
        <f>Inputs!G93</f>
        <v>0.62</v>
      </c>
      <c r="O68" s="1"/>
      <c r="P68" s="49"/>
    </row>
    <row r="69" ht="23.25" customHeight="1">
      <c r="A69" s="1"/>
      <c r="B69" s="65" t="s">
        <v>312</v>
      </c>
      <c r="C69" s="20">
        <f t="shared" si="28" ref="C69:G69">ROUND(C67,2)-C68</f>
        <v>0</v>
      </c>
      <c r="D69" s="20">
        <f t="shared" si="28"/>
        <v>0</v>
      </c>
      <c r="E69" s="82" t="s">
        <v>15</v>
      </c>
      <c r="F69" s="20">
        <f t="shared" si="28"/>
        <v>0</v>
      </c>
      <c r="G69" s="20">
        <f t="shared" si="28"/>
        <v>0</v>
      </c>
      <c r="H69" s="97" t="s">
        <v>15</v>
      </c>
      <c r="I69" s="1"/>
      <c r="J69" s="20"/>
      <c r="K69" s="20"/>
      <c r="L69" s="20"/>
      <c r="M69" s="20"/>
      <c r="N69" s="20"/>
      <c r="O69" s="1"/>
      <c r="P69" s="49" t="s">
        <v>313</v>
      </c>
    </row>
    <row r="70" ht="15" customHeight="1">
      <c r="A70" s="1"/>
      <c r="B70" s="3" t="s">
        <v>314</v>
      </c>
      <c r="C70" s="1"/>
      <c r="D70" s="1"/>
      <c r="E70" s="1"/>
      <c r="F70" s="1"/>
      <c r="G70" s="1"/>
      <c r="H70" s="48"/>
      <c r="I70" s="1"/>
      <c r="J70" s="1"/>
      <c r="K70" s="1"/>
      <c r="L70" s="1"/>
      <c r="M70" s="1"/>
      <c r="N70" s="1"/>
      <c r="O70" s="1"/>
      <c r="P70" s="49"/>
    </row>
    <row r="71" ht="15" customHeight="1">
      <c r="A71" s="1"/>
      <c r="B71" s="63" t="s">
        <v>315</v>
      </c>
      <c r="C71" s="14">
        <f>'Segment - Advanced Connectivity'!C281</f>
        <v>11493</v>
      </c>
      <c r="D71" s="14">
        <f>'Segment - Advanced Connectivity'!D281</f>
        <v>10968</v>
      </c>
      <c r="E71" s="14">
        <f>'Segment - Advanced Connectivity'!E281</f>
        <v>44547</v>
      </c>
      <c r="F71" s="14">
        <f>'Segment - Advanced Connectivity'!F281</f>
        <v>11558</v>
      </c>
      <c r="G71" s="14">
        <f>'Segment - Advanced Connectivity'!G281</f>
        <v>12032</v>
      </c>
      <c r="H71" s="13">
        <f>'Segment - Advanced Connectivity'!H281</f>
        <v>12210.86248875</v>
      </c>
      <c r="I71" s="1"/>
      <c r="J71" s="14">
        <f>'Segment - Advanced Connectivity'!J281</f>
        <v>10886</v>
      </c>
      <c r="K71" s="14">
        <f>'Segment - Advanced Connectivity'!K281</f>
        <v>10390</v>
      </c>
      <c r="L71" s="14">
        <f>'Segment - Advanced Connectivity'!L281</f>
        <v>42277</v>
      </c>
      <c r="M71" s="14">
        <f>'Segment - Advanced Connectivity'!M281</f>
        <v>10945</v>
      </c>
      <c r="N71" s="14">
        <f>'Segment - Advanced Connectivity'!N281</f>
        <v>11141</v>
      </c>
      <c r="O71" s="1"/>
      <c r="P71" s="49"/>
    </row>
    <row r="72" ht="15" customHeight="1">
      <c r="A72" s="1"/>
      <c r="B72" s="63" t="s">
        <v>316</v>
      </c>
      <c r="C72" s="14">
        <f>'Segment - Legacy'!C20</f>
        <v>679</v>
      </c>
      <c r="D72" s="14">
        <f>'Segment - Legacy'!D20</f>
        <v>682</v>
      </c>
      <c r="E72" s="14">
        <f>'Segment - Legacy'!E20</f>
        <v>3339</v>
      </c>
      <c r="F72" s="14">
        <f>'Segment - Legacy'!F20</f>
        <v>612</v>
      </c>
      <c r="G72" s="14">
        <f>'Segment - Legacy'!G20</f>
        <v>523</v>
      </c>
      <c r="H72" s="13">
        <f>'Segment - Legacy'!H20</f>
        <v>472.400775</v>
      </c>
      <c r="I72" s="1"/>
      <c r="J72" s="14">
        <f>'Segment - Legacy'!J20</f>
        <v>1083</v>
      </c>
      <c r="K72" s="14">
        <f>'Segment - Legacy'!K20</f>
        <v>913</v>
      </c>
      <c r="L72" s="14">
        <f>'Segment - Legacy'!L20</f>
        <v>4251</v>
      </c>
      <c r="M72" s="14">
        <f>'Segment - Legacy'!M20</f>
        <v>1019</v>
      </c>
      <c r="N72" s="14">
        <f>'Segment - Legacy'!N20</f>
        <v>959</v>
      </c>
      <c r="O72" s="1"/>
      <c r="P72" s="49"/>
    </row>
    <row r="73" ht="15" customHeight="1">
      <c r="A73" s="1"/>
      <c r="B73" s="63" t="s">
        <v>317</v>
      </c>
      <c r="C73" s="14">
        <f>'Segment - Latin America'!C85</f>
        <v>199</v>
      </c>
      <c r="D73" s="14">
        <f>'Segment - Latin America'!D85</f>
        <v>223</v>
      </c>
      <c r="E73" s="14">
        <f>'Segment - Latin America'!E85</f>
        <v>816</v>
      </c>
      <c r="F73" s="14">
        <f>'Segment - Latin America'!F85</f>
        <v>220</v>
      </c>
      <c r="G73" s="14">
        <f>'Segment - Latin America'!G85</f>
        <v>227</v>
      </c>
      <c r="H73" s="13">
        <f>'Segment - Latin America'!H85</f>
        <v>225.21900000000002</v>
      </c>
      <c r="I73" s="1"/>
      <c r="J73" s="14">
        <f>'Segment - Latin America'!J85</f>
        <v>168</v>
      </c>
      <c r="K73" s="14">
        <f>'Segment - Latin America'!K85</f>
        <v>171</v>
      </c>
      <c r="L73" s="14">
        <f>'Segment - Latin America'!L85</f>
        <v>697</v>
      </c>
      <c r="M73" s="14">
        <f>'Segment - Latin America'!M85</f>
        <v>193</v>
      </c>
      <c r="N73" s="14">
        <f>'Segment - Latin America'!N85</f>
        <v>201</v>
      </c>
      <c r="O73" s="1"/>
      <c r="P73" s="49"/>
    </row>
    <row r="74" ht="15" customHeight="1">
      <c r="A74" s="1"/>
      <c r="B74" s="65" t="s">
        <v>318</v>
      </c>
      <c r="C74" s="15">
        <f t="shared" si="29" ref="C74:N74">C75-C71-C72-C73</f>
        <v>-510</v>
      </c>
      <c r="D74" s="15">
        <f t="shared" si="29"/>
        <v>-637</v>
      </c>
      <c r="E74" s="15">
        <f t="shared" si="29"/>
        <v>-2341</v>
      </c>
      <c r="F74" s="15">
        <f t="shared" si="29"/>
        <v>-595</v>
      </c>
      <c r="G74" s="15">
        <f t="shared" si="29"/>
        <v>-444</v>
      </c>
      <c r="H74" s="85">
        <v>-530</v>
      </c>
      <c r="I74" s="1"/>
      <c r="J74" s="15">
        <f t="shared" si="29"/>
        <v>-551</v>
      </c>
      <c r="K74" s="15">
        <f t="shared" si="29"/>
        <v>-683</v>
      </c>
      <c r="L74" s="15">
        <f t="shared" si="29"/>
        <v>-2465</v>
      </c>
      <c r="M74" s="15">
        <f t="shared" si="29"/>
        <v>-624</v>
      </c>
      <c r="N74" s="15">
        <f t="shared" si="29"/>
        <v>-570</v>
      </c>
      <c r="O74" s="1"/>
      <c r="P74" s="49" t="s">
        <v>319</v>
      </c>
    </row>
    <row r="75" ht="15" customHeight="1">
      <c r="A75" s="1"/>
      <c r="B75" s="3" t="s">
        <v>320</v>
      </c>
      <c r="C75" s="61">
        <f t="shared" si="30" ref="C75:N75">C82+C81</f>
        <v>11861</v>
      </c>
      <c r="D75" s="61">
        <f t="shared" si="30"/>
        <v>11236</v>
      </c>
      <c r="E75" s="61">
        <f t="shared" si="30"/>
        <v>46361</v>
      </c>
      <c r="F75" s="61">
        <f t="shared" si="30"/>
        <v>11795</v>
      </c>
      <c r="G75" s="61">
        <f t="shared" si="30"/>
        <v>12338</v>
      </c>
      <c r="H75" s="62">
        <f>H71+H72+H73+H74</f>
        <v>12378.482263749998</v>
      </c>
      <c r="I75" s="1"/>
      <c r="J75" s="61">
        <f t="shared" si="30"/>
        <v>11586</v>
      </c>
      <c r="K75" s="61">
        <f t="shared" si="30"/>
        <v>10791</v>
      </c>
      <c r="L75" s="61">
        <f t="shared" si="30"/>
        <v>44760</v>
      </c>
      <c r="M75" s="61">
        <f t="shared" si="30"/>
        <v>11533</v>
      </c>
      <c r="N75" s="61">
        <f t="shared" si="30"/>
        <v>11731</v>
      </c>
      <c r="O75" s="1"/>
      <c r="P75" s="49"/>
    </row>
    <row r="76" ht="15" customHeight="1">
      <c r="A76" s="1"/>
      <c r="B76" s="50" t="s">
        <v>115</v>
      </c>
      <c r="C76" s="16">
        <f t="shared" si="3"/>
        <v>0.023735542896599293</v>
      </c>
      <c r="D76" s="16">
        <f t="shared" si="3"/>
        <v>0.041238068761004554</v>
      </c>
      <c r="E76" s="16">
        <f t="shared" si="3"/>
        <v>0.035768543342269865</v>
      </c>
      <c r="F76" s="16">
        <f t="shared" si="3"/>
        <v>0.02271741957860063</v>
      </c>
      <c r="G76" s="16">
        <f t="shared" si="3"/>
        <v>0.05174324439519218</v>
      </c>
      <c r="H76" s="51">
        <f t="shared" si="5"/>
        <v>0.04362888995447256</v>
      </c>
      <c r="I76" s="1"/>
      <c r="J76" s="16"/>
      <c r="K76" s="16"/>
      <c r="L76" s="16"/>
      <c r="M76" s="16"/>
      <c r="N76" s="16"/>
      <c r="O76" s="1"/>
      <c r="P76" s="49"/>
    </row>
    <row r="77" ht="15" customHeight="1">
      <c r="A77" s="1"/>
      <c r="B77" s="50" t="s">
        <v>116</v>
      </c>
      <c r="C77" s="16">
        <f t="shared" si="6"/>
        <v>0.011081749211490965</v>
      </c>
      <c r="D77" s="16">
        <f t="shared" si="4"/>
        <v>-0.05269370204873114</v>
      </c>
      <c r="E77" s="52" t="s">
        <v>15</v>
      </c>
      <c r="F77" s="16">
        <f t="shared" si="7"/>
        <v>0.04975080099679596</v>
      </c>
      <c r="G77" s="16">
        <f t="shared" si="4"/>
        <v>0.04603645612547691</v>
      </c>
      <c r="H77" s="51">
        <f t="shared" si="4"/>
        <v>0.0032811042105689303</v>
      </c>
      <c r="I77" s="1"/>
      <c r="J77" s="16"/>
      <c r="K77" s="16"/>
      <c r="L77" s="16"/>
      <c r="M77" s="16"/>
      <c r="N77" s="16"/>
      <c r="O77" s="1"/>
      <c r="P77" s="49"/>
    </row>
    <row r="78" ht="15" customHeight="1">
      <c r="A78" s="1"/>
      <c r="B78" s="84" t="s">
        <v>321</v>
      </c>
      <c r="C78" s="16">
        <f t="shared" si="31" ref="C78:N129">C75/C11</f>
        <v>0.3862385619850858</v>
      </c>
      <c r="D78" s="16">
        <f t="shared" si="31"/>
        <v>0.33574373991513773</v>
      </c>
      <c r="E78" s="16">
        <f t="shared" si="31"/>
        <v>0.368975232395263</v>
      </c>
      <c r="F78" s="16">
        <f t="shared" si="31"/>
        <v>0.3743731352758205</v>
      </c>
      <c r="G78" s="16">
        <f t="shared" si="31"/>
        <v>0.39096267190569745</v>
      </c>
      <c r="H78" s="51">
        <f t="shared" si="31"/>
        <v>0.39251005969590785</v>
      </c>
      <c r="I78" s="1"/>
      <c r="J78" s="16">
        <f t="shared" si="31"/>
        <v>0.3834773110912521</v>
      </c>
      <c r="K78" s="16">
        <f t="shared" si="31"/>
        <v>0.33410737506966376</v>
      </c>
      <c r="L78" s="16">
        <f t="shared" si="31"/>
        <v>0.36587758304996076</v>
      </c>
      <c r="M78" s="16">
        <f t="shared" si="31"/>
        <v>0.3765754587605303</v>
      </c>
      <c r="N78" s="16">
        <f t="shared" si="31"/>
        <v>0.38029630109897233</v>
      </c>
      <c r="O78" s="1"/>
      <c r="P78" s="49"/>
    </row>
    <row r="79" ht="15" customHeight="1">
      <c r="A79" s="1"/>
      <c r="B79" s="50" t="s">
        <v>149</v>
      </c>
      <c r="C79" s="77">
        <f t="shared" si="9"/>
        <v>27.61250893833722</v>
      </c>
      <c r="D79" s="77">
        <f t="shared" si="9"/>
        <v>16.3636484547397</v>
      </c>
      <c r="E79" s="77">
        <f t="shared" si="9"/>
        <v>30.976493453022115</v>
      </c>
      <c r="F79" s="77">
        <f t="shared" si="9"/>
        <v>-22.023234847097783</v>
      </c>
      <c r="G79" s="77">
        <f t="shared" si="9"/>
        <v>106.66370806725112</v>
      </c>
      <c r="H79" s="78">
        <f t="shared" si="16"/>
        <v>62.71497710822027</v>
      </c>
      <c r="I79" s="1"/>
      <c r="J79" s="77"/>
      <c r="K79" s="77"/>
      <c r="L79" s="77"/>
      <c r="M79" s="77"/>
      <c r="N79" s="77"/>
      <c r="O79" s="1"/>
      <c r="P79" s="49"/>
    </row>
    <row r="80" ht="15" customHeight="1">
      <c r="A80" s="1"/>
      <c r="B80" s="50" t="s">
        <v>150</v>
      </c>
      <c r="C80" s="77">
        <f t="shared" si="17"/>
        <v>59.42260886113493</v>
      </c>
      <c r="D80" s="77">
        <f t="shared" si="10"/>
        <v>-504.948220699481</v>
      </c>
      <c r="E80" s="79" t="s">
        <v>15</v>
      </c>
      <c r="F80" s="77">
        <f t="shared" si="18"/>
        <v>386.2939536068277</v>
      </c>
      <c r="G80" s="77">
        <f t="shared" si="10"/>
        <v>165.89536629876943</v>
      </c>
      <c r="H80" s="78">
        <f t="shared" si="10"/>
        <v>15.473877902104082</v>
      </c>
      <c r="I80" s="1"/>
      <c r="J80" s="77"/>
      <c r="K80" s="77"/>
      <c r="L80" s="77"/>
      <c r="M80" s="77"/>
      <c r="N80" s="77"/>
      <c r="O80" s="1"/>
      <c r="P80" s="49"/>
    </row>
    <row r="81" ht="15" customHeight="1">
      <c r="A81" s="1"/>
      <c r="B81" s="65" t="s">
        <v>322</v>
      </c>
      <c r="C81" s="15">
        <f t="shared" si="32" ref="C81:N81">C101+C102+C103</f>
        <v>425</v>
      </c>
      <c r="D81" s="15">
        <f t="shared" si="32"/>
        <v>320</v>
      </c>
      <c r="E81" s="15">
        <f t="shared" si="32"/>
        <v>1313</v>
      </c>
      <c r="F81" s="15">
        <f t="shared" si="32"/>
        <v>171</v>
      </c>
      <c r="G81" s="15">
        <f t="shared" si="32"/>
        <v>334</v>
      </c>
      <c r="H81" s="54">
        <f t="shared" si="32"/>
        <v>100</v>
      </c>
      <c r="I81" s="1"/>
      <c r="J81" s="15">
        <f t="shared" si="32"/>
        <v>4383</v>
      </c>
      <c r="K81" s="15">
        <f t="shared" si="32"/>
        <v>91</v>
      </c>
      <c r="L81" s="15">
        <f t="shared" si="32"/>
        <v>5131</v>
      </c>
      <c r="M81" s="15">
        <f t="shared" si="32"/>
        <v>589</v>
      </c>
      <c r="N81" s="15">
        <f t="shared" si="32"/>
        <v>-21</v>
      </c>
      <c r="O81" s="1"/>
      <c r="P81" s="49"/>
    </row>
    <row r="82" ht="15" customHeight="1">
      <c r="A82" s="1"/>
      <c r="B82" s="72" t="s">
        <v>323</v>
      </c>
      <c r="C82" s="61">
        <f t="shared" si="33" ref="C82:N82">C33+C29</f>
        <v>11436</v>
      </c>
      <c r="D82" s="61">
        <f t="shared" si="33"/>
        <v>10916</v>
      </c>
      <c r="E82" s="61">
        <f t="shared" si="33"/>
        <v>45048</v>
      </c>
      <c r="F82" s="61">
        <f t="shared" si="33"/>
        <v>11624</v>
      </c>
      <c r="G82" s="61">
        <f t="shared" si="33"/>
        <v>12004</v>
      </c>
      <c r="H82" s="62">
        <f>H75-H81</f>
        <v>12278.482263749998</v>
      </c>
      <c r="I82" s="1"/>
      <c r="J82" s="61">
        <f t="shared" si="33"/>
        <v>7203</v>
      </c>
      <c r="K82" s="61">
        <f t="shared" si="33"/>
        <v>10700</v>
      </c>
      <c r="L82" s="61">
        <f t="shared" si="33"/>
        <v>39629</v>
      </c>
      <c r="M82" s="61">
        <f t="shared" si="33"/>
        <v>10944</v>
      </c>
      <c r="N82" s="61">
        <f t="shared" si="33"/>
        <v>11752</v>
      </c>
      <c r="O82" s="1"/>
      <c r="P82" s="49"/>
    </row>
    <row r="83" ht="15" customHeight="1">
      <c r="A83" s="1"/>
      <c r="B83" s="63" t="s">
        <v>324</v>
      </c>
      <c r="C83" s="14">
        <f>C29-'Segment - Advanced Connectivity'!C287-'Segment - Latin America'!C91</f>
        <v>64</v>
      </c>
      <c r="D83" s="14">
        <f>D29-'Segment - Advanced Connectivity'!D287-'Segment - Latin America'!D91</f>
        <v>64</v>
      </c>
      <c r="E83" s="14">
        <f>E29-'Segment - Advanced Connectivity'!E287-'Segment - Latin America'!E91</f>
        <v>256</v>
      </c>
      <c r="F83" s="14">
        <f>F29-'Segment - Advanced Connectivity'!F287-'Segment - Latin America'!F91</f>
        <v>61</v>
      </c>
      <c r="G83" s="14">
        <f>G29-'Segment - Advanced Connectivity'!G287-'Segment - Latin America'!G91</f>
        <v>90</v>
      </c>
      <c r="H83" s="85">
        <v>95</v>
      </c>
      <c r="I83" s="1"/>
      <c r="J83" s="14">
        <f>J29-'Segment - Advanced Connectivity'!J287-'Segment - Latin America'!J91</f>
        <v>116</v>
      </c>
      <c r="K83" s="14">
        <f>K29-'Segment - Advanced Connectivity'!K287-'Segment - Latin America'!K91</f>
        <v>110</v>
      </c>
      <c r="L83" s="14">
        <f>L29-'Segment - Advanced Connectivity'!L287-'Segment - Latin America'!L91</f>
        <v>490</v>
      </c>
      <c r="M83" s="14">
        <f>M29-'Segment - Advanced Connectivity'!M287-'Segment - Latin America'!M91</f>
        <v>67</v>
      </c>
      <c r="N83" s="14">
        <f>N29-'Segment - Advanced Connectivity'!N287-'Segment - Latin America'!N91</f>
        <v>61</v>
      </c>
      <c r="O83" s="1"/>
      <c r="P83" s="49" t="s">
        <v>325</v>
      </c>
    </row>
    <row r="84" ht="15" customHeight="1">
      <c r="A84" s="1"/>
      <c r="B84" s="65" t="s">
        <v>326</v>
      </c>
      <c r="C84" s="15">
        <f t="shared" si="34" ref="C84:N84">C29-C104</f>
        <v>5307</v>
      </c>
      <c r="D84" s="15">
        <f t="shared" si="34"/>
        <v>5118</v>
      </c>
      <c r="E84" s="15">
        <f t="shared" si="34"/>
        <v>20848</v>
      </c>
      <c r="F84" s="15">
        <f t="shared" si="34"/>
        <v>4909</v>
      </c>
      <c r="G84" s="15">
        <f t="shared" si="34"/>
        <v>4882</v>
      </c>
      <c r="H84" s="54">
        <f t="shared" si="34"/>
        <v>4928</v>
      </c>
      <c r="I84" s="1"/>
      <c r="J84" s="15">
        <f t="shared" si="34"/>
        <v>5074</v>
      </c>
      <c r="K84" s="15">
        <f t="shared" si="34"/>
        <v>5364</v>
      </c>
      <c r="L84" s="15">
        <f t="shared" si="34"/>
        <v>20527</v>
      </c>
      <c r="M84" s="15">
        <f t="shared" si="34"/>
        <v>5181</v>
      </c>
      <c r="N84" s="15">
        <f t="shared" si="34"/>
        <v>5242</v>
      </c>
      <c r="O84" s="1"/>
      <c r="P84" s="49"/>
    </row>
    <row r="85" ht="15" customHeight="1">
      <c r="A85" s="1"/>
      <c r="B85" s="3" t="s">
        <v>327</v>
      </c>
      <c r="C85" s="61">
        <f t="shared" si="35" ref="C85:N85">C33+C81+C104</f>
        <v>6554</v>
      </c>
      <c r="D85" s="61">
        <f t="shared" si="35"/>
        <v>6118</v>
      </c>
      <c r="E85" s="61">
        <f t="shared" si="35"/>
        <v>25513</v>
      </c>
      <c r="F85" s="61">
        <f t="shared" si="35"/>
        <v>6886</v>
      </c>
      <c r="G85" s="61">
        <f t="shared" si="35"/>
        <v>7456</v>
      </c>
      <c r="H85" s="62">
        <f t="shared" si="35"/>
        <v>7450.4822637499965</v>
      </c>
      <c r="I85" s="1"/>
      <c r="J85" s="61">
        <f t="shared" si="35"/>
        <v>6512</v>
      </c>
      <c r="K85" s="61">
        <f t="shared" si="35"/>
        <v>5427</v>
      </c>
      <c r="L85" s="61">
        <f t="shared" si="35"/>
        <v>24233</v>
      </c>
      <c r="M85" s="61">
        <f t="shared" si="35"/>
        <v>6352</v>
      </c>
      <c r="N85" s="61">
        <f t="shared" si="35"/>
        <v>6489</v>
      </c>
      <c r="O85" s="1"/>
      <c r="P85" s="49"/>
    </row>
    <row r="86" ht="15" customHeight="1">
      <c r="A86" s="1"/>
      <c r="B86" s="50" t="s">
        <v>115</v>
      </c>
      <c r="C86" s="16">
        <f t="shared" si="3"/>
        <v>0.006449631449631399</v>
      </c>
      <c r="D86" s="16">
        <f t="shared" si="3"/>
        <v>0.12732633130643078</v>
      </c>
      <c r="E86" s="16">
        <f t="shared" si="3"/>
        <v>0.05282053398258579</v>
      </c>
      <c r="F86" s="16">
        <f t="shared" si="3"/>
        <v>0.08406801007556686</v>
      </c>
      <c r="G86" s="16">
        <f t="shared" si="3"/>
        <v>0.14902142086608117</v>
      </c>
      <c r="H86" s="51">
        <f t="shared" si="5"/>
        <v>0.13678398897619726</v>
      </c>
      <c r="I86" s="1"/>
      <c r="J86" s="16"/>
      <c r="K86" s="16"/>
      <c r="L86" s="16"/>
      <c r="M86" s="16"/>
      <c r="N86" s="16"/>
      <c r="O86" s="1"/>
      <c r="P86" s="49"/>
    </row>
    <row r="87" ht="15" customHeight="1">
      <c r="A87" s="1"/>
      <c r="B87" s="50" t="s">
        <v>116</v>
      </c>
      <c r="C87" s="16">
        <f t="shared" si="6"/>
        <v>0.010016951764524551</v>
      </c>
      <c r="D87" s="16">
        <f t="shared" si="4"/>
        <v>-0.06652425999389688</v>
      </c>
      <c r="E87" s="52" t="s">
        <v>15</v>
      </c>
      <c r="F87" s="16">
        <f t="shared" si="7"/>
        <v>0.1255312193527296</v>
      </c>
      <c r="G87" s="16">
        <f t="shared" si="4"/>
        <v>0.08277664827185593</v>
      </c>
      <c r="H87" s="51">
        <f t="shared" si="4"/>
        <v>-0.0007400397331013275</v>
      </c>
      <c r="I87" s="1"/>
      <c r="J87" s="16"/>
      <c r="K87" s="16"/>
      <c r="L87" s="16"/>
      <c r="M87" s="16"/>
      <c r="N87" s="16"/>
      <c r="O87" s="1"/>
      <c r="P87" s="49"/>
    </row>
    <row r="88" ht="15" customHeight="1">
      <c r="A88" s="1"/>
      <c r="B88" s="84" t="s">
        <v>328</v>
      </c>
      <c r="C88" s="16">
        <f t="shared" si="36" ref="C88:N88">C85/C11</f>
        <v>0.21342277508222346</v>
      </c>
      <c r="D88" s="16">
        <f t="shared" si="36"/>
        <v>0.18281240662164586</v>
      </c>
      <c r="E88" s="16">
        <f t="shared" si="36"/>
        <v>0.20305138163759073</v>
      </c>
      <c r="F88" s="16">
        <f t="shared" si="36"/>
        <v>0.2185615438329207</v>
      </c>
      <c r="G88" s="16">
        <f t="shared" si="36"/>
        <v>0.23626338804740477</v>
      </c>
      <c r="H88" s="51">
        <f t="shared" si="36"/>
        <v>0.236247802904868</v>
      </c>
      <c r="I88" s="1"/>
      <c r="J88" s="16">
        <f t="shared" si="36"/>
        <v>0.2155363585211664</v>
      </c>
      <c r="K88" s="16">
        <f t="shared" si="36"/>
        <v>0.16802898012260822</v>
      </c>
      <c r="L88" s="16">
        <f t="shared" si="36"/>
        <v>0.1980856003138896</v>
      </c>
      <c r="M88" s="16">
        <f t="shared" si="36"/>
        <v>0.2074054724743682</v>
      </c>
      <c r="N88" s="16">
        <f t="shared" si="36"/>
        <v>0.21036081304502868</v>
      </c>
      <c r="O88" s="1"/>
      <c r="P88" s="49"/>
    </row>
    <row r="89" ht="15" customHeight="1">
      <c r="A89" s="1"/>
      <c r="B89" s="50" t="s">
        <v>149</v>
      </c>
      <c r="C89" s="77">
        <f t="shared" si="9"/>
        <v>-21.135834389429398</v>
      </c>
      <c r="D89" s="77">
        <f t="shared" si="9"/>
        <v>147.83426499037634</v>
      </c>
      <c r="E89" s="77">
        <f t="shared" si="9"/>
        <v>49.65781323701124</v>
      </c>
      <c r="F89" s="77">
        <f t="shared" si="9"/>
        <v>111.56071358552511</v>
      </c>
      <c r="G89" s="77">
        <f t="shared" si="9"/>
        <v>259.02575002376085</v>
      </c>
      <c r="H89" s="78">
        <f t="shared" si="16"/>
        <v>228.25027822644535</v>
      </c>
      <c r="I89" s="1"/>
      <c r="J89" s="77"/>
      <c r="K89" s="77"/>
      <c r="L89" s="77"/>
      <c r="M89" s="77"/>
      <c r="N89" s="77"/>
      <c r="O89" s="1"/>
      <c r="P89" s="49"/>
    </row>
    <row r="90" ht="15" customHeight="1">
      <c r="A90" s="1"/>
      <c r="B90" s="50" t="s">
        <v>150</v>
      </c>
      <c r="C90" s="77">
        <f t="shared" si="17"/>
        <v>30.619620371947764</v>
      </c>
      <c r="D90" s="77">
        <f t="shared" si="10"/>
        <v>-306.10368460577604</v>
      </c>
      <c r="E90" s="79" t="s">
        <v>15</v>
      </c>
      <c r="F90" s="77">
        <f t="shared" si="18"/>
        <v>357.4913721127485</v>
      </c>
      <c r="G90" s="77">
        <f t="shared" si="10"/>
        <v>177.01844214484063</v>
      </c>
      <c r="H90" s="78">
        <f t="shared" si="10"/>
        <v>-0.15585142536772567</v>
      </c>
      <c r="I90" s="1"/>
      <c r="J90" s="77"/>
      <c r="K90" s="77"/>
      <c r="L90" s="77"/>
      <c r="M90" s="77"/>
      <c r="N90" s="77"/>
      <c r="O90" s="1"/>
      <c r="P90" s="49"/>
    </row>
    <row r="91" ht="15" customHeight="1">
      <c r="A91" s="1"/>
      <c r="B91" s="63" t="s">
        <v>329</v>
      </c>
      <c r="C91" s="60">
        <v>11861</v>
      </c>
      <c r="D91" s="60">
        <v>11236</v>
      </c>
      <c r="E91" s="60">
        <v>46361</v>
      </c>
      <c r="F91" s="60">
        <v>11795</v>
      </c>
      <c r="G91" s="60">
        <v>12338</v>
      </c>
      <c r="H91" s="64" t="s">
        <v>15</v>
      </c>
      <c r="I91" s="1"/>
      <c r="J91" s="60">
        <v>11586</v>
      </c>
      <c r="K91" s="60">
        <v>10791</v>
      </c>
      <c r="L91" s="60">
        <v>44760</v>
      </c>
      <c r="M91" s="60">
        <v>11533</v>
      </c>
      <c r="N91" s="60">
        <v>11731</v>
      </c>
      <c r="O91" s="1"/>
      <c r="P91" s="49"/>
    </row>
    <row r="92" ht="15" customHeight="1">
      <c r="A92" s="1"/>
      <c r="B92" s="65" t="s">
        <v>330</v>
      </c>
      <c r="C92" s="15">
        <f t="shared" si="37" ref="C92:G92">C75-C91</f>
        <v>0</v>
      </c>
      <c r="D92" s="15">
        <f t="shared" si="37"/>
        <v>0</v>
      </c>
      <c r="E92" s="15">
        <f t="shared" si="37"/>
        <v>0</v>
      </c>
      <c r="F92" s="15">
        <f t="shared" si="37"/>
        <v>0</v>
      </c>
      <c r="G92" s="15">
        <f t="shared" si="37"/>
        <v>0</v>
      </c>
      <c r="H92" s="64" t="s">
        <v>15</v>
      </c>
      <c r="I92" s="1"/>
      <c r="J92" s="15"/>
      <c r="K92" s="15"/>
      <c r="L92" s="15"/>
      <c r="M92" s="15"/>
      <c r="N92" s="15"/>
      <c r="O92" s="1"/>
      <c r="P92" s="49" t="s">
        <v>331</v>
      </c>
    </row>
    <row r="93" ht="15" customHeight="1">
      <c r="A93" s="1"/>
      <c r="B93" s="3" t="s">
        <v>332</v>
      </c>
      <c r="C93" s="1"/>
      <c r="D93" s="1"/>
      <c r="E93" s="1"/>
      <c r="F93" s="1"/>
      <c r="G93" s="1"/>
      <c r="H93" s="48"/>
      <c r="I93" s="1"/>
      <c r="J93" s="1"/>
      <c r="K93" s="1"/>
      <c r="L93" s="1"/>
      <c r="M93" s="1"/>
      <c r="N93" s="1"/>
      <c r="O93" s="1"/>
      <c r="P93" s="49"/>
    </row>
    <row r="94" ht="15" customHeight="1">
      <c r="A94" s="1"/>
      <c r="B94" s="63" t="s">
        <v>333</v>
      </c>
      <c r="C94" s="21" t="s">
        <v>15</v>
      </c>
      <c r="D94" s="21" t="s">
        <v>15</v>
      </c>
      <c r="E94" s="21" t="s">
        <v>15</v>
      </c>
      <c r="F94" s="21" t="s">
        <v>15</v>
      </c>
      <c r="G94" s="21" t="s">
        <v>15</v>
      </c>
      <c r="H94" s="54">
        <f>G40</f>
        <v>1883</v>
      </c>
      <c r="I94" s="1"/>
      <c r="J94" s="15"/>
      <c r="K94" s="15"/>
      <c r="L94" s="15"/>
      <c r="M94" s="15"/>
      <c r="N94" s="15"/>
      <c r="O94" s="1"/>
      <c r="P94" s="49"/>
    </row>
    <row r="95" ht="15" customHeight="1">
      <c r="A95" s="1"/>
      <c r="B95" s="65" t="s">
        <v>334</v>
      </c>
      <c r="C95" s="21" t="s">
        <v>15</v>
      </c>
      <c r="D95" s="21" t="s">
        <v>15</v>
      </c>
      <c r="E95" s="21" t="s">
        <v>15</v>
      </c>
      <c r="F95" s="21" t="s">
        <v>15</v>
      </c>
      <c r="G95" s="21" t="s">
        <v>15</v>
      </c>
      <c r="H95" s="85">
        <v>109</v>
      </c>
      <c r="I95" s="1"/>
      <c r="J95" s="15"/>
      <c r="K95" s="15"/>
      <c r="L95" s="15"/>
      <c r="M95" s="15"/>
      <c r="N95" s="15"/>
      <c r="O95" s="1"/>
      <c r="P95" s="49" t="s">
        <v>335</v>
      </c>
    </row>
    <row r="96" ht="15" customHeight="1">
      <c r="A96" s="1"/>
      <c r="B96" s="63" t="s">
        <v>336</v>
      </c>
      <c r="C96" s="21" t="s">
        <v>15</v>
      </c>
      <c r="D96" s="21" t="s">
        <v>15</v>
      </c>
      <c r="E96" s="21" t="s">
        <v>15</v>
      </c>
      <c r="F96" s="21" t="s">
        <v>15</v>
      </c>
      <c r="G96" s="21" t="s">
        <v>15</v>
      </c>
      <c r="H96" s="85">
        <v>52</v>
      </c>
      <c r="I96" s="1"/>
      <c r="J96" s="15"/>
      <c r="K96" s="15"/>
      <c r="L96" s="15"/>
      <c r="M96" s="15"/>
      <c r="N96" s="15"/>
      <c r="O96" s="1"/>
      <c r="P96" s="49" t="s">
        <v>337</v>
      </c>
    </row>
    <row r="97" ht="15" customHeight="1">
      <c r="A97" s="1"/>
      <c r="B97" s="65" t="s">
        <v>338</v>
      </c>
      <c r="C97" s="21" t="s">
        <v>15</v>
      </c>
      <c r="D97" s="21" t="s">
        <v>15</v>
      </c>
      <c r="E97" s="21" t="s">
        <v>15</v>
      </c>
      <c r="F97" s="21" t="s">
        <v>15</v>
      </c>
      <c r="G97" s="21" t="s">
        <v>15</v>
      </c>
      <c r="H97" s="85">
        <v>-20</v>
      </c>
      <c r="I97" s="1"/>
      <c r="J97" s="15"/>
      <c r="K97" s="15"/>
      <c r="L97" s="15"/>
      <c r="M97" s="15"/>
      <c r="N97" s="15"/>
      <c r="O97" s="1"/>
      <c r="P97" s="49"/>
    </row>
    <row r="98" ht="15" customHeight="1">
      <c r="A98" s="1"/>
      <c r="B98" s="65" t="s">
        <v>339</v>
      </c>
      <c r="C98" s="21" t="s">
        <v>15</v>
      </c>
      <c r="D98" s="21" t="s">
        <v>15</v>
      </c>
      <c r="E98" s="21" t="s">
        <v>15</v>
      </c>
      <c r="F98" s="21" t="s">
        <v>15</v>
      </c>
      <c r="G98" s="21" t="s">
        <v>15</v>
      </c>
      <c r="H98" s="85">
        <v>-50</v>
      </c>
      <c r="I98" s="1"/>
      <c r="J98" s="15"/>
      <c r="K98" s="15"/>
      <c r="L98" s="15"/>
      <c r="M98" s="15"/>
      <c r="N98" s="15"/>
      <c r="O98" s="1"/>
      <c r="P98" s="49" t="s">
        <v>340</v>
      </c>
    </row>
    <row r="99" ht="15" customHeight="1">
      <c r="A99" s="1"/>
      <c r="B99" s="3" t="s">
        <v>341</v>
      </c>
      <c r="C99" s="61">
        <f t="shared" si="38" ref="C99:G99">C40</f>
        <v>1700</v>
      </c>
      <c r="D99" s="61">
        <f t="shared" si="38"/>
        <v>1791</v>
      </c>
      <c r="E99" s="61">
        <f t="shared" si="38"/>
        <v>6804</v>
      </c>
      <c r="F99" s="61">
        <f t="shared" si="38"/>
        <v>1813</v>
      </c>
      <c r="G99" s="61">
        <f t="shared" si="38"/>
        <v>1883</v>
      </c>
      <c r="H99" s="62">
        <f>SUM(H94:H98)</f>
        <v>1974</v>
      </c>
      <c r="I99" s="1"/>
      <c r="J99" s="61"/>
      <c r="K99" s="61"/>
      <c r="L99" s="61"/>
      <c r="M99" s="61"/>
      <c r="N99" s="61"/>
      <c r="O99" s="1"/>
      <c r="P99" s="49"/>
    </row>
    <row r="100" ht="15" customHeight="1">
      <c r="A100" s="1"/>
      <c r="B100" s="3" t="s">
        <v>342</v>
      </c>
      <c r="C100" s="1"/>
      <c r="D100" s="1"/>
      <c r="E100" s="1"/>
      <c r="F100" s="1"/>
      <c r="G100" s="1"/>
      <c r="H100" s="48"/>
      <c r="I100" s="1"/>
      <c r="J100" s="1"/>
      <c r="K100" s="1"/>
      <c r="L100" s="1"/>
      <c r="M100" s="1"/>
      <c r="N100" s="1"/>
      <c r="O100" s="1"/>
      <c r="P100" s="49"/>
    </row>
    <row r="101" ht="15" customHeight="1">
      <c r="A101" s="1"/>
      <c r="B101" s="65" t="s">
        <v>343</v>
      </c>
      <c r="C101" s="60">
        <v>487</v>
      </c>
      <c r="D101" s="60">
        <v>12</v>
      </c>
      <c r="E101" s="15">
        <f t="shared" si="11"/>
        <v>627</v>
      </c>
      <c r="F101" s="60">
        <v>146</v>
      </c>
      <c r="G101" s="60">
        <v>149</v>
      </c>
      <c r="H101" s="85">
        <v>100</v>
      </c>
      <c r="I101" s="1"/>
      <c r="J101" s="60">
        <v>34</v>
      </c>
      <c r="K101" s="60">
        <v>22</v>
      </c>
      <c r="L101" s="60">
        <v>123</v>
      </c>
      <c r="M101" s="60">
        <v>79</v>
      </c>
      <c r="N101" s="60">
        <v>49</v>
      </c>
      <c r="O101" s="1"/>
      <c r="P101" s="49" t="s">
        <v>344</v>
      </c>
    </row>
    <row r="102" ht="15" customHeight="1">
      <c r="A102" s="1"/>
      <c r="B102" s="65" t="s">
        <v>345</v>
      </c>
      <c r="C102" s="60">
        <v>-62</v>
      </c>
      <c r="D102" s="60">
        <v>-26</v>
      </c>
      <c r="E102" s="15">
        <f t="shared" si="11"/>
        <v>-152</v>
      </c>
      <c r="F102" s="60">
        <v>25</v>
      </c>
      <c r="G102" s="60">
        <v>-101</v>
      </c>
      <c r="H102" s="85">
        <v>0</v>
      </c>
      <c r="I102" s="1"/>
      <c r="J102" s="60">
        <v>-73</v>
      </c>
      <c r="K102" s="60">
        <v>55</v>
      </c>
      <c r="L102" s="60">
        <v>-67</v>
      </c>
      <c r="M102" s="60">
        <v>6</v>
      </c>
      <c r="N102" s="60">
        <v>-70</v>
      </c>
      <c r="O102" s="1"/>
      <c r="P102" s="49" t="s">
        <v>346</v>
      </c>
    </row>
    <row r="103" ht="15" customHeight="1">
      <c r="A103" s="1"/>
      <c r="B103" s="65" t="s">
        <v>283</v>
      </c>
      <c r="C103" s="15">
        <f t="shared" si="39" ref="C103:N103">C27</f>
        <v>0</v>
      </c>
      <c r="D103" s="15">
        <f t="shared" si="39"/>
        <v>334</v>
      </c>
      <c r="E103" s="15">
        <f t="shared" si="39"/>
        <v>838</v>
      </c>
      <c r="F103" s="15">
        <f t="shared" si="39"/>
        <v>0</v>
      </c>
      <c r="G103" s="15">
        <f t="shared" si="39"/>
        <v>286</v>
      </c>
      <c r="H103" s="54">
        <f t="shared" si="39"/>
        <v>0</v>
      </c>
      <c r="I103" s="1"/>
      <c r="J103" s="15">
        <f t="shared" si="39"/>
        <v>4422</v>
      </c>
      <c r="K103" s="15">
        <f t="shared" si="39"/>
        <v>14</v>
      </c>
      <c r="L103" s="15">
        <f t="shared" si="39"/>
        <v>5075</v>
      </c>
      <c r="M103" s="15">
        <f t="shared" si="39"/>
        <v>504</v>
      </c>
      <c r="N103" s="15">
        <f t="shared" si="39"/>
        <v>0</v>
      </c>
      <c r="O103" s="1"/>
      <c r="P103" s="49"/>
    </row>
    <row r="104" ht="15" customHeight="1">
      <c r="A104" s="1"/>
      <c r="B104" s="65" t="s">
        <v>347</v>
      </c>
      <c r="C104" s="60">
        <v>10</v>
      </c>
      <c r="D104" s="60">
        <v>10</v>
      </c>
      <c r="E104" s="15">
        <f t="shared" si="11"/>
        <v>38</v>
      </c>
      <c r="F104" s="60">
        <v>57</v>
      </c>
      <c r="G104" s="60">
        <v>84</v>
      </c>
      <c r="H104" s="85">
        <v>82</v>
      </c>
      <c r="I104" s="1"/>
      <c r="J104" s="60">
        <v>13</v>
      </c>
      <c r="K104" s="60">
        <v>10</v>
      </c>
      <c r="L104" s="60">
        <v>53</v>
      </c>
      <c r="M104" s="60">
        <v>9</v>
      </c>
      <c r="N104" s="60">
        <v>9</v>
      </c>
      <c r="O104" s="1"/>
      <c r="P104" s="49" t="s">
        <v>348</v>
      </c>
    </row>
    <row r="105" ht="15" customHeight="1">
      <c r="A105" s="1"/>
      <c r="B105" s="63" t="s">
        <v>349</v>
      </c>
      <c r="C105" s="60">
        <v>0</v>
      </c>
      <c r="D105" s="60">
        <v>0</v>
      </c>
      <c r="E105" s="15">
        <f t="shared" si="11"/>
        <v>-1926</v>
      </c>
      <c r="F105" s="60">
        <v>0</v>
      </c>
      <c r="G105" s="60">
        <v>0</v>
      </c>
      <c r="H105" s="85">
        <v>0</v>
      </c>
      <c r="I105" s="1"/>
      <c r="J105" s="60">
        <v>-281</v>
      </c>
      <c r="K105" s="60">
        <v>-1072</v>
      </c>
      <c r="L105" s="60">
        <v>-2027</v>
      </c>
      <c r="M105" s="60">
        <v>-1423</v>
      </c>
      <c r="N105" s="60">
        <v>-503</v>
      </c>
      <c r="O105" s="1"/>
      <c r="P105" s="49"/>
    </row>
    <row r="106" ht="15" customHeight="1">
      <c r="A106" s="1"/>
      <c r="B106" s="63" t="s">
        <v>350</v>
      </c>
      <c r="C106" s="60">
        <v>-5479</v>
      </c>
      <c r="D106" s="60">
        <v>-101</v>
      </c>
      <c r="E106" s="15">
        <f t="shared" si="11"/>
        <v>-5580</v>
      </c>
      <c r="F106" s="60">
        <v>0</v>
      </c>
      <c r="G106" s="60">
        <v>0</v>
      </c>
      <c r="H106" s="85">
        <v>0</v>
      </c>
      <c r="I106" s="1"/>
      <c r="J106" s="60">
        <v>0</v>
      </c>
      <c r="K106" s="60">
        <v>0</v>
      </c>
      <c r="L106" s="60">
        <v>0</v>
      </c>
      <c r="M106" s="60">
        <v>0</v>
      </c>
      <c r="N106" s="60">
        <v>0</v>
      </c>
      <c r="O106" s="1"/>
      <c r="P106" s="49"/>
    </row>
    <row r="107" ht="15" customHeight="1">
      <c r="A107" s="1"/>
      <c r="B107" s="65" t="s">
        <v>351</v>
      </c>
      <c r="C107" s="60">
        <v>-99</v>
      </c>
      <c r="D107" s="60">
        <v>-22</v>
      </c>
      <c r="E107" s="15">
        <f t="shared" si="11"/>
        <v>-246</v>
      </c>
      <c r="F107" s="60">
        <v>28</v>
      </c>
      <c r="G107" s="60">
        <v>-89</v>
      </c>
      <c r="H107" s="85">
        <v>0</v>
      </c>
      <c r="I107" s="1"/>
      <c r="J107" s="60">
        <v>-92</v>
      </c>
      <c r="K107" s="60">
        <v>10</v>
      </c>
      <c r="L107" s="60">
        <v>156</v>
      </c>
      <c r="M107" s="60">
        <v>64</v>
      </c>
      <c r="N107" s="60">
        <v>-189</v>
      </c>
      <c r="O107" s="1"/>
      <c r="P107" s="49"/>
    </row>
    <row r="108" ht="15" customHeight="1">
      <c r="A108" s="1"/>
      <c r="B108" s="63" t="s">
        <v>352</v>
      </c>
      <c r="C108" s="60">
        <v>0</v>
      </c>
      <c r="D108" s="60">
        <v>519</v>
      </c>
      <c r="E108" s="15">
        <f t="shared" si="11"/>
        <v>519</v>
      </c>
      <c r="F108" s="60">
        <v>0</v>
      </c>
      <c r="G108" s="60">
        <v>0</v>
      </c>
      <c r="H108" s="85">
        <v>0</v>
      </c>
      <c r="I108" s="1"/>
      <c r="J108" s="60">
        <v>0</v>
      </c>
      <c r="K108" s="60">
        <v>56</v>
      </c>
      <c r="L108" s="60">
        <v>56</v>
      </c>
      <c r="M108" s="60">
        <v>0</v>
      </c>
      <c r="N108" s="60">
        <v>0</v>
      </c>
      <c r="O108" s="1"/>
      <c r="P108" s="49"/>
    </row>
    <row r="109" ht="15" customHeight="1">
      <c r="A109" s="1"/>
      <c r="B109" s="72" t="s">
        <v>353</v>
      </c>
      <c r="C109" s="61">
        <f t="shared" si="40" ref="C109:N109">SUM(C101:C108)</f>
        <v>-5143</v>
      </c>
      <c r="D109" s="61">
        <f t="shared" si="40"/>
        <v>726</v>
      </c>
      <c r="E109" s="61">
        <f t="shared" si="40"/>
        <v>-5882</v>
      </c>
      <c r="F109" s="61">
        <f t="shared" si="40"/>
        <v>256</v>
      </c>
      <c r="G109" s="61">
        <f t="shared" si="40"/>
        <v>329</v>
      </c>
      <c r="H109" s="62">
        <f t="shared" si="40"/>
        <v>182</v>
      </c>
      <c r="I109" s="1"/>
      <c r="J109" s="61">
        <f t="shared" si="40"/>
        <v>4023</v>
      </c>
      <c r="K109" s="61">
        <f t="shared" si="40"/>
        <v>-905</v>
      </c>
      <c r="L109" s="61">
        <f t="shared" si="40"/>
        <v>3369</v>
      </c>
      <c r="M109" s="61">
        <f t="shared" si="40"/>
        <v>-761</v>
      </c>
      <c r="N109" s="61">
        <f t="shared" si="40"/>
        <v>-704</v>
      </c>
      <c r="O109" s="1"/>
      <c r="P109" s="49"/>
    </row>
    <row r="110" ht="15" customHeight="1">
      <c r="A110" s="1"/>
      <c r="B110" s="63" t="s">
        <v>354</v>
      </c>
      <c r="C110" s="60">
        <v>67</v>
      </c>
      <c r="D110" s="60">
        <v>193</v>
      </c>
      <c r="E110" s="15">
        <f t="shared" si="11"/>
        <v>-73</v>
      </c>
      <c r="F110" s="60">
        <v>59</v>
      </c>
      <c r="G110" s="60">
        <v>81</v>
      </c>
      <c r="H110" s="54">
        <f>H109*H122</f>
        <v>40.04</v>
      </c>
      <c r="I110" s="1"/>
      <c r="J110" s="60">
        <v>-88</v>
      </c>
      <c r="K110" s="60">
        <v>-190</v>
      </c>
      <c r="L110" s="60">
        <v>-221</v>
      </c>
      <c r="M110" s="60">
        <v>-165</v>
      </c>
      <c r="N110" s="60">
        <v>-168</v>
      </c>
      <c r="O110" s="1"/>
      <c r="P110" s="49"/>
    </row>
    <row r="111" ht="15" customHeight="1">
      <c r="A111" s="1"/>
      <c r="B111" s="63" t="s">
        <v>355</v>
      </c>
      <c r="C111" s="60">
        <v>177</v>
      </c>
      <c r="D111" s="60">
        <v>592</v>
      </c>
      <c r="E111" s="15">
        <f t="shared" si="11"/>
        <v>769</v>
      </c>
      <c r="F111" s="60">
        <v>0</v>
      </c>
      <c r="G111" s="60">
        <v>365</v>
      </c>
      <c r="H111" s="85">
        <v>0</v>
      </c>
      <c r="I111" s="1"/>
      <c r="J111" s="60">
        <v>0</v>
      </c>
      <c r="K111" s="60">
        <v>222</v>
      </c>
      <c r="L111" s="60">
        <v>222</v>
      </c>
      <c r="M111" s="60">
        <v>0</v>
      </c>
      <c r="N111" s="60">
        <v>0</v>
      </c>
      <c r="O111" s="1"/>
      <c r="P111" s="49"/>
    </row>
    <row r="112" ht="23.25" customHeight="1">
      <c r="A112" s="1"/>
      <c r="B112" s="72" t="s">
        <v>356</v>
      </c>
      <c r="C112" s="61">
        <f t="shared" si="41" ref="C112:N112">C109-C110-C111</f>
        <v>-5387</v>
      </c>
      <c r="D112" s="61">
        <f t="shared" si="41"/>
        <v>-59</v>
      </c>
      <c r="E112" s="61">
        <f t="shared" si="41"/>
        <v>-6578</v>
      </c>
      <c r="F112" s="61">
        <f t="shared" si="41"/>
        <v>197</v>
      </c>
      <c r="G112" s="61">
        <f t="shared" si="41"/>
        <v>-117</v>
      </c>
      <c r="H112" s="62">
        <f t="shared" si="41"/>
        <v>141.96</v>
      </c>
      <c r="I112" s="1"/>
      <c r="J112" s="61">
        <f t="shared" si="41"/>
        <v>4111</v>
      </c>
      <c r="K112" s="61">
        <f t="shared" si="41"/>
        <v>-937</v>
      </c>
      <c r="L112" s="61">
        <f t="shared" si="41"/>
        <v>3368</v>
      </c>
      <c r="M112" s="61">
        <f t="shared" si="41"/>
        <v>-596</v>
      </c>
      <c r="N112" s="61">
        <f t="shared" si="41"/>
        <v>-536</v>
      </c>
      <c r="O112" s="1"/>
      <c r="P112" s="49"/>
    </row>
    <row r="113" ht="15" customHeight="1">
      <c r="A113" s="1"/>
      <c r="B113" s="63" t="s">
        <v>357</v>
      </c>
      <c r="C113" s="60">
        <v>0</v>
      </c>
      <c r="D113" s="60">
        <v>0</v>
      </c>
      <c r="E113" s="15">
        <f t="shared" si="11"/>
        <v>-90</v>
      </c>
      <c r="F113" s="60">
        <v>0</v>
      </c>
      <c r="G113" s="60">
        <v>0</v>
      </c>
      <c r="H113" s="85">
        <v>0</v>
      </c>
      <c r="I113" s="1"/>
      <c r="J113" s="60">
        <v>0</v>
      </c>
      <c r="K113" s="60">
        <v>0</v>
      </c>
      <c r="L113" s="60">
        <v>0</v>
      </c>
      <c r="M113" s="60">
        <v>-90</v>
      </c>
      <c r="N113" s="60">
        <v>0</v>
      </c>
      <c r="O113" s="1"/>
      <c r="P113" s="49"/>
    </row>
    <row r="114" ht="23.25" customHeight="1">
      <c r="A114" s="1"/>
      <c r="B114" s="72" t="s">
        <v>358</v>
      </c>
      <c r="C114" s="61">
        <f t="shared" si="2"/>
        <v>-5387</v>
      </c>
      <c r="D114" s="61">
        <f t="shared" si="2"/>
        <v>-59</v>
      </c>
      <c r="E114" s="61">
        <f t="shared" si="2"/>
        <v>-6668</v>
      </c>
      <c r="F114" s="61">
        <f t="shared" si="2"/>
        <v>197</v>
      </c>
      <c r="G114" s="61">
        <f t="shared" si="2"/>
        <v>-117</v>
      </c>
      <c r="H114" s="62">
        <f t="shared" si="2"/>
        <v>141.96</v>
      </c>
      <c r="I114" s="1"/>
      <c r="J114" s="61">
        <f t="shared" si="2"/>
        <v>4111</v>
      </c>
      <c r="K114" s="61">
        <f t="shared" si="2"/>
        <v>-937</v>
      </c>
      <c r="L114" s="61">
        <f t="shared" si="2"/>
        <v>3368</v>
      </c>
      <c r="M114" s="61">
        <f t="shared" si="2"/>
        <v>-686</v>
      </c>
      <c r="N114" s="61">
        <f t="shared" si="2"/>
        <v>-536</v>
      </c>
      <c r="O114" s="1"/>
      <c r="P114" s="49"/>
    </row>
    <row r="115" ht="15" customHeight="1">
      <c r="A115" s="1"/>
      <c r="B115" s="3" t="s">
        <v>359</v>
      </c>
      <c r="C115" s="1"/>
      <c r="D115" s="1"/>
      <c r="E115" s="1"/>
      <c r="F115" s="1"/>
      <c r="G115" s="1"/>
      <c r="H115" s="48"/>
      <c r="I115" s="1"/>
      <c r="J115" s="1"/>
      <c r="K115" s="1"/>
      <c r="L115" s="1"/>
      <c r="M115" s="1"/>
      <c r="N115" s="1"/>
      <c r="O115" s="1"/>
      <c r="P115" s="49"/>
    </row>
    <row r="116" ht="15" customHeight="1">
      <c r="A116" s="1"/>
      <c r="B116" s="65" t="s">
        <v>360</v>
      </c>
      <c r="C116" s="15">
        <f t="shared" si="42" ref="C116:N116">C41+C105</f>
        <v>-20</v>
      </c>
      <c r="D116" s="15">
        <f t="shared" si="42"/>
        <v>-10</v>
      </c>
      <c r="E116" s="15">
        <f t="shared" si="42"/>
        <v>-31</v>
      </c>
      <c r="F116" s="15">
        <f t="shared" si="42"/>
        <v>-41</v>
      </c>
      <c r="G116" s="15">
        <f t="shared" si="42"/>
        <v>-29</v>
      </c>
      <c r="H116" s="85">
        <v>-35</v>
      </c>
      <c r="I116" s="1"/>
      <c r="J116" s="15">
        <f t="shared" si="42"/>
        <v>-9</v>
      </c>
      <c r="K116" s="15">
        <f t="shared" si="42"/>
        <v>2</v>
      </c>
      <c r="L116" s="15">
        <f t="shared" si="42"/>
        <v>-38</v>
      </c>
      <c r="M116" s="15">
        <f t="shared" si="42"/>
        <v>17</v>
      </c>
      <c r="N116" s="15">
        <f t="shared" si="42"/>
        <v>-18</v>
      </c>
      <c r="O116" s="1"/>
      <c r="P116" s="49" t="s">
        <v>361</v>
      </c>
    </row>
    <row r="117" ht="15" customHeight="1">
      <c r="A117" s="1"/>
      <c r="B117" s="65" t="s">
        <v>362</v>
      </c>
      <c r="C117" s="15">
        <f t="shared" si="43" ref="C117:N117">C42+C106+C107+C108</f>
        <v>676</v>
      </c>
      <c r="D117" s="15">
        <f t="shared" si="43"/>
        <v>674</v>
      </c>
      <c r="E117" s="15">
        <f t="shared" si="43"/>
        <v>2447</v>
      </c>
      <c r="F117" s="15">
        <f t="shared" si="43"/>
        <v>622</v>
      </c>
      <c r="G117" s="15">
        <f t="shared" si="43"/>
        <v>607</v>
      </c>
      <c r="H117" s="85">
        <v>585</v>
      </c>
      <c r="I117" s="1"/>
      <c r="J117" s="15">
        <f t="shared" si="43"/>
        <v>625</v>
      </c>
      <c r="K117" s="15">
        <f t="shared" si="43"/>
        <v>635</v>
      </c>
      <c r="L117" s="15">
        <f t="shared" si="43"/>
        <v>2631</v>
      </c>
      <c r="M117" s="15">
        <f t="shared" si="43"/>
        <v>519</v>
      </c>
      <c r="N117" s="15">
        <f t="shared" si="43"/>
        <v>578</v>
      </c>
      <c r="O117" s="1"/>
      <c r="P117" s="49" t="s">
        <v>363</v>
      </c>
    </row>
    <row r="118" ht="15" customHeight="1">
      <c r="A118" s="1"/>
      <c r="B118" s="72" t="s">
        <v>364</v>
      </c>
      <c r="C118" s="61">
        <f t="shared" si="44" ref="C118:N118">C43+C109</f>
        <v>5510</v>
      </c>
      <c r="D118" s="61">
        <f t="shared" si="44"/>
        <v>4991</v>
      </c>
      <c r="E118" s="61">
        <f t="shared" si="44"/>
        <v>21125</v>
      </c>
      <c r="F118" s="61">
        <f t="shared" si="44"/>
        <v>5654</v>
      </c>
      <c r="G118" s="61">
        <f t="shared" si="44"/>
        <v>6151</v>
      </c>
      <c r="H118" s="62">
        <f>H85-H40+H116+H117</f>
        <v>6026.4822637499965</v>
      </c>
      <c r="I118" s="1"/>
      <c r="J118" s="61">
        <f t="shared" si="44"/>
        <v>5453</v>
      </c>
      <c r="K118" s="61">
        <f t="shared" si="44"/>
        <v>4403</v>
      </c>
      <c r="L118" s="61">
        <f t="shared" si="44"/>
        <v>20067</v>
      </c>
      <c r="M118" s="61">
        <f t="shared" si="44"/>
        <v>5230</v>
      </c>
      <c r="N118" s="61">
        <f t="shared" si="44"/>
        <v>5394</v>
      </c>
      <c r="O118" s="1"/>
      <c r="P118" s="49"/>
    </row>
    <row r="119" ht="15" customHeight="1">
      <c r="A119" s="1"/>
      <c r="B119" s="50" t="s">
        <v>115</v>
      </c>
      <c r="C119" s="16">
        <f t="shared" si="3"/>
        <v>0.010452961672473782</v>
      </c>
      <c r="D119" s="16">
        <f t="shared" si="3"/>
        <v>0.1335453100158983</v>
      </c>
      <c r="E119" s="16">
        <f t="shared" si="3"/>
        <v>0.05272337668809479</v>
      </c>
      <c r="F119" s="16">
        <f t="shared" si="3"/>
        <v>0.08107074569789674</v>
      </c>
      <c r="G119" s="16">
        <f t="shared" si="3"/>
        <v>0.14034111976269936</v>
      </c>
      <c r="H119" s="51">
        <f t="shared" si="5"/>
        <v>0.09373543806715001</v>
      </c>
      <c r="I119" s="1"/>
      <c r="J119" s="16"/>
      <c r="K119" s="16"/>
      <c r="L119" s="16"/>
      <c r="M119" s="16"/>
      <c r="N119" s="16"/>
      <c r="O119" s="1"/>
      <c r="P119" s="49"/>
    </row>
    <row r="120" ht="15" customHeight="1">
      <c r="A120" s="1"/>
      <c r="B120" s="50" t="s">
        <v>116</v>
      </c>
      <c r="C120" s="16">
        <f t="shared" si="6"/>
        <v>0.021505376344086002</v>
      </c>
      <c r="D120" s="16">
        <f t="shared" si="4"/>
        <v>-0.09419237749546283</v>
      </c>
      <c r="E120" s="52" t="s">
        <v>15</v>
      </c>
      <c r="F120" s="16">
        <f t="shared" si="7"/>
        <v>0.13283911039871765</v>
      </c>
      <c r="G120" s="16">
        <f t="shared" si="4"/>
        <v>0.08790237000353729</v>
      </c>
      <c r="H120" s="51">
        <f t="shared" si="4"/>
        <v>-0.020243494756950642</v>
      </c>
      <c r="I120" s="1"/>
      <c r="J120" s="16"/>
      <c r="K120" s="16"/>
      <c r="L120" s="16"/>
      <c r="M120" s="16"/>
      <c r="N120" s="16"/>
      <c r="O120" s="1"/>
      <c r="P120" s="49"/>
    </row>
    <row r="121" ht="15" customHeight="1">
      <c r="A121" s="1"/>
      <c r="B121" s="63" t="s">
        <v>365</v>
      </c>
      <c r="C121" s="15">
        <f t="shared" si="45" ref="C121:N121">C46+C110+C111</f>
        <v>1220</v>
      </c>
      <c r="D121" s="15">
        <f t="shared" si="45"/>
        <v>894</v>
      </c>
      <c r="E121" s="15">
        <f t="shared" si="45"/>
        <v>4317</v>
      </c>
      <c r="F121" s="15">
        <f t="shared" si="45"/>
        <v>1238</v>
      </c>
      <c r="G121" s="15">
        <f t="shared" si="45"/>
        <v>1230</v>
      </c>
      <c r="H121" s="54">
        <f>H118*H122</f>
        <v>1325.8260980249993</v>
      </c>
      <c r="I121" s="1"/>
      <c r="J121" s="15">
        <f t="shared" si="45"/>
        <v>1197</v>
      </c>
      <c r="K121" s="15">
        <f t="shared" si="45"/>
        <v>932</v>
      </c>
      <c r="L121" s="15">
        <f t="shared" si="45"/>
        <v>4446</v>
      </c>
      <c r="M121" s="15">
        <f t="shared" si="45"/>
        <v>1134</v>
      </c>
      <c r="N121" s="15">
        <f t="shared" si="45"/>
        <v>1069</v>
      </c>
      <c r="O121" s="1"/>
      <c r="P121" s="49"/>
    </row>
    <row r="122" ht="15" customHeight="1">
      <c r="A122" s="1"/>
      <c r="B122" s="66" t="s">
        <v>366</v>
      </c>
      <c r="C122" s="16">
        <f t="shared" si="20"/>
        <v>0.22141560798548093</v>
      </c>
      <c r="D122" s="16">
        <f t="shared" si="20"/>
        <v>0.17912242035664194</v>
      </c>
      <c r="E122" s="16">
        <f t="shared" si="20"/>
        <v>0.20435502958579882</v>
      </c>
      <c r="F122" s="16">
        <f t="shared" si="20"/>
        <v>0.21896002829854969</v>
      </c>
      <c r="G122" s="16">
        <f t="shared" si="20"/>
        <v>0.19996748496179484</v>
      </c>
      <c r="H122" s="58">
        <v>0.22</v>
      </c>
      <c r="I122" s="1"/>
      <c r="J122" s="16">
        <f t="shared" si="20"/>
        <v>0.21951219512195122</v>
      </c>
      <c r="K122" s="16">
        <f t="shared" si="20"/>
        <v>0.21167385873268227</v>
      </c>
      <c r="L122" s="16">
        <f t="shared" si="20"/>
        <v>0.22155778143220212</v>
      </c>
      <c r="M122" s="16">
        <f t="shared" si="20"/>
        <v>0.21682600382409178</v>
      </c>
      <c r="N122" s="16">
        <f t="shared" si="20"/>
        <v>0.19818316648127549</v>
      </c>
      <c r="O122" s="1"/>
      <c r="P122" s="49" t="s">
        <v>367</v>
      </c>
    </row>
    <row r="123" ht="15" customHeight="1">
      <c r="A123" s="1"/>
      <c r="B123" s="50" t="s">
        <v>149</v>
      </c>
      <c r="C123" s="77">
        <f t="shared" si="9"/>
        <v>19.034128635297133</v>
      </c>
      <c r="D123" s="77">
        <f t="shared" si="9"/>
        <v>-325.51438376040323</v>
      </c>
      <c r="E123" s="77">
        <f t="shared" si="9"/>
        <v>-172.02751846403297</v>
      </c>
      <c r="F123" s="77">
        <f t="shared" si="9"/>
        <v>21.340244744579017</v>
      </c>
      <c r="G123" s="77">
        <f t="shared" si="9"/>
        <v>17.843184805193534</v>
      </c>
      <c r="H123" s="78">
        <f t="shared" si="16"/>
        <v>-14.156079854809322</v>
      </c>
      <c r="I123" s="1"/>
      <c r="J123" s="77"/>
      <c r="K123" s="77"/>
      <c r="L123" s="77"/>
      <c r="M123" s="77"/>
      <c r="N123" s="77"/>
      <c r="O123" s="1"/>
      <c r="P123" s="49"/>
    </row>
    <row r="124" ht="15" customHeight="1">
      <c r="A124" s="1"/>
      <c r="B124" s="50" t="s">
        <v>150</v>
      </c>
      <c r="C124" s="77">
        <f t="shared" si="17"/>
        <v>232.32441504205448</v>
      </c>
      <c r="D124" s="77">
        <f t="shared" si="10"/>
        <v>-422.9318762883899</v>
      </c>
      <c r="E124" s="79" t="s">
        <v>15</v>
      </c>
      <c r="F124" s="77">
        <f t="shared" si="18"/>
        <v>398.3760794190774</v>
      </c>
      <c r="G124" s="77">
        <f t="shared" si="10"/>
        <v>-189.92543336754846</v>
      </c>
      <c r="H124" s="78">
        <f t="shared" si="10"/>
        <v>200.32515038205162</v>
      </c>
      <c r="I124" s="1"/>
      <c r="J124" s="77"/>
      <c r="K124" s="77"/>
      <c r="L124" s="77"/>
      <c r="M124" s="77"/>
      <c r="N124" s="77"/>
      <c r="O124" s="1"/>
      <c r="P124" s="49"/>
    </row>
    <row r="125" ht="15" customHeight="1">
      <c r="A125" s="1"/>
      <c r="B125" s="72" t="s">
        <v>368</v>
      </c>
      <c r="C125" s="61">
        <f t="shared" si="21"/>
        <v>4290</v>
      </c>
      <c r="D125" s="61">
        <f t="shared" si="21"/>
        <v>4097</v>
      </c>
      <c r="E125" s="61">
        <f t="shared" si="21"/>
        <v>16808</v>
      </c>
      <c r="F125" s="61">
        <f t="shared" si="21"/>
        <v>4416</v>
      </c>
      <c r="G125" s="61">
        <f t="shared" si="21"/>
        <v>4921</v>
      </c>
      <c r="H125" s="62">
        <f t="shared" si="21"/>
        <v>4700.656165724997</v>
      </c>
      <c r="I125" s="1"/>
      <c r="J125" s="61">
        <f t="shared" si="21"/>
        <v>4256</v>
      </c>
      <c r="K125" s="61">
        <f t="shared" si="21"/>
        <v>3471</v>
      </c>
      <c r="L125" s="61">
        <f t="shared" si="21"/>
        <v>15621</v>
      </c>
      <c r="M125" s="61">
        <f t="shared" si="21"/>
        <v>4096</v>
      </c>
      <c r="N125" s="61">
        <f t="shared" si="21"/>
        <v>4325</v>
      </c>
      <c r="O125" s="1"/>
      <c r="P125" s="49"/>
    </row>
    <row r="126" ht="23.25" customHeight="1">
      <c r="A126" s="1"/>
      <c r="B126" s="72" t="s">
        <v>369</v>
      </c>
      <c r="C126" s="61">
        <f t="shared" si="46" ref="C126:N126">C125-C53-C55+C113</f>
        <v>3891</v>
      </c>
      <c r="D126" s="61">
        <f t="shared" si="46"/>
        <v>3693</v>
      </c>
      <c r="E126" s="61">
        <f t="shared" si="46"/>
        <v>15221</v>
      </c>
      <c r="F126" s="61">
        <f t="shared" si="46"/>
        <v>4028</v>
      </c>
      <c r="G126" s="61">
        <f t="shared" si="46"/>
        <v>4502</v>
      </c>
      <c r="H126" s="62">
        <f t="shared" si="46"/>
        <v>4284.656165724997</v>
      </c>
      <c r="I126" s="1"/>
      <c r="J126" s="61">
        <f t="shared" si="46"/>
        <v>3885</v>
      </c>
      <c r="K126" s="61">
        <f t="shared" si="46"/>
        <v>3094</v>
      </c>
      <c r="L126" s="61">
        <f t="shared" si="46"/>
        <v>14114</v>
      </c>
      <c r="M126" s="61">
        <f t="shared" si="46"/>
        <v>3709</v>
      </c>
      <c r="N126" s="61">
        <f t="shared" si="46"/>
        <v>3928</v>
      </c>
      <c r="O126" s="1"/>
      <c r="P126" s="49"/>
    </row>
    <row r="127" ht="15" customHeight="1">
      <c r="A127" s="1"/>
      <c r="B127" s="50" t="s">
        <v>115</v>
      </c>
      <c r="C127" s="16">
        <f t="shared" si="3"/>
        <v>0.001544401544401497</v>
      </c>
      <c r="D127" s="16">
        <f t="shared" si="3"/>
        <v>0.19360051712992887</v>
      </c>
      <c r="E127" s="16">
        <f t="shared" si="3"/>
        <v>0.07843276179679748</v>
      </c>
      <c r="F127" s="16">
        <f t="shared" si="3"/>
        <v>0.08600700997573463</v>
      </c>
      <c r="G127" s="16">
        <f t="shared" si="3"/>
        <v>0.14613034623217924</v>
      </c>
      <c r="H127" s="51">
        <f t="shared" si="5"/>
        <v>0.1011709498136717</v>
      </c>
      <c r="I127" s="1"/>
      <c r="J127" s="16"/>
      <c r="K127" s="16"/>
      <c r="L127" s="16"/>
      <c r="M127" s="16"/>
      <c r="N127" s="16"/>
      <c r="O127" s="1"/>
      <c r="P127" s="49"/>
    </row>
    <row r="128" ht="15" customHeight="1">
      <c r="A128" s="1"/>
      <c r="B128" s="50" t="s">
        <v>116</v>
      </c>
      <c r="C128" s="16">
        <f t="shared" si="6"/>
        <v>-0.009419551934826909</v>
      </c>
      <c r="D128" s="16">
        <f t="shared" si="4"/>
        <v>-0.05088666152659982</v>
      </c>
      <c r="E128" s="52" t="s">
        <v>15</v>
      </c>
      <c r="F128" s="16">
        <f t="shared" si="7"/>
        <v>0.09071215813701605</v>
      </c>
      <c r="G128" s="16">
        <f t="shared" si="4"/>
        <v>0.11767626613704074</v>
      </c>
      <c r="H128" s="51">
        <f t="shared" si="4"/>
        <v>-0.04827717331741521</v>
      </c>
      <c r="I128" s="1"/>
      <c r="J128" s="16"/>
      <c r="K128" s="16"/>
      <c r="L128" s="16"/>
      <c r="M128" s="16"/>
      <c r="N128" s="16"/>
      <c r="O128" s="1"/>
      <c r="P128" s="49"/>
    </row>
    <row r="129" ht="15" customHeight="1">
      <c r="A129" s="1"/>
      <c r="B129" s="72" t="s">
        <v>370</v>
      </c>
      <c r="C129" s="94">
        <f t="shared" si="31"/>
        <v>0.5427535221090808</v>
      </c>
      <c r="D129" s="94">
        <f t="shared" si="31"/>
        <v>0.5195554305008441</v>
      </c>
      <c r="E129" s="94">
        <f t="shared" si="31"/>
        <v>2.1202117286530155</v>
      </c>
      <c r="F129" s="94">
        <f t="shared" si="31"/>
        <v>0.5732175892984204</v>
      </c>
      <c r="G129" s="94">
        <f t="shared" si="31"/>
        <v>0.648142816009214</v>
      </c>
      <c r="H129" s="95">
        <f t="shared" si="31"/>
        <v>0.6263752768905164</v>
      </c>
      <c r="I129" s="1"/>
      <c r="J129" s="94">
        <f t="shared" si="31"/>
        <v>0.538984461709212</v>
      </c>
      <c r="K129" s="94">
        <f t="shared" si="31"/>
        <v>0.42882882882882883</v>
      </c>
      <c r="L129" s="94">
        <f t="shared" si="31"/>
        <v>1.959189339255969</v>
      </c>
      <c r="M129" s="94">
        <f t="shared" si="31"/>
        <v>0.5134985463103974</v>
      </c>
      <c r="N129" s="94">
        <f t="shared" si="31"/>
        <v>0.5441196841667821</v>
      </c>
      <c r="O129" s="1"/>
      <c r="P129" s="49"/>
    </row>
    <row r="130" ht="15" customHeight="1">
      <c r="A130" s="1"/>
      <c r="B130" s="50" t="s">
        <v>115</v>
      </c>
      <c r="C130" s="16">
        <f t="shared" si="3"/>
        <v>0.0069928924999367315</v>
      </c>
      <c r="D130" s="16">
        <f t="shared" si="3"/>
        <v>0.21156833583180035</v>
      </c>
      <c r="E130" s="16">
        <f>IF(AND(ISNUMBER(E132),ISNUMBER(L132)),IF(L132&lt;&gt;0,E132/L132-1,"n/a"),"n/a")</f>
        <v>0.08717948717948731</v>
      </c>
      <c r="F130" s="16">
        <f t="shared" si="3"/>
        <v>0.11629836815920469</v>
      </c>
      <c r="G130" s="16">
        <f t="shared" si="3"/>
        <v>0.19117693196805385</v>
      </c>
      <c r="H130" s="51">
        <f t="shared" si="5"/>
        <v>0.1540694834305094</v>
      </c>
      <c r="I130" s="1"/>
      <c r="J130" s="16"/>
      <c r="K130" s="16"/>
      <c r="L130" s="16"/>
      <c r="M130" s="16"/>
      <c r="N130" s="16"/>
      <c r="O130" s="1"/>
      <c r="P130" s="49" t="s">
        <v>371</v>
      </c>
    </row>
    <row r="131" ht="15" customHeight="1">
      <c r="A131" s="1"/>
      <c r="B131" s="50" t="s">
        <v>116</v>
      </c>
      <c r="C131" s="16">
        <f t="shared" si="6"/>
        <v>-0.002510774922236725</v>
      </c>
      <c r="D131" s="16">
        <f t="shared" si="4"/>
        <v>-0.04274148515534537</v>
      </c>
      <c r="E131" s="52" t="s">
        <v>15</v>
      </c>
      <c r="F131" s="16">
        <f t="shared" si="7"/>
        <v>0.1032847616390935</v>
      </c>
      <c r="G131" s="16">
        <f t="shared" si="4"/>
        <v>0.13070992256622316</v>
      </c>
      <c r="H131" s="51">
        <f t="shared" si="4"/>
        <v>-0.03358447950210419</v>
      </c>
      <c r="I131" s="1"/>
      <c r="J131" s="16"/>
      <c r="K131" s="16"/>
      <c r="L131" s="16"/>
      <c r="M131" s="16"/>
      <c r="N131" s="16"/>
      <c r="O131" s="1"/>
      <c r="P131" s="49"/>
    </row>
    <row r="132" ht="15" customHeight="1">
      <c r="A132" s="1"/>
      <c r="B132" s="63" t="s">
        <v>372</v>
      </c>
      <c r="C132" s="19">
        <f>Inputs!E94</f>
        <v>0.54</v>
      </c>
      <c r="D132" s="19">
        <f>Inputs!E95</f>
        <v>0.52</v>
      </c>
      <c r="E132" s="96">
        <v>2.12</v>
      </c>
      <c r="F132" s="19">
        <f>Inputs!E96</f>
        <v>0.57</v>
      </c>
      <c r="G132" s="19">
        <f>Inputs!E97</f>
        <v>0.65</v>
      </c>
      <c r="H132" s="97" t="s">
        <v>15</v>
      </c>
      <c r="I132" s="1"/>
      <c r="J132" s="96">
        <v>0.54</v>
      </c>
      <c r="K132" s="96">
        <v>0.43</v>
      </c>
      <c r="L132" s="96">
        <v>1.95</v>
      </c>
      <c r="M132" s="19">
        <f>Inputs!E92</f>
        <v>0.51</v>
      </c>
      <c r="N132" s="19">
        <f>Inputs!E93</f>
        <v>0.54</v>
      </c>
      <c r="O132" s="1"/>
      <c r="P132" s="49"/>
    </row>
    <row r="133" ht="15" customHeight="1">
      <c r="A133" s="1"/>
      <c r="B133" s="65" t="s">
        <v>373</v>
      </c>
      <c r="C133" s="20">
        <f t="shared" si="47" ref="C133:N133">ROUND(C129,2)-C132</f>
        <v>0</v>
      </c>
      <c r="D133" s="20">
        <f t="shared" si="47"/>
        <v>0</v>
      </c>
      <c r="E133" s="20">
        <f t="shared" si="47"/>
        <v>0</v>
      </c>
      <c r="F133" s="20">
        <f t="shared" si="47"/>
        <v>0</v>
      </c>
      <c r="G133" s="20">
        <f t="shared" si="47"/>
        <v>0</v>
      </c>
      <c r="H133" s="97" t="s">
        <v>15</v>
      </c>
      <c r="I133" s="1"/>
      <c r="J133" s="20">
        <f t="shared" si="47"/>
        <v>0</v>
      </c>
      <c r="K133" s="20">
        <f t="shared" si="47"/>
        <v>0</v>
      </c>
      <c r="L133" s="20">
        <f t="shared" si="47"/>
        <v>0.010000000000000009</v>
      </c>
      <c r="M133" s="20">
        <f t="shared" si="47"/>
        <v>0</v>
      </c>
      <c r="N133" s="20">
        <f t="shared" si="47"/>
        <v>0</v>
      </c>
      <c r="O133" s="1"/>
      <c r="P133" s="49" t="s">
        <v>374</v>
      </c>
    </row>
    <row r="134" ht="23.25" customHeight="1">
      <c r="A134" s="1"/>
      <c r="B134" s="65" t="s">
        <v>375</v>
      </c>
      <c r="C134" s="15">
        <f t="shared" si="48" ref="C134:N134">C59+C114-C126</f>
        <v>0</v>
      </c>
      <c r="D134" s="15">
        <f t="shared" si="48"/>
        <v>0</v>
      </c>
      <c r="E134" s="15">
        <f t="shared" si="48"/>
        <v>0</v>
      </c>
      <c r="F134" s="15">
        <f t="shared" si="48"/>
        <v>0</v>
      </c>
      <c r="G134" s="15">
        <f t="shared" si="48"/>
        <v>0</v>
      </c>
      <c r="H134" s="54">
        <f t="shared" si="48"/>
        <v>0</v>
      </c>
      <c r="I134" s="1"/>
      <c r="J134" s="15">
        <f t="shared" si="48"/>
        <v>0</v>
      </c>
      <c r="K134" s="15">
        <f t="shared" si="48"/>
        <v>0</v>
      </c>
      <c r="L134" s="15">
        <f t="shared" si="48"/>
        <v>0</v>
      </c>
      <c r="M134" s="15">
        <f t="shared" si="48"/>
        <v>0</v>
      </c>
      <c r="N134" s="15">
        <f t="shared" si="48"/>
        <v>0</v>
      </c>
      <c r="O134" s="1"/>
      <c r="P134" s="49"/>
    </row>
    <row r="135" ht="15" customHeight="1">
      <c r="A135" s="1"/>
      <c r="B135" s="3" t="s">
        <v>376</v>
      </c>
      <c r="C135" s="1"/>
      <c r="D135" s="1"/>
      <c r="E135" s="1"/>
      <c r="F135" s="1"/>
      <c r="G135" s="1"/>
      <c r="H135" s="48"/>
      <c r="I135" s="1"/>
      <c r="J135" s="1"/>
      <c r="K135" s="1"/>
      <c r="L135" s="1"/>
      <c r="M135" s="1"/>
      <c r="N135" s="1"/>
      <c r="O135" s="1"/>
      <c r="P135" s="49"/>
    </row>
    <row r="136" ht="15" customHeight="1">
      <c r="A136" s="1"/>
      <c r="B136" s="65" t="s">
        <v>18</v>
      </c>
      <c r="C136" s="20">
        <f t="shared" si="49" ref="C136:N136">C64</f>
        <v>1.2941832891616682</v>
      </c>
      <c r="D136" s="20">
        <f t="shared" si="49"/>
        <v>0.5278559369724254</v>
      </c>
      <c r="E136" s="20">
        <f t="shared" si="49"/>
        <v>3.049031898593119</v>
      </c>
      <c r="F136" s="20">
        <f t="shared" si="49"/>
        <v>0.5451828660879465</v>
      </c>
      <c r="G136" s="20">
        <f t="shared" si="49"/>
        <v>0.6649870429023899</v>
      </c>
      <c r="H136" s="83">
        <f t="shared" si="49"/>
        <v>0.6056220983697538</v>
      </c>
      <c r="I136" s="1"/>
      <c r="J136" s="20">
        <f t="shared" si="49"/>
        <v>-0.03135405105438402</v>
      </c>
      <c r="K136" s="20">
        <f t="shared" si="49"/>
        <v>0.5586971586971587</v>
      </c>
      <c r="L136" s="20">
        <f t="shared" si="49"/>
        <v>1.491671293725708</v>
      </c>
      <c r="M136" s="20">
        <f t="shared" si="49"/>
        <v>0.6084729336840647</v>
      </c>
      <c r="N136" s="20">
        <f t="shared" si="49"/>
        <v>0.6183681950408644</v>
      </c>
      <c r="O136" s="1"/>
      <c r="P136" s="49"/>
    </row>
    <row r="137" ht="15" customHeight="1">
      <c r="A137" s="1"/>
      <c r="B137" s="98" t="s">
        <v>377</v>
      </c>
      <c r="C137" s="20">
        <f t="shared" si="50" ref="C137:N137">C101/C62</f>
        <v>0.0679313711814758</v>
      </c>
      <c r="D137" s="20">
        <f t="shared" si="50"/>
        <v>0.0016882386043894203</v>
      </c>
      <c r="E137" s="20">
        <f t="shared" si="50"/>
        <v>0.0873380693689929</v>
      </c>
      <c r="F137" s="20">
        <f t="shared" si="50"/>
        <v>0.020777002988473032</v>
      </c>
      <c r="G137" s="20">
        <f t="shared" si="50"/>
        <v>0.021451194932335157</v>
      </c>
      <c r="H137" s="83">
        <f t="shared" si="50"/>
        <v>0.0146190324885621</v>
      </c>
      <c r="I137" s="1"/>
      <c r="J137" s="20">
        <f t="shared" si="50"/>
        <v>0.0047169811320754715</v>
      </c>
      <c r="K137" s="20">
        <f t="shared" si="50"/>
        <v>0.003049203049203049</v>
      </c>
      <c r="L137" s="20">
        <f t="shared" si="50"/>
        <v>0.01707384786229872</v>
      </c>
      <c r="M137" s="20">
        <f t="shared" si="50"/>
        <v>0.010937283677142461</v>
      </c>
      <c r="N137" s="20">
        <f t="shared" si="50"/>
        <v>0.006787643717966477</v>
      </c>
      <c r="O137" s="1"/>
      <c r="P137" s="49"/>
    </row>
    <row r="138" ht="15" customHeight="1">
      <c r="A138" s="1"/>
      <c r="B138" s="98" t="s">
        <v>378</v>
      </c>
      <c r="C138" s="20">
        <f t="shared" si="51" ref="C138:N138">C102/C62</f>
        <v>-0.00864834704979774</v>
      </c>
      <c r="D138" s="20">
        <f t="shared" si="51"/>
        <v>-0.0036578503095104106</v>
      </c>
      <c r="E138" s="20">
        <f t="shared" si="51"/>
        <v>-0.021172865301574036</v>
      </c>
      <c r="F138" s="20">
        <f t="shared" si="51"/>
        <v>0.0035577059911768892</v>
      </c>
      <c r="G138" s="20">
        <f t="shared" si="51"/>
        <v>-0.014540742873596314</v>
      </c>
      <c r="H138" s="83">
        <f t="shared" si="51"/>
        <v>0</v>
      </c>
      <c r="I138" s="1"/>
      <c r="J138" s="20">
        <f t="shared" si="51"/>
        <v>-0.010127635960044396</v>
      </c>
      <c r="K138" s="20">
        <f t="shared" si="51"/>
        <v>0.007623007623007623</v>
      </c>
      <c r="L138" s="20">
        <f t="shared" si="51"/>
        <v>-0.009300388672959467</v>
      </c>
      <c r="M138" s="20">
        <f t="shared" si="51"/>
        <v>0.0008306797729475288</v>
      </c>
      <c r="N138" s="20">
        <f t="shared" si="51"/>
        <v>-0.009696633882809254</v>
      </c>
      <c r="O138" s="1"/>
      <c r="P138" s="49"/>
    </row>
    <row r="139" ht="23.25" customHeight="1">
      <c r="A139" s="1"/>
      <c r="B139" s="98" t="s">
        <v>379</v>
      </c>
      <c r="C139" s="20">
        <f t="shared" si="52" ref="C139:N139">C103/C62</f>
        <v>0</v>
      </c>
      <c r="D139" s="20">
        <f t="shared" si="52"/>
        <v>0.0469893078221722</v>
      </c>
      <c r="E139" s="20">
        <f t="shared" si="52"/>
        <v>0.11672934949157264</v>
      </c>
      <c r="F139" s="20">
        <f t="shared" si="52"/>
        <v>0</v>
      </c>
      <c r="G139" s="20">
        <f t="shared" si="52"/>
        <v>0.041174776849985606</v>
      </c>
      <c r="H139" s="83">
        <f t="shared" si="52"/>
        <v>0</v>
      </c>
      <c r="I139" s="1"/>
      <c r="J139" s="20">
        <f t="shared" si="52"/>
        <v>0.6134850166481687</v>
      </c>
      <c r="K139" s="20">
        <f t="shared" si="52"/>
        <v>0.0019404019404019404</v>
      </c>
      <c r="L139" s="20">
        <f t="shared" si="52"/>
        <v>0.7044697390338701</v>
      </c>
      <c r="M139" s="20">
        <f t="shared" si="52"/>
        <v>0.06977710092759241</v>
      </c>
      <c r="N139" s="20">
        <f t="shared" si="52"/>
        <v>0</v>
      </c>
      <c r="O139" s="1"/>
      <c r="P139" s="49"/>
    </row>
    <row r="140" ht="15" customHeight="1">
      <c r="A140" s="1"/>
      <c r="B140" s="98" t="s">
        <v>380</v>
      </c>
      <c r="C140" s="20">
        <f t="shared" si="53" ref="C140:N140">C104/C62</f>
        <v>0.0013948946854512485</v>
      </c>
      <c r="D140" s="20">
        <f t="shared" si="53"/>
        <v>0.0014068655036578502</v>
      </c>
      <c r="E140" s="20">
        <f t="shared" si="53"/>
        <v>0.005293216325393509</v>
      </c>
      <c r="F140" s="20">
        <f t="shared" si="53"/>
        <v>0.008111569659883307</v>
      </c>
      <c r="G140" s="20">
        <f t="shared" si="53"/>
        <v>0.012093291102792975</v>
      </c>
      <c r="H140" s="83">
        <f t="shared" si="53"/>
        <v>0.011987606640620922</v>
      </c>
      <c r="I140" s="1"/>
      <c r="J140" s="20">
        <f t="shared" si="53"/>
        <v>0.0018035516093229745</v>
      </c>
      <c r="K140" s="20">
        <f t="shared" si="53"/>
        <v>0.001386001386001386</v>
      </c>
      <c r="L140" s="20">
        <f t="shared" si="53"/>
        <v>0.007357023875624653</v>
      </c>
      <c r="M140" s="20">
        <f t="shared" si="53"/>
        <v>0.001246019659421293</v>
      </c>
      <c r="N140" s="20">
        <f t="shared" si="53"/>
        <v>0.001246710070646904</v>
      </c>
      <c r="O140" s="1"/>
      <c r="P140" s="49"/>
    </row>
    <row r="141" ht="15" customHeight="1">
      <c r="A141" s="1"/>
      <c r="B141" s="98" t="s">
        <v>381</v>
      </c>
      <c r="C141" s="20">
        <f t="shared" si="54" ref="C141:N141">C105/C62</f>
        <v>0</v>
      </c>
      <c r="D141" s="20">
        <f t="shared" si="54"/>
        <v>0</v>
      </c>
      <c r="E141" s="20">
        <f t="shared" si="54"/>
        <v>-0.26828249059757625</v>
      </c>
      <c r="F141" s="20">
        <f t="shared" si="54"/>
        <v>0</v>
      </c>
      <c r="G141" s="20">
        <f t="shared" si="54"/>
        <v>0</v>
      </c>
      <c r="H141" s="83">
        <f t="shared" si="54"/>
        <v>0</v>
      </c>
      <c r="I141" s="1"/>
      <c r="J141" s="20">
        <f t="shared" si="54"/>
        <v>-0.038984461709211986</v>
      </c>
      <c r="K141" s="20">
        <f t="shared" si="54"/>
        <v>-0.14857934857934857</v>
      </c>
      <c r="L141" s="20">
        <f t="shared" si="54"/>
        <v>-0.28137146029983345</v>
      </c>
      <c r="M141" s="20">
        <f t="shared" si="54"/>
        <v>-0.19700955281738888</v>
      </c>
      <c r="N141" s="20">
        <f t="shared" si="54"/>
        <v>-0.06967724061504363</v>
      </c>
      <c r="O141" s="1"/>
      <c r="P141" s="49"/>
    </row>
    <row r="142" ht="15" customHeight="1">
      <c r="A142" s="1"/>
      <c r="B142" s="98" t="s">
        <v>382</v>
      </c>
      <c r="C142" s="20">
        <f t="shared" si="55" ref="C142:N142">C106/C62</f>
        <v>-0.764262798158739</v>
      </c>
      <c r="D142" s="20">
        <f t="shared" si="55"/>
        <v>-0.014209341586944289</v>
      </c>
      <c r="E142" s="20">
        <f t="shared" si="55"/>
        <v>-0.7772670288340995</v>
      </c>
      <c r="F142" s="20">
        <f t="shared" si="55"/>
        <v>0</v>
      </c>
      <c r="G142" s="20">
        <f t="shared" si="55"/>
        <v>0</v>
      </c>
      <c r="H142" s="83">
        <f t="shared" si="55"/>
        <v>0</v>
      </c>
      <c r="I142" s="1"/>
      <c r="J142" s="20">
        <f t="shared" si="55"/>
        <v>0</v>
      </c>
      <c r="K142" s="20">
        <f t="shared" si="55"/>
        <v>0</v>
      </c>
      <c r="L142" s="20">
        <f t="shared" si="55"/>
        <v>0</v>
      </c>
      <c r="M142" s="20">
        <f t="shared" si="55"/>
        <v>0</v>
      </c>
      <c r="N142" s="20">
        <f t="shared" si="55"/>
        <v>0</v>
      </c>
      <c r="O142" s="1"/>
      <c r="P142" s="49"/>
    </row>
    <row r="143" ht="15" customHeight="1">
      <c r="A143" s="1"/>
      <c r="B143" s="98" t="s">
        <v>383</v>
      </c>
      <c r="C143" s="20">
        <f t="shared" si="56" ref="C143:N143">C107/C62</f>
        <v>-0.01380945738596736</v>
      </c>
      <c r="D143" s="20">
        <f t="shared" si="56"/>
        <v>-0.0030951041080472708</v>
      </c>
      <c r="E143" s="20">
        <f t="shared" si="56"/>
        <v>-0.03426661094860008</v>
      </c>
      <c r="F143" s="20">
        <f t="shared" si="56"/>
        <v>0.003984630710118116</v>
      </c>
      <c r="G143" s="20">
        <f t="shared" si="56"/>
        <v>-0.012813129858911605</v>
      </c>
      <c r="H143" s="83">
        <f t="shared" si="56"/>
        <v>0</v>
      </c>
      <c r="I143" s="1"/>
      <c r="J143" s="20">
        <f t="shared" si="56"/>
        <v>-0.012763596004439512</v>
      </c>
      <c r="K143" s="20">
        <f t="shared" si="56"/>
        <v>0.001386001386001386</v>
      </c>
      <c r="L143" s="20">
        <f t="shared" si="56"/>
        <v>0.021654636313159357</v>
      </c>
      <c r="M143" s="20">
        <f t="shared" si="56"/>
        <v>0.00886058424477364</v>
      </c>
      <c r="N143" s="20">
        <f t="shared" si="56"/>
        <v>-0.026180911483584986</v>
      </c>
      <c r="O143" s="1"/>
      <c r="P143" s="49"/>
    </row>
    <row r="144" ht="15" customHeight="1">
      <c r="A144" s="1"/>
      <c r="B144" s="98" t="s">
        <v>384</v>
      </c>
      <c r="C144" s="20">
        <f t="shared" si="57" ref="C144:N144">C108/C62</f>
        <v>0</v>
      </c>
      <c r="D144" s="20">
        <f t="shared" si="57"/>
        <v>0.07301631963984243</v>
      </c>
      <c r="E144" s="20">
        <f t="shared" si="57"/>
        <v>0.07229419139155871</v>
      </c>
      <c r="F144" s="20">
        <f t="shared" si="57"/>
        <v>0</v>
      </c>
      <c r="G144" s="20">
        <f t="shared" si="57"/>
        <v>0</v>
      </c>
      <c r="H144" s="83">
        <f t="shared" si="57"/>
        <v>0</v>
      </c>
      <c r="I144" s="1"/>
      <c r="J144" s="20">
        <f t="shared" si="57"/>
        <v>0</v>
      </c>
      <c r="K144" s="20">
        <f t="shared" si="57"/>
        <v>0.0077616077616077615</v>
      </c>
      <c r="L144" s="20">
        <f t="shared" si="57"/>
        <v>0.007773459189339256</v>
      </c>
      <c r="M144" s="20">
        <f t="shared" si="57"/>
        <v>0</v>
      </c>
      <c r="N144" s="20">
        <f t="shared" si="57"/>
        <v>0</v>
      </c>
      <c r="O144" s="1"/>
      <c r="P144" s="49"/>
    </row>
    <row r="145" ht="15" customHeight="1">
      <c r="A145" s="1"/>
      <c r="B145" s="98" t="s">
        <v>385</v>
      </c>
      <c r="C145" s="20">
        <f t="shared" si="58" ref="C145:N145">-C110/C62</f>
        <v>-0.009345794392523364</v>
      </c>
      <c r="D145" s="20">
        <f t="shared" si="58"/>
        <v>-0.02715250422059651</v>
      </c>
      <c r="E145" s="20">
        <f t="shared" si="58"/>
        <v>0.010168547151413847</v>
      </c>
      <c r="F145" s="20">
        <f t="shared" si="58"/>
        <v>-0.008396186139177458</v>
      </c>
      <c r="G145" s="20">
        <f t="shared" si="58"/>
        <v>-0.011661387849121796</v>
      </c>
      <c r="H145" s="83">
        <f t="shared" si="58"/>
        <v>-0.005853460608420264</v>
      </c>
      <c r="I145" s="1"/>
      <c r="J145" s="20">
        <f t="shared" si="58"/>
        <v>0.01220865704772475</v>
      </c>
      <c r="K145" s="20">
        <f t="shared" si="58"/>
        <v>0.026334026334026334</v>
      </c>
      <c r="L145" s="20">
        <f t="shared" si="58"/>
        <v>0.03067740144364242</v>
      </c>
      <c r="M145" s="20">
        <f t="shared" si="58"/>
        <v>0.02284369375605704</v>
      </c>
      <c r="N145" s="20">
        <f t="shared" si="58"/>
        <v>0.023271921318742207</v>
      </c>
      <c r="O145" s="1"/>
      <c r="P145" s="49"/>
    </row>
    <row r="146" ht="15" customHeight="1">
      <c r="A146" s="1"/>
      <c r="B146" s="98" t="s">
        <v>386</v>
      </c>
      <c r="C146" s="20">
        <f t="shared" si="59" ref="C146:N146">-C111/C62</f>
        <v>-0.024689635932487096</v>
      </c>
      <c r="D146" s="20">
        <f t="shared" si="59"/>
        <v>-0.08328643781654474</v>
      </c>
      <c r="E146" s="20">
        <f t="shared" si="59"/>
        <v>-0.1071179830059897</v>
      </c>
      <c r="F146" s="20">
        <f t="shared" si="59"/>
        <v>0</v>
      </c>
      <c r="G146" s="20">
        <f t="shared" si="59"/>
        <v>-0.05254822919665995</v>
      </c>
      <c r="H146" s="83">
        <f t="shared" si="59"/>
        <v>0</v>
      </c>
      <c r="I146" s="1"/>
      <c r="J146" s="20">
        <f t="shared" si="59"/>
        <v>0</v>
      </c>
      <c r="K146" s="20">
        <f t="shared" si="59"/>
        <v>-0.03076923076923077</v>
      </c>
      <c r="L146" s="20">
        <f t="shared" si="59"/>
        <v>-0.030816213214880622</v>
      </c>
      <c r="M146" s="20">
        <f t="shared" si="59"/>
        <v>0</v>
      </c>
      <c r="N146" s="20">
        <f t="shared" si="59"/>
        <v>0</v>
      </c>
      <c r="O146" s="1"/>
      <c r="P146" s="49"/>
    </row>
    <row r="147" ht="15" customHeight="1">
      <c r="A147" s="1"/>
      <c r="B147" s="98" t="s">
        <v>387</v>
      </c>
      <c r="C147" s="20">
        <f t="shared" si="60" ref="C147:N147">C113/C62</f>
        <v>0</v>
      </c>
      <c r="D147" s="20">
        <f t="shared" si="60"/>
        <v>0</v>
      </c>
      <c r="E147" s="20">
        <f t="shared" si="60"/>
        <v>-0.012536564981195153</v>
      </c>
      <c r="F147" s="20">
        <f t="shared" si="60"/>
        <v>0</v>
      </c>
      <c r="G147" s="20">
        <f t="shared" si="60"/>
        <v>0</v>
      </c>
      <c r="H147" s="83">
        <f t="shared" si="60"/>
        <v>0</v>
      </c>
      <c r="I147" s="1"/>
      <c r="J147" s="20">
        <f t="shared" si="60"/>
        <v>0</v>
      </c>
      <c r="K147" s="20">
        <f t="shared" si="60"/>
        <v>0</v>
      </c>
      <c r="L147" s="20">
        <f t="shared" si="60"/>
        <v>0</v>
      </c>
      <c r="M147" s="20">
        <f t="shared" si="60"/>
        <v>-0.01246019659421293</v>
      </c>
      <c r="N147" s="20">
        <f t="shared" si="60"/>
        <v>0</v>
      </c>
      <c r="O147" s="1"/>
      <c r="P147" s="49"/>
    </row>
    <row r="148" ht="15" customHeight="1">
      <c r="A148" s="1"/>
      <c r="B148" s="72" t="s">
        <v>388</v>
      </c>
      <c r="C148" s="94">
        <f t="shared" si="61" ref="C148:N148">SUM(C136:C147)</f>
        <v>0.5427535221090807</v>
      </c>
      <c r="D148" s="94">
        <f t="shared" si="61"/>
        <v>0.5195554305008441</v>
      </c>
      <c r="E148" s="94">
        <f t="shared" si="61"/>
        <v>2.1202117286530155</v>
      </c>
      <c r="F148" s="94">
        <f t="shared" si="61"/>
        <v>0.5732175892984204</v>
      </c>
      <c r="G148" s="94">
        <f t="shared" si="61"/>
        <v>0.648142816009214</v>
      </c>
      <c r="H148" s="95">
        <f t="shared" si="61"/>
        <v>0.6263752768905165</v>
      </c>
      <c r="I148" s="1"/>
      <c r="J148" s="94">
        <f t="shared" si="61"/>
        <v>0.538984461709212</v>
      </c>
      <c r="K148" s="94">
        <f t="shared" si="61"/>
        <v>0.4288288288288289</v>
      </c>
      <c r="L148" s="94">
        <f t="shared" si="61"/>
        <v>1.959189339255969</v>
      </c>
      <c r="M148" s="94">
        <f t="shared" si="61"/>
        <v>0.5134985463103973</v>
      </c>
      <c r="N148" s="94">
        <f t="shared" si="61"/>
        <v>0.5441196841667821</v>
      </c>
      <c r="O148" s="1"/>
      <c r="P148" s="49"/>
    </row>
    <row r="149" ht="15" customHeight="1">
      <c r="A149" s="1"/>
      <c r="B149" s="65" t="s">
        <v>389</v>
      </c>
      <c r="C149" s="20">
        <f t="shared" si="62" ref="C149:N149">ROUND(C148-C129,6)</f>
        <v>0</v>
      </c>
      <c r="D149" s="20">
        <f t="shared" si="62"/>
        <v>0</v>
      </c>
      <c r="E149" s="20">
        <f t="shared" si="62"/>
        <v>0</v>
      </c>
      <c r="F149" s="20">
        <f t="shared" si="62"/>
        <v>0</v>
      </c>
      <c r="G149" s="20">
        <f t="shared" si="62"/>
        <v>0</v>
      </c>
      <c r="H149" s="83">
        <f t="shared" si="62"/>
        <v>0</v>
      </c>
      <c r="I149" s="1"/>
      <c r="J149" s="20">
        <f t="shared" si="62"/>
        <v>0</v>
      </c>
      <c r="K149" s="20">
        <f t="shared" si="62"/>
        <v>0</v>
      </c>
      <c r="L149" s="20">
        <f t="shared" si="62"/>
        <v>0</v>
      </c>
      <c r="M149" s="20">
        <f t="shared" si="62"/>
        <v>0</v>
      </c>
      <c r="N149" s="20">
        <f t="shared" si="62"/>
        <v>0</v>
      </c>
      <c r="O149" s="1"/>
      <c r="P149" s="49"/>
    </row>
    <row r="150" ht="15" customHeight="1">
      <c r="A150" s="1"/>
      <c r="B150" s="3" t="s">
        <v>390</v>
      </c>
      <c r="C150" s="1"/>
      <c r="D150" s="1"/>
      <c r="E150" s="1"/>
      <c r="F150" s="1"/>
      <c r="G150" s="1"/>
      <c r="H150" s="48"/>
      <c r="I150" s="1"/>
      <c r="J150" s="1"/>
      <c r="K150" s="1"/>
      <c r="L150" s="1"/>
      <c r="M150" s="1"/>
      <c r="N150" s="1"/>
      <c r="O150" s="1"/>
      <c r="P150" s="49"/>
    </row>
    <row r="151" ht="15" customHeight="1">
      <c r="A151" s="1"/>
      <c r="B151" s="65" t="s">
        <v>391</v>
      </c>
      <c r="C151" s="14">
        <f>'Cash Flow Statement'!C24</f>
        <v>10152</v>
      </c>
      <c r="D151" s="14">
        <f>'Cash Flow Statement'!D24</f>
        <v>11320</v>
      </c>
      <c r="E151" s="14">
        <f>'Cash Flow Statement'!E24</f>
        <v>40284</v>
      </c>
      <c r="F151" s="14">
        <f>'Cash Flow Statement'!F24</f>
        <v>7595</v>
      </c>
      <c r="G151" s="14">
        <f>'Cash Flow Statement'!G24</f>
        <v>10801</v>
      </c>
      <c r="H151" s="13">
        <f>'Cash Flow Statement'!H24</f>
        <v>10953.696165724998</v>
      </c>
      <c r="I151" s="1"/>
      <c r="J151" s="15"/>
      <c r="K151" s="15"/>
      <c r="L151" s="15"/>
      <c r="M151" s="15"/>
      <c r="N151" s="15"/>
      <c r="O151" s="1"/>
      <c r="P151" s="49" t="s">
        <v>392</v>
      </c>
    </row>
    <row r="152" ht="15" customHeight="1">
      <c r="A152" s="1"/>
      <c r="B152" s="65" t="s">
        <v>393</v>
      </c>
      <c r="C152" s="60">
        <v>0</v>
      </c>
      <c r="D152" s="60">
        <v>0</v>
      </c>
      <c r="E152" s="60">
        <v>-1675</v>
      </c>
      <c r="F152" s="60">
        <v>0</v>
      </c>
      <c r="G152" s="60">
        <v>0</v>
      </c>
      <c r="H152" s="85">
        <v>0</v>
      </c>
      <c r="I152" s="1"/>
      <c r="J152" s="15"/>
      <c r="K152" s="15"/>
      <c r="L152" s="15"/>
      <c r="M152" s="15"/>
      <c r="N152" s="15"/>
      <c r="O152" s="1"/>
      <c r="P152" s="49" t="s">
        <v>394</v>
      </c>
    </row>
    <row r="153" ht="15" customHeight="1">
      <c r="A153" s="1"/>
      <c r="B153" s="63" t="s">
        <v>395</v>
      </c>
      <c r="C153" s="14">
        <f>'Cash Flow Statement'!C26</f>
        <v>-4887</v>
      </c>
      <c r="D153" s="14">
        <f>'Cash Flow Statement'!D26</f>
        <v>-6781</v>
      </c>
      <c r="E153" s="14">
        <f>'Cash Flow Statement'!E26</f>
        <v>-20842</v>
      </c>
      <c r="F153" s="14">
        <f>'Cash Flow Statement'!F26</f>
        <v>-4877</v>
      </c>
      <c r="G153" s="14">
        <f>'Cash Flow Statement'!G26</f>
        <v>-5700</v>
      </c>
      <c r="H153" s="13">
        <f>'Cash Flow Statement'!H26</f>
        <v>-5650</v>
      </c>
      <c r="I153" s="1"/>
      <c r="J153" s="15"/>
      <c r="K153" s="15"/>
      <c r="L153" s="15"/>
      <c r="M153" s="15"/>
      <c r="N153" s="15"/>
      <c r="O153" s="1"/>
      <c r="P153" s="49"/>
    </row>
    <row r="154" ht="15" customHeight="1">
      <c r="A154" s="1"/>
      <c r="B154" s="63" t="s">
        <v>396</v>
      </c>
      <c r="C154" s="14">
        <f>'Cash Flow Statement'!C35</f>
        <v>-400</v>
      </c>
      <c r="D154" s="14">
        <f>'Cash Flow Statement'!D35</f>
        <v>-358</v>
      </c>
      <c r="E154" s="14">
        <f>'Cash Flow Statement'!E35</f>
        <v>-1181</v>
      </c>
      <c r="F154" s="14">
        <f>'Cash Flow Statement'!F35</f>
        <v>-212</v>
      </c>
      <c r="G154" s="14">
        <f>'Cash Flow Statement'!G35</f>
        <v>-431</v>
      </c>
      <c r="H154" s="13">
        <f>'Cash Flow Statement'!H35</f>
        <v>-450</v>
      </c>
      <c r="I154" s="1"/>
      <c r="J154" s="15"/>
      <c r="K154" s="15"/>
      <c r="L154" s="15"/>
      <c r="M154" s="15"/>
      <c r="N154" s="15"/>
      <c r="O154" s="1"/>
      <c r="P154" s="49"/>
    </row>
    <row r="155" ht="15" customHeight="1">
      <c r="A155" s="1"/>
      <c r="B155" s="3" t="s">
        <v>397</v>
      </c>
      <c r="C155" s="61">
        <f t="shared" si="63" ref="C155:H155">C151+C152+C153+C154</f>
        <v>4865</v>
      </c>
      <c r="D155" s="61">
        <f t="shared" si="63"/>
        <v>4181</v>
      </c>
      <c r="E155" s="61">
        <f t="shared" si="63"/>
        <v>16586</v>
      </c>
      <c r="F155" s="61">
        <f t="shared" si="63"/>
        <v>2506</v>
      </c>
      <c r="G155" s="61">
        <f t="shared" si="63"/>
        <v>4670</v>
      </c>
      <c r="H155" s="62">
        <f t="shared" si="63"/>
        <v>4853.696165724998</v>
      </c>
      <c r="I155" s="1"/>
      <c r="J155" s="61"/>
      <c r="K155" s="61"/>
      <c r="L155" s="61"/>
      <c r="M155" s="61"/>
      <c r="N155" s="61"/>
      <c r="O155" s="1"/>
      <c r="P155" s="49" t="s">
        <v>398</v>
      </c>
    </row>
    <row r="156" ht="15" customHeight="1">
      <c r="A156" s="1"/>
      <c r="B156" s="50" t="s">
        <v>115</v>
      </c>
      <c r="C156" s="16" t="str">
        <f t="shared" si="3"/>
        <v>n/a</v>
      </c>
      <c r="D156" s="16" t="str">
        <f t="shared" si="3"/>
        <v>n/a</v>
      </c>
      <c r="E156" s="16" t="str">
        <f t="shared" si="3"/>
        <v>n/a</v>
      </c>
      <c r="F156" s="16" t="str">
        <f t="shared" si="3"/>
        <v>n/a</v>
      </c>
      <c r="G156" s="16" t="str">
        <f t="shared" si="3"/>
        <v>n/a</v>
      </c>
      <c r="H156" s="51">
        <f t="shared" si="5"/>
        <v>-0.0023235013926007353</v>
      </c>
      <c r="I156" s="1"/>
      <c r="J156" s="16"/>
      <c r="K156" s="16"/>
      <c r="L156" s="16"/>
      <c r="M156" s="16"/>
      <c r="N156" s="16"/>
      <c r="O156" s="1"/>
      <c r="P156" s="49"/>
    </row>
    <row r="157" ht="15" customHeight="1">
      <c r="A157" s="1"/>
      <c r="B157" s="50" t="s">
        <v>116</v>
      </c>
      <c r="C157" s="16" t="str">
        <f t="shared" si="6"/>
        <v>n/a</v>
      </c>
      <c r="D157" s="16">
        <f t="shared" si="4"/>
        <v>-0.1405960945529291</v>
      </c>
      <c r="E157" s="52" t="s">
        <v>15</v>
      </c>
      <c r="F157" s="16">
        <f t="shared" si="7"/>
        <v>-0.400621860798852</v>
      </c>
      <c r="G157" s="16">
        <f t="shared" si="4"/>
        <v>0.8635275339185953</v>
      </c>
      <c r="H157" s="51">
        <f t="shared" si="4"/>
        <v>0.039335367392933085</v>
      </c>
      <c r="I157" s="1"/>
      <c r="J157" s="16"/>
      <c r="K157" s="16"/>
      <c r="L157" s="16"/>
      <c r="M157" s="16"/>
      <c r="N157" s="16"/>
      <c r="O157" s="1"/>
      <c r="P157" s="49"/>
    </row>
    <row r="158" ht="15" customHeight="1">
      <c r="A158" s="1"/>
      <c r="B158" s="65" t="s">
        <v>399</v>
      </c>
      <c r="C158" s="15">
        <f t="shared" si="64" ref="C158:H158">-(C153+C154)</f>
        <v>5287</v>
      </c>
      <c r="D158" s="15">
        <f t="shared" si="64"/>
        <v>7139</v>
      </c>
      <c r="E158" s="15">
        <f t="shared" si="64"/>
        <v>22023</v>
      </c>
      <c r="F158" s="15">
        <f t="shared" si="64"/>
        <v>5089</v>
      </c>
      <c r="G158" s="15">
        <f t="shared" si="64"/>
        <v>6131</v>
      </c>
      <c r="H158" s="54">
        <f t="shared" si="64"/>
        <v>6100</v>
      </c>
      <c r="I158" s="1"/>
      <c r="J158" s="15"/>
      <c r="K158" s="15"/>
      <c r="L158" s="15"/>
      <c r="M158" s="15"/>
      <c r="N158" s="15"/>
      <c r="O158" s="1"/>
      <c r="P158"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2FF68-1548-9F48-87BE-A5487CDF3BAB}"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0" width="60.00390625" customWidth="1"/>
  </cols>
  <sheetData>
    <row r="1" ht="15" customHeight="1">
      <c r="A1" s="1"/>
      <c r="B1" s="2" t="s">
        <v>0</v>
      </c>
      <c r="C1" s="1"/>
      <c r="D1" s="1"/>
      <c r="E1" s="1"/>
      <c r="F1" s="1"/>
      <c r="G1" s="1"/>
      <c r="H1" s="1"/>
      <c r="I1" s="1"/>
      <c r="J1" s="1"/>
    </row>
    <row r="2" ht="15" customHeight="1">
      <c r="A2" s="1"/>
      <c r="B2" s="3" t="s">
        <v>400</v>
      </c>
      <c r="C2" s="1"/>
      <c r="D2" s="1"/>
      <c r="E2" s="1"/>
      <c r="F2" s="1"/>
      <c r="G2" s="1"/>
      <c r="H2" s="1"/>
      <c r="I2" s="1"/>
      <c r="J2" s="1"/>
    </row>
    <row r="3" ht="15" customHeight="1">
      <c r="A3" s="1"/>
      <c r="B3" s="4" t="s">
        <v>2</v>
      </c>
      <c r="C3" s="1"/>
      <c r="D3" s="1"/>
      <c r="E3" s="1"/>
      <c r="F3" s="1"/>
      <c r="G3" s="1"/>
      <c r="H3" s="1"/>
      <c r="I3" s="1"/>
      <c r="J3" s="4"/>
    </row>
    <row r="4" ht="15" customHeight="1">
      <c r="A4" s="1"/>
      <c r="B4" s="5" t="s">
        <v>3</v>
      </c>
      <c r="C4" s="6" t="s">
        <v>102</v>
      </c>
      <c r="D4" s="6" t="s">
        <v>103</v>
      </c>
      <c r="E4" s="6" t="s">
        <v>104</v>
      </c>
      <c r="F4" s="6" t="s">
        <v>105</v>
      </c>
      <c r="G4" s="6" t="s">
        <v>106</v>
      </c>
      <c r="H4" s="41" t="s">
        <v>4</v>
      </c>
      <c r="I4" s="6"/>
      <c r="J4" s="42" t="s">
        <v>112</v>
      </c>
    </row>
    <row r="5" ht="15" customHeight="1">
      <c r="A5" s="1"/>
      <c r="B5" s="7" t="s">
        <v>5</v>
      </c>
      <c r="C5" s="8">
        <v>45930</v>
      </c>
      <c r="D5" s="8">
        <v>46022</v>
      </c>
      <c r="E5" s="8">
        <v>46022</v>
      </c>
      <c r="F5" s="8">
        <v>46112</v>
      </c>
      <c r="G5" s="8">
        <v>46203</v>
      </c>
      <c r="H5" s="43">
        <v>46295</v>
      </c>
      <c r="I5" s="44"/>
      <c r="J5" s="45"/>
    </row>
    <row r="6" ht="15" customHeight="1">
      <c r="A6" s="1"/>
      <c r="B6" s="9" t="s">
        <v>401</v>
      </c>
      <c r="C6" s="10">
        <f t="shared" si="0" ref="C6:H6">C5-EOMONTH(C5,-3)</f>
        <v>92</v>
      </c>
      <c r="D6" s="10">
        <f t="shared" si="0"/>
        <v>92</v>
      </c>
      <c r="E6" s="10">
        <f>E5-DATE(YEAR(E5)-1,12,31)</f>
        <v>365</v>
      </c>
      <c r="F6" s="10">
        <f t="shared" si="0"/>
        <v>90</v>
      </c>
      <c r="G6" s="10">
        <f t="shared" si="0"/>
        <v>91</v>
      </c>
      <c r="H6" s="46">
        <f t="shared" si="0"/>
        <v>92</v>
      </c>
      <c r="I6" s="10"/>
      <c r="J6" s="99" t="s">
        <v>402</v>
      </c>
    </row>
    <row r="7" ht="15" customHeight="1">
      <c r="A7" s="1"/>
      <c r="B7" s="1"/>
      <c r="C7" s="1"/>
      <c r="D7" s="1"/>
      <c r="E7" s="1"/>
      <c r="F7" s="1"/>
      <c r="G7" s="1"/>
      <c r="H7" s="48"/>
      <c r="I7" s="1"/>
      <c r="J7" s="1"/>
    </row>
    <row r="8" ht="15" customHeight="1">
      <c r="A8" s="1"/>
      <c r="B8" s="3" t="s">
        <v>403</v>
      </c>
      <c r="C8" s="1"/>
      <c r="D8" s="1"/>
      <c r="E8" s="1"/>
      <c r="F8" s="1"/>
      <c r="G8" s="1"/>
      <c r="H8" s="48"/>
      <c r="I8" s="1"/>
      <c r="J8" s="49"/>
    </row>
    <row r="9" ht="15" customHeight="1">
      <c r="A9" s="1"/>
      <c r="B9" s="63" t="s">
        <v>404</v>
      </c>
      <c r="C9" s="60">
        <v>20272</v>
      </c>
      <c r="D9" s="60">
        <v>18234</v>
      </c>
      <c r="E9" s="15">
        <f t="shared" si="1" ref="E9:H48">D9</f>
        <v>18234</v>
      </c>
      <c r="F9" s="60">
        <v>11964</v>
      </c>
      <c r="G9" s="60">
        <v>17570</v>
      </c>
      <c r="H9" s="13">
        <f>'Cash Flow Statement'!H55</f>
        <v>12408.773665724999</v>
      </c>
      <c r="I9" s="1"/>
      <c r="J9" s="49"/>
    </row>
    <row r="10" ht="15" customHeight="1">
      <c r="A10" s="1"/>
      <c r="B10" s="63" t="s">
        <v>405</v>
      </c>
      <c r="C10" s="60">
        <v>8936</v>
      </c>
      <c r="D10" s="60">
        <v>8843</v>
      </c>
      <c r="E10" s="15">
        <f t="shared" si="1"/>
        <v>8843</v>
      </c>
      <c r="F10" s="60">
        <v>8335</v>
      </c>
      <c r="G10" s="60">
        <v>8521</v>
      </c>
      <c r="H10" s="54">
        <f t="shared" si="1"/>
        <v>8521</v>
      </c>
      <c r="I10" s="1"/>
      <c r="J10" s="49"/>
    </row>
    <row r="11" ht="15" customHeight="1">
      <c r="A11" s="1"/>
      <c r="B11" s="63" t="s">
        <v>406</v>
      </c>
      <c r="C11" s="60">
        <v>2886</v>
      </c>
      <c r="D11" s="60">
        <v>2420</v>
      </c>
      <c r="E11" s="15">
        <f t="shared" si="1"/>
        <v>2420</v>
      </c>
      <c r="F11" s="60">
        <v>2451</v>
      </c>
      <c r="G11" s="60">
        <v>2368</v>
      </c>
      <c r="H11" s="54">
        <f t="shared" si="1"/>
        <v>2368</v>
      </c>
      <c r="I11" s="1"/>
      <c r="J11" s="49"/>
    </row>
    <row r="12" ht="15" customHeight="1">
      <c r="A12" s="1"/>
      <c r="B12" s="65" t="s">
        <v>407</v>
      </c>
      <c r="C12" s="60">
        <v>22485</v>
      </c>
      <c r="D12" s="60">
        <v>19235</v>
      </c>
      <c r="E12" s="15">
        <f t="shared" si="1"/>
        <v>19235</v>
      </c>
      <c r="F12" s="60">
        <v>23532</v>
      </c>
      <c r="G12" s="60">
        <v>23375</v>
      </c>
      <c r="H12" s="54">
        <f t="shared" si="1"/>
        <v>23375</v>
      </c>
      <c r="I12" s="1"/>
      <c r="J12" s="49" t="s">
        <v>408</v>
      </c>
    </row>
    <row r="13" ht="15" customHeight="1">
      <c r="A13" s="1"/>
      <c r="B13" s="3" t="s">
        <v>409</v>
      </c>
      <c r="C13" s="61">
        <f t="shared" si="2" ref="C13:H33">C9+C10+C11+C12</f>
        <v>54579</v>
      </c>
      <c r="D13" s="61">
        <f t="shared" si="2"/>
        <v>48732</v>
      </c>
      <c r="E13" s="61">
        <f t="shared" si="2"/>
        <v>48732</v>
      </c>
      <c r="F13" s="61">
        <f t="shared" si="2"/>
        <v>46282</v>
      </c>
      <c r="G13" s="61">
        <f t="shared" si="2"/>
        <v>51834</v>
      </c>
      <c r="H13" s="62">
        <f t="shared" si="2"/>
        <v>46672.773665725</v>
      </c>
      <c r="I13" s="1"/>
      <c r="J13" s="49"/>
    </row>
    <row r="14" ht="15" customHeight="1">
      <c r="A14" s="1"/>
      <c r="B14" s="65" t="s">
        <v>410</v>
      </c>
      <c r="C14" s="60">
        <v>129922</v>
      </c>
      <c r="D14" s="60">
        <v>131559</v>
      </c>
      <c r="E14" s="15">
        <f t="shared" si="1"/>
        <v>131559</v>
      </c>
      <c r="F14" s="60">
        <v>133124</v>
      </c>
      <c r="G14" s="60">
        <v>134215</v>
      </c>
      <c r="H14" s="13">
        <f>G14-'Cash Flow Statement'!H26-'Income Statement'!H84</f>
        <v>134937</v>
      </c>
      <c r="I14" s="1"/>
      <c r="J14" s="49" t="s">
        <v>411</v>
      </c>
    </row>
    <row r="15" ht="15" customHeight="1">
      <c r="A15" s="1"/>
      <c r="B15" s="63" t="s">
        <v>412</v>
      </c>
      <c r="C15" s="60">
        <v>63425</v>
      </c>
      <c r="D15" s="60">
        <v>63425</v>
      </c>
      <c r="E15" s="15">
        <f t="shared" si="1"/>
        <v>63425</v>
      </c>
      <c r="F15" s="60">
        <v>63838</v>
      </c>
      <c r="G15" s="60">
        <v>63865</v>
      </c>
      <c r="H15" s="54">
        <f t="shared" si="1"/>
        <v>63865</v>
      </c>
      <c r="I15" s="1"/>
      <c r="J15" s="49"/>
    </row>
    <row r="16" ht="15" customHeight="1">
      <c r="A16" s="1"/>
      <c r="B16" s="63" t="s">
        <v>413</v>
      </c>
      <c r="C16" s="60">
        <v>127771</v>
      </c>
      <c r="D16" s="60">
        <v>128148</v>
      </c>
      <c r="E16" s="15">
        <f t="shared" si="1"/>
        <v>128148</v>
      </c>
      <c r="F16" s="60">
        <v>129144</v>
      </c>
      <c r="G16" s="60">
        <v>129123</v>
      </c>
      <c r="H16" s="13">
        <f>G16-'Cash Flow Statement'!H27</f>
        <v>152123</v>
      </c>
      <c r="I16" s="1"/>
      <c r="J16" s="49"/>
    </row>
    <row r="17" ht="15" customHeight="1">
      <c r="A17" s="1"/>
      <c r="B17" s="63" t="s">
        <v>414</v>
      </c>
      <c r="C17" s="60">
        <v>5254</v>
      </c>
      <c r="D17" s="60">
        <v>5254</v>
      </c>
      <c r="E17" s="15">
        <f t="shared" si="1"/>
        <v>5254</v>
      </c>
      <c r="F17" s="60">
        <v>6135</v>
      </c>
      <c r="G17" s="60">
        <v>6063</v>
      </c>
      <c r="H17" s="13">
        <f>G17-'Income Statement'!H104</f>
        <v>5981</v>
      </c>
      <c r="I17" s="1"/>
      <c r="J17" s="49"/>
    </row>
    <row r="18" ht="15" customHeight="1">
      <c r="A18" s="1"/>
      <c r="B18" s="65" t="s">
        <v>415</v>
      </c>
      <c r="C18" s="60">
        <v>1056</v>
      </c>
      <c r="D18" s="60">
        <v>1106</v>
      </c>
      <c r="E18" s="15">
        <f t="shared" si="1"/>
        <v>1106</v>
      </c>
      <c r="F18" s="60">
        <v>1108</v>
      </c>
      <c r="G18" s="60">
        <v>1130</v>
      </c>
      <c r="H18" s="13">
        <f>G18+'Income Statement'!H41</f>
        <v>1095</v>
      </c>
      <c r="I18" s="1"/>
      <c r="J18" s="49"/>
    </row>
    <row r="19" ht="15" customHeight="1">
      <c r="A19" s="1"/>
      <c r="B19" s="65" t="s">
        <v>416</v>
      </c>
      <c r="C19" s="60">
        <v>22654</v>
      </c>
      <c r="D19" s="60">
        <v>22642</v>
      </c>
      <c r="E19" s="15">
        <f t="shared" si="1"/>
        <v>22642</v>
      </c>
      <c r="F19" s="60">
        <v>22756</v>
      </c>
      <c r="G19" s="60">
        <v>22781</v>
      </c>
      <c r="H19" s="54">
        <f t="shared" si="1"/>
        <v>22781</v>
      </c>
      <c r="I19" s="1"/>
      <c r="J19" s="49"/>
    </row>
    <row r="20" ht="15" customHeight="1">
      <c r="A20" s="1"/>
      <c r="B20" s="63" t="s">
        <v>417</v>
      </c>
      <c r="C20" s="60">
        <v>18552</v>
      </c>
      <c r="D20" s="60">
        <v>19332</v>
      </c>
      <c r="E20" s="15">
        <f t="shared" si="1"/>
        <v>19332</v>
      </c>
      <c r="F20" s="60">
        <v>18801</v>
      </c>
      <c r="G20" s="60">
        <v>19348</v>
      </c>
      <c r="H20" s="54">
        <f t="shared" si="1"/>
        <v>19348</v>
      </c>
      <c r="I20" s="1"/>
      <c r="J20" s="49"/>
    </row>
    <row r="21" ht="15" customHeight="1">
      <c r="A21" s="1"/>
      <c r="B21" s="3" t="s">
        <v>418</v>
      </c>
      <c r="C21" s="61">
        <f t="shared" si="3" ref="C21:H21">C13+C14+C15+C16+C17+C18+C19+C20</f>
        <v>423213</v>
      </c>
      <c r="D21" s="61">
        <f t="shared" si="3"/>
        <v>420198</v>
      </c>
      <c r="E21" s="61">
        <f t="shared" si="3"/>
        <v>420198</v>
      </c>
      <c r="F21" s="61">
        <f t="shared" si="3"/>
        <v>421188</v>
      </c>
      <c r="G21" s="61">
        <f t="shared" si="3"/>
        <v>428359</v>
      </c>
      <c r="H21" s="62">
        <f t="shared" si="3"/>
        <v>446802.773665725</v>
      </c>
      <c r="I21" s="1"/>
      <c r="J21" s="49"/>
    </row>
    <row r="22" ht="15" customHeight="1">
      <c r="A22" s="1"/>
      <c r="B22" s="3" t="s">
        <v>419</v>
      </c>
      <c r="C22" s="1"/>
      <c r="D22" s="1"/>
      <c r="E22" s="1"/>
      <c r="F22" s="1"/>
      <c r="G22" s="1"/>
      <c r="H22" s="48"/>
      <c r="I22" s="1"/>
      <c r="J22" s="49"/>
    </row>
    <row r="23" ht="15" customHeight="1">
      <c r="A23" s="1"/>
      <c r="B23" s="63" t="s">
        <v>420</v>
      </c>
      <c r="C23" s="60">
        <v>11378</v>
      </c>
      <c r="D23" s="60">
        <v>9011</v>
      </c>
      <c r="E23" s="15">
        <f t="shared" si="1"/>
        <v>9011</v>
      </c>
      <c r="F23" s="60">
        <v>6818</v>
      </c>
      <c r="G23" s="60">
        <v>9323</v>
      </c>
      <c r="H23" s="54">
        <f t="shared" si="1"/>
        <v>9323</v>
      </c>
      <c r="I23" s="1"/>
      <c r="J23" s="49"/>
    </row>
    <row r="24" ht="15" customHeight="1">
      <c r="A24" s="1"/>
      <c r="B24" s="65" t="s">
        <v>421</v>
      </c>
      <c r="C24" s="60">
        <v>36592</v>
      </c>
      <c r="D24" s="60">
        <v>38514</v>
      </c>
      <c r="E24" s="15">
        <f t="shared" si="1"/>
        <v>38514</v>
      </c>
      <c r="F24" s="60">
        <v>37304</v>
      </c>
      <c r="G24" s="60">
        <v>38049</v>
      </c>
      <c r="H24" s="13">
        <f>G24+'Cash Flow Statement'!H52+'Cash Flow Statement'!H35</f>
        <v>38949</v>
      </c>
      <c r="I24" s="1"/>
      <c r="J24" s="49" t="s">
        <v>422</v>
      </c>
    </row>
    <row r="25" ht="15" customHeight="1">
      <c r="A25" s="1"/>
      <c r="B25" s="65" t="s">
        <v>423</v>
      </c>
      <c r="C25" s="60">
        <v>3897</v>
      </c>
      <c r="D25" s="60">
        <v>4266</v>
      </c>
      <c r="E25" s="15">
        <f t="shared" si="1"/>
        <v>4266</v>
      </c>
      <c r="F25" s="60">
        <v>4330</v>
      </c>
      <c r="G25" s="60">
        <v>4065</v>
      </c>
      <c r="H25" s="54">
        <f t="shared" si="1"/>
        <v>4065</v>
      </c>
      <c r="I25" s="1"/>
      <c r="J25" s="49"/>
    </row>
    <row r="26" ht="15" customHeight="1">
      <c r="A26" s="1"/>
      <c r="B26" s="63" t="s">
        <v>424</v>
      </c>
      <c r="C26" s="60">
        <v>2009</v>
      </c>
      <c r="D26" s="60">
        <v>1989</v>
      </c>
      <c r="E26" s="15">
        <f t="shared" si="1"/>
        <v>1989</v>
      </c>
      <c r="F26" s="60">
        <v>1969</v>
      </c>
      <c r="G26" s="60">
        <v>1945</v>
      </c>
      <c r="H26" s="54">
        <f t="shared" si="1"/>
        <v>1945</v>
      </c>
      <c r="I26" s="1"/>
      <c r="J26" s="49"/>
    </row>
    <row r="27" ht="15" customHeight="1">
      <c r="A27" s="1"/>
      <c r="B27" s="3" t="s">
        <v>425</v>
      </c>
      <c r="C27" s="61">
        <f t="shared" si="2"/>
        <v>53876</v>
      </c>
      <c r="D27" s="61">
        <f t="shared" si="2"/>
        <v>53780</v>
      </c>
      <c r="E27" s="61">
        <f t="shared" si="2"/>
        <v>53780</v>
      </c>
      <c r="F27" s="61">
        <f t="shared" si="2"/>
        <v>50421</v>
      </c>
      <c r="G27" s="61">
        <f t="shared" si="2"/>
        <v>53382</v>
      </c>
      <c r="H27" s="62">
        <f t="shared" si="2"/>
        <v>54282</v>
      </c>
      <c r="I27" s="1"/>
      <c r="J27" s="49"/>
    </row>
    <row r="28" ht="15" customHeight="1">
      <c r="A28" s="1"/>
      <c r="B28" s="63" t="s">
        <v>426</v>
      </c>
      <c r="C28" s="60">
        <v>128090</v>
      </c>
      <c r="D28" s="60">
        <v>127089</v>
      </c>
      <c r="E28" s="15">
        <f t="shared" si="1"/>
        <v>127089</v>
      </c>
      <c r="F28" s="60">
        <v>131589</v>
      </c>
      <c r="G28" s="60">
        <v>134631</v>
      </c>
      <c r="H28" s="13">
        <f>G28+'Cash Flow Statement'!H33+'Cash Flow Statement'!H34</f>
        <v>152671</v>
      </c>
      <c r="I28" s="1"/>
      <c r="J28" s="49"/>
    </row>
    <row r="29" ht="15" customHeight="1">
      <c r="A29" s="1"/>
      <c r="B29" s="65" t="s">
        <v>427</v>
      </c>
      <c r="C29" s="60">
        <v>59304</v>
      </c>
      <c r="D29" s="60">
        <v>58312</v>
      </c>
      <c r="E29" s="15">
        <f t="shared" si="1"/>
        <v>58312</v>
      </c>
      <c r="F29" s="60">
        <v>59113</v>
      </c>
      <c r="G29" s="60">
        <v>60401</v>
      </c>
      <c r="H29" s="54">
        <f t="shared" si="1"/>
        <v>60401</v>
      </c>
      <c r="I29" s="1"/>
      <c r="J29" s="49"/>
    </row>
    <row r="30" ht="15" customHeight="1">
      <c r="A30" s="1"/>
      <c r="B30" s="65" t="s">
        <v>428</v>
      </c>
      <c r="C30" s="60">
        <v>8728</v>
      </c>
      <c r="D30" s="60">
        <v>8478</v>
      </c>
      <c r="E30" s="15">
        <f t="shared" si="1"/>
        <v>8478</v>
      </c>
      <c r="F30" s="60">
        <v>8427</v>
      </c>
      <c r="G30" s="60">
        <v>8267</v>
      </c>
      <c r="H30" s="54">
        <f t="shared" si="1"/>
        <v>8267</v>
      </c>
      <c r="I30" s="1"/>
      <c r="J30" s="49"/>
    </row>
    <row r="31" ht="15" customHeight="1">
      <c r="A31" s="1"/>
      <c r="B31" s="63" t="s">
        <v>429</v>
      </c>
      <c r="C31" s="60">
        <v>19025</v>
      </c>
      <c r="D31" s="60">
        <v>18943</v>
      </c>
      <c r="E31" s="15">
        <f t="shared" si="1"/>
        <v>18943</v>
      </c>
      <c r="F31" s="60">
        <v>18907</v>
      </c>
      <c r="G31" s="60">
        <v>18934</v>
      </c>
      <c r="H31" s="54">
        <f t="shared" si="1"/>
        <v>18934</v>
      </c>
      <c r="I31" s="1"/>
      <c r="J31" s="49"/>
    </row>
    <row r="32" ht="15" customHeight="1">
      <c r="A32" s="1"/>
      <c r="B32" s="63" t="s">
        <v>430</v>
      </c>
      <c r="C32" s="60">
        <v>25451</v>
      </c>
      <c r="D32" s="60">
        <v>25104</v>
      </c>
      <c r="E32" s="15">
        <f t="shared" si="1"/>
        <v>25104</v>
      </c>
      <c r="F32" s="60">
        <v>25109</v>
      </c>
      <c r="G32" s="60">
        <v>24305</v>
      </c>
      <c r="H32" s="54">
        <f t="shared" si="1"/>
        <v>24305</v>
      </c>
      <c r="I32" s="1"/>
      <c r="J32" s="49"/>
    </row>
    <row r="33" ht="23.25" customHeight="1">
      <c r="A33" s="1"/>
      <c r="B33" s="72" t="s">
        <v>431</v>
      </c>
      <c r="C33" s="61">
        <f t="shared" si="2"/>
        <v>112508</v>
      </c>
      <c r="D33" s="61">
        <f t="shared" si="2"/>
        <v>110837</v>
      </c>
      <c r="E33" s="61">
        <f t="shared" si="2"/>
        <v>110837</v>
      </c>
      <c r="F33" s="61">
        <f t="shared" si="2"/>
        <v>111556</v>
      </c>
      <c r="G33" s="61">
        <f t="shared" si="2"/>
        <v>111907</v>
      </c>
      <c r="H33" s="62">
        <f t="shared" si="2"/>
        <v>111907</v>
      </c>
      <c r="I33" s="1"/>
      <c r="J33" s="49"/>
    </row>
    <row r="34" ht="15" customHeight="1">
      <c r="A34" s="1"/>
      <c r="B34" s="3" t="s">
        <v>432</v>
      </c>
      <c r="C34" s="61">
        <f t="shared" si="4" ref="C34:H34">C27+C28+C33</f>
        <v>294474</v>
      </c>
      <c r="D34" s="61">
        <f t="shared" si="4"/>
        <v>291706</v>
      </c>
      <c r="E34" s="61">
        <f t="shared" si="4"/>
        <v>291706</v>
      </c>
      <c r="F34" s="61">
        <f t="shared" si="4"/>
        <v>293566</v>
      </c>
      <c r="G34" s="61">
        <f t="shared" si="4"/>
        <v>299920</v>
      </c>
      <c r="H34" s="62">
        <f t="shared" si="4"/>
        <v>318860</v>
      </c>
      <c r="I34" s="1"/>
      <c r="J34" s="49"/>
    </row>
    <row r="35" ht="15" customHeight="1">
      <c r="A35" s="1"/>
      <c r="B35" s="3" t="s">
        <v>433</v>
      </c>
      <c r="C35" s="1"/>
      <c r="D35" s="1"/>
      <c r="E35" s="1"/>
      <c r="F35" s="1"/>
      <c r="G35" s="1"/>
      <c r="H35" s="48"/>
      <c r="I35" s="1"/>
      <c r="J35" s="49"/>
    </row>
    <row r="36" ht="15" customHeight="1">
      <c r="A36" s="1"/>
      <c r="B36" s="65" t="s">
        <v>434</v>
      </c>
      <c r="C36" s="60">
        <v>1984</v>
      </c>
      <c r="D36" s="60">
        <v>2001</v>
      </c>
      <c r="E36" s="15">
        <f t="shared" si="1"/>
        <v>2001</v>
      </c>
      <c r="F36" s="60">
        <v>2003</v>
      </c>
      <c r="G36" s="60">
        <v>2005</v>
      </c>
      <c r="H36" s="54">
        <f t="shared" si="1"/>
        <v>2005</v>
      </c>
      <c r="I36" s="1"/>
      <c r="J36" s="49"/>
    </row>
    <row r="37" ht="15" customHeight="1">
      <c r="A37" s="1"/>
      <c r="B37" s="63" t="s">
        <v>435</v>
      </c>
      <c r="C37" s="60">
        <v>7621</v>
      </c>
      <c r="D37" s="60">
        <v>7621</v>
      </c>
      <c r="E37" s="15">
        <f t="shared" si="1"/>
        <v>7621</v>
      </c>
      <c r="F37" s="60">
        <v>7621</v>
      </c>
      <c r="G37" s="60">
        <v>7621</v>
      </c>
      <c r="H37" s="54">
        <f t="shared" si="1"/>
        <v>7621</v>
      </c>
      <c r="I37" s="1"/>
      <c r="J37" s="49"/>
    </row>
    <row r="38" ht="15" customHeight="1">
      <c r="A38" s="1"/>
      <c r="B38" s="63" t="s">
        <v>436</v>
      </c>
      <c r="C38" s="60">
        <v>106461</v>
      </c>
      <c r="D38" s="60">
        <v>106533</v>
      </c>
      <c r="E38" s="15">
        <f t="shared" si="1"/>
        <v>106533</v>
      </c>
      <c r="F38" s="60">
        <v>106084</v>
      </c>
      <c r="G38" s="60">
        <v>106161</v>
      </c>
      <c r="H38" s="54">
        <f t="shared" si="1"/>
        <v>106161</v>
      </c>
      <c r="I38" s="1"/>
      <c r="J38" s="49"/>
    </row>
    <row r="39" ht="15" customHeight="1">
      <c r="A39" s="1"/>
      <c r="B39" s="63" t="s">
        <v>437</v>
      </c>
      <c r="C39" s="60">
        <v>13974</v>
      </c>
      <c r="D39" s="60">
        <v>15768</v>
      </c>
      <c r="E39" s="15">
        <f t="shared" si="1"/>
        <v>15768</v>
      </c>
      <c r="F39" s="60">
        <v>17620</v>
      </c>
      <c r="G39" s="60">
        <v>20293</v>
      </c>
      <c r="H39" s="13">
        <f>G39+'Income Statement'!H54-'Income Statement'!H55+'Cash Flow Statement'!H50</f>
        <v>22496.773665725</v>
      </c>
      <c r="I39" s="1"/>
      <c r="J39" s="49"/>
    </row>
    <row r="40" ht="15" customHeight="1">
      <c r="A40" s="1"/>
      <c r="B40" s="63" t="s">
        <v>438</v>
      </c>
      <c r="C40" s="60">
        <v>-16700</v>
      </c>
      <c r="D40" s="60">
        <v>-18529</v>
      </c>
      <c r="E40" s="15">
        <f t="shared" si="1"/>
        <v>-18529</v>
      </c>
      <c r="F40" s="60">
        <v>-20273</v>
      </c>
      <c r="G40" s="60">
        <v>-22446</v>
      </c>
      <c r="H40" s="13">
        <f>G40+'Cash Flow Statement'!H37</f>
        <v>-25146</v>
      </c>
      <c r="I40" s="1"/>
      <c r="J40" s="49"/>
    </row>
    <row r="41" ht="15" customHeight="1">
      <c r="A41" s="1"/>
      <c r="B41" s="65" t="s">
        <v>439</v>
      </c>
      <c r="C41" s="60">
        <v>-648</v>
      </c>
      <c r="D41" s="60">
        <v>-860</v>
      </c>
      <c r="E41" s="15">
        <f t="shared" si="1"/>
        <v>-860</v>
      </c>
      <c r="F41" s="60">
        <v>-1392</v>
      </c>
      <c r="G41" s="60">
        <v>-1185</v>
      </c>
      <c r="H41" s="54">
        <f t="shared" si="1"/>
        <v>-1185</v>
      </c>
      <c r="I41" s="1"/>
      <c r="J41" s="49"/>
    </row>
    <row r="42" ht="15" customHeight="1">
      <c r="A42" s="1"/>
      <c r="B42" s="63" t="s">
        <v>440</v>
      </c>
      <c r="C42" s="60">
        <v>16047</v>
      </c>
      <c r="D42" s="60">
        <v>15958</v>
      </c>
      <c r="E42" s="15">
        <f t="shared" si="1"/>
        <v>15958</v>
      </c>
      <c r="F42" s="60">
        <v>15959</v>
      </c>
      <c r="G42" s="60">
        <v>15990</v>
      </c>
      <c r="H42" s="13">
        <f>G42+'Income Statement'!H53+'Cash Flow Statement'!H51</f>
        <v>15990</v>
      </c>
      <c r="I42" s="1"/>
      <c r="J42" s="49"/>
    </row>
    <row r="43" ht="15" customHeight="1">
      <c r="A43" s="1"/>
      <c r="B43" s="3" t="s">
        <v>441</v>
      </c>
      <c r="C43" s="61">
        <f t="shared" si="5" ref="C43:H43">C37+C38+C39+C40+C41+C42</f>
        <v>126755</v>
      </c>
      <c r="D43" s="61">
        <f t="shared" si="5"/>
        <v>126491</v>
      </c>
      <c r="E43" s="61">
        <f t="shared" si="5"/>
        <v>126491</v>
      </c>
      <c r="F43" s="61">
        <f t="shared" si="5"/>
        <v>125619</v>
      </c>
      <c r="G43" s="61">
        <f t="shared" si="5"/>
        <v>126434</v>
      </c>
      <c r="H43" s="62">
        <f t="shared" si="5"/>
        <v>125937.77366572499</v>
      </c>
      <c r="I43" s="1"/>
      <c r="J43" s="49"/>
    </row>
    <row r="44" ht="15" customHeight="1">
      <c r="A44" s="1"/>
      <c r="B44" s="72" t="s">
        <v>442</v>
      </c>
      <c r="C44" s="61">
        <f t="shared" si="6" ref="C44:H44">C34+C36+C43</f>
        <v>423213</v>
      </c>
      <c r="D44" s="61">
        <f t="shared" si="6"/>
        <v>420198</v>
      </c>
      <c r="E44" s="61">
        <f t="shared" si="6"/>
        <v>420198</v>
      </c>
      <c r="F44" s="61">
        <f t="shared" si="6"/>
        <v>421188</v>
      </c>
      <c r="G44" s="61">
        <f t="shared" si="6"/>
        <v>428359</v>
      </c>
      <c r="H44" s="62">
        <f t="shared" si="6"/>
        <v>446802.773665725</v>
      </c>
      <c r="I44" s="1"/>
      <c r="J44" s="49"/>
    </row>
    <row r="45" ht="15" customHeight="1">
      <c r="A45" s="1"/>
      <c r="B45" s="3" t="s">
        <v>443</v>
      </c>
      <c r="C45" s="1"/>
      <c r="D45" s="1"/>
      <c r="E45" s="1"/>
      <c r="F45" s="1"/>
      <c r="G45" s="1"/>
      <c r="H45" s="48"/>
      <c r="I45" s="1"/>
      <c r="J45" s="49"/>
    </row>
    <row r="46" ht="15" customHeight="1">
      <c r="A46" s="1"/>
      <c r="B46" s="65" t="s">
        <v>444</v>
      </c>
      <c r="C46" s="15">
        <f t="shared" si="7" ref="C46:H46">C21-C34-C36-C43</f>
        <v>0</v>
      </c>
      <c r="D46" s="15">
        <f t="shared" si="7"/>
        <v>0</v>
      </c>
      <c r="E46" s="15">
        <f t="shared" si="7"/>
        <v>0</v>
      </c>
      <c r="F46" s="15">
        <f t="shared" si="7"/>
        <v>0</v>
      </c>
      <c r="G46" s="15">
        <f t="shared" si="7"/>
        <v>0</v>
      </c>
      <c r="H46" s="54">
        <f t="shared" si="7"/>
        <v>0</v>
      </c>
      <c r="I46" s="1"/>
      <c r="J46" s="49"/>
    </row>
    <row r="47" ht="15" customHeight="1">
      <c r="A47" s="1"/>
      <c r="B47" s="65" t="s">
        <v>445</v>
      </c>
      <c r="C47" s="60">
        <v>423213</v>
      </c>
      <c r="D47" s="60">
        <v>420198</v>
      </c>
      <c r="E47" s="15">
        <f t="shared" si="1"/>
        <v>420198</v>
      </c>
      <c r="F47" s="60">
        <v>421188</v>
      </c>
      <c r="G47" s="60">
        <v>428359</v>
      </c>
      <c r="H47" s="64" t="s">
        <v>15</v>
      </c>
      <c r="I47" s="1"/>
      <c r="J47" s="49"/>
    </row>
    <row r="48" ht="15" customHeight="1">
      <c r="A48" s="1"/>
      <c r="B48" s="65" t="s">
        <v>446</v>
      </c>
      <c r="C48" s="15">
        <f t="shared" si="8" ref="C48:G48">C44-C47</f>
        <v>0</v>
      </c>
      <c r="D48" s="15">
        <f t="shared" si="8"/>
        <v>0</v>
      </c>
      <c r="E48" s="15">
        <f t="shared" si="1"/>
        <v>0</v>
      </c>
      <c r="F48" s="15">
        <f t="shared" si="8"/>
        <v>0</v>
      </c>
      <c r="G48" s="15">
        <f t="shared" si="8"/>
        <v>0</v>
      </c>
      <c r="H48" s="64" t="s">
        <v>15</v>
      </c>
      <c r="I48" s="1"/>
      <c r="J48" s="49"/>
    </row>
    <row r="49" ht="15" customHeight="1">
      <c r="A49" s="1"/>
      <c r="B49" s="3" t="s">
        <v>447</v>
      </c>
      <c r="C49" s="61">
        <f t="shared" si="9" ref="C49:H49">C23+C28-C9</f>
        <v>119196</v>
      </c>
      <c r="D49" s="61">
        <f t="shared" si="9"/>
        <v>117866</v>
      </c>
      <c r="E49" s="61">
        <f t="shared" si="9"/>
        <v>117866</v>
      </c>
      <c r="F49" s="61">
        <f t="shared" si="9"/>
        <v>126443</v>
      </c>
      <c r="G49" s="61">
        <f t="shared" si="9"/>
        <v>126384</v>
      </c>
      <c r="H49" s="62">
        <f t="shared" si="9"/>
        <v>149585.226334275</v>
      </c>
      <c r="I49" s="1"/>
      <c r="J49" s="49"/>
    </row>
    <row r="50" ht="15" customHeight="1">
      <c r="A50" s="1"/>
      <c r="B50" s="65" t="s">
        <v>448</v>
      </c>
      <c r="C50" s="100">
        <f>C49/('Income Statement'!N75+'Income Statement'!M75+'Income Statement'!K75+'Income Statement'!C75)</f>
        <v>2.595957836048436</v>
      </c>
      <c r="D50" s="100">
        <f>D49/('Income Statement'!C75+'Income Statement'!N75+'Income Statement'!M75+'Income Statement'!D75)</f>
        <v>2.542352408274196</v>
      </c>
      <c r="E50" s="100">
        <f>E49/('Income Statement'!C75+'Income Statement'!N75+'Income Statement'!M75+'Income Statement'!D75)</f>
        <v>2.542352408274196</v>
      </c>
      <c r="F50" s="100">
        <f>F49/('Income Statement'!D75+'Income Statement'!C75+'Income Statement'!N75+'Income Statement'!F75)</f>
        <v>2.7120305428651097</v>
      </c>
      <c r="G50" s="100">
        <f>G49/('Income Statement'!F75+'Income Statement'!D75+'Income Statement'!C75+'Income Statement'!G75)</f>
        <v>2.6759263180182087</v>
      </c>
      <c r="H50" s="101">
        <f>H49/('Income Statement'!G75+'Income Statement'!F75+'Income Statement'!D75+'Income Statement'!H75)</f>
        <v>3.132840083755379</v>
      </c>
      <c r="I50" s="1"/>
      <c r="J50" s="49" t="s">
        <v>449</v>
      </c>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FF6BFE-AB0B-7148-5DB8-861EC509A75A}"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450</v>
      </c>
      <c r="C2" s="1"/>
      <c r="D2" s="1"/>
      <c r="E2" s="1"/>
      <c r="F2" s="1"/>
      <c r="G2" s="1"/>
      <c r="H2" s="1"/>
      <c r="I2" s="1"/>
      <c r="J2" s="1"/>
      <c r="K2" s="1"/>
      <c r="L2" s="1"/>
      <c r="M2" s="1"/>
      <c r="N2" s="1"/>
      <c r="O2" s="1"/>
      <c r="P2" s="1"/>
    </row>
    <row r="3" ht="15" customHeight="1">
      <c r="A3" s="1"/>
      <c r="B3" s="4" t="s">
        <v>2</v>
      </c>
      <c r="C3" s="1"/>
      <c r="D3" s="1"/>
      <c r="E3" s="1"/>
      <c r="F3" s="1"/>
      <c r="G3" s="1"/>
      <c r="H3" s="1"/>
      <c r="I3" s="1"/>
      <c r="J3" s="4" t="s">
        <v>451</v>
      </c>
      <c r="K3" s="1"/>
      <c r="L3" s="1"/>
      <c r="M3" s="1"/>
      <c r="N3" s="1"/>
      <c r="O3" s="1"/>
      <c r="P3" s="1"/>
    </row>
    <row r="4" ht="15" customHeight="1">
      <c r="A4" s="1"/>
      <c r="B4" s="5" t="s">
        <v>3</v>
      </c>
      <c r="C4" s="6" t="s">
        <v>102</v>
      </c>
      <c r="D4" s="6" t="s">
        <v>103</v>
      </c>
      <c r="E4" s="6" t="s">
        <v>104</v>
      </c>
      <c r="F4" s="6" t="s">
        <v>105</v>
      </c>
      <c r="G4" s="6" t="s">
        <v>106</v>
      </c>
      <c r="H4" s="41" t="s">
        <v>4</v>
      </c>
      <c r="I4" s="6"/>
      <c r="J4" s="6" t="s">
        <v>452</v>
      </c>
      <c r="K4" s="6" t="s">
        <v>453</v>
      </c>
      <c r="L4" s="6" t="s">
        <v>454</v>
      </c>
      <c r="M4" s="6" t="s">
        <v>455</v>
      </c>
      <c r="N4" s="6" t="s">
        <v>456</v>
      </c>
      <c r="O4" s="6"/>
      <c r="P4" s="42" t="s">
        <v>112</v>
      </c>
    </row>
    <row r="5" ht="15" customHeight="1">
      <c r="A5" s="1"/>
      <c r="B5" s="7" t="s">
        <v>5</v>
      </c>
      <c r="C5" s="8">
        <v>45930</v>
      </c>
      <c r="D5" s="8">
        <v>46022</v>
      </c>
      <c r="E5" s="8">
        <v>46022</v>
      </c>
      <c r="F5" s="8">
        <v>46112</v>
      </c>
      <c r="G5" s="8">
        <v>46203</v>
      </c>
      <c r="H5" s="43">
        <v>46295</v>
      </c>
      <c r="I5" s="44"/>
      <c r="J5" s="8">
        <v>45838</v>
      </c>
      <c r="K5" s="8">
        <v>45930</v>
      </c>
      <c r="L5" s="8">
        <v>46022</v>
      </c>
      <c r="M5" s="8">
        <v>46112</v>
      </c>
      <c r="N5" s="8">
        <v>46203</v>
      </c>
      <c r="O5" s="44"/>
      <c r="P5" s="45"/>
    </row>
    <row r="6" ht="15" customHeight="1">
      <c r="A6" s="1"/>
      <c r="B6" s="9" t="s">
        <v>6</v>
      </c>
      <c r="C6" s="10">
        <f t="shared" si="0" ref="C6:H6">C5-EOMONTH(C5,-3)</f>
        <v>92</v>
      </c>
      <c r="D6" s="10">
        <f t="shared" si="0"/>
        <v>92</v>
      </c>
      <c r="E6" s="10">
        <f t="shared" si="1" ref="E6:N6">E5-DATE(YEAR(E5)-1,12,31)</f>
        <v>365</v>
      </c>
      <c r="F6" s="10">
        <f t="shared" si="0"/>
        <v>90</v>
      </c>
      <c r="G6" s="10">
        <f t="shared" si="0"/>
        <v>91</v>
      </c>
      <c r="H6" s="46">
        <f t="shared" si="0"/>
        <v>92</v>
      </c>
      <c r="I6" s="10"/>
      <c r="J6" s="10">
        <f t="shared" si="1"/>
        <v>181</v>
      </c>
      <c r="K6" s="10">
        <f t="shared" si="1"/>
        <v>273</v>
      </c>
      <c r="L6" s="10">
        <f t="shared" si="1"/>
        <v>365</v>
      </c>
      <c r="M6" s="10">
        <f t="shared" si="1"/>
        <v>90</v>
      </c>
      <c r="N6" s="10">
        <f t="shared" si="1"/>
        <v>181</v>
      </c>
      <c r="O6" s="10"/>
      <c r="P6" s="47"/>
    </row>
    <row r="7" ht="15" customHeight="1">
      <c r="A7" s="1"/>
      <c r="B7" s="1"/>
      <c r="C7" s="1"/>
      <c r="D7" s="1"/>
      <c r="E7" s="1"/>
      <c r="F7" s="1"/>
      <c r="G7" s="1"/>
      <c r="H7" s="48"/>
      <c r="I7" s="1"/>
      <c r="J7" s="1"/>
      <c r="K7" s="1"/>
      <c r="L7" s="1"/>
      <c r="M7" s="1"/>
      <c r="N7" s="1"/>
      <c r="O7" s="1"/>
      <c r="P7" s="1"/>
    </row>
    <row r="8" ht="15" customHeight="1">
      <c r="A8" s="1"/>
      <c r="B8" s="3" t="s">
        <v>457</v>
      </c>
      <c r="C8" s="1"/>
      <c r="D8" s="1"/>
      <c r="E8" s="1"/>
      <c r="F8" s="1"/>
      <c r="G8" s="1"/>
      <c r="H8" s="48"/>
      <c r="I8" s="1"/>
      <c r="J8" s="1"/>
      <c r="K8" s="1"/>
      <c r="L8" s="1"/>
      <c r="M8" s="1"/>
      <c r="N8" s="1"/>
      <c r="O8" s="1"/>
      <c r="P8" s="49"/>
    </row>
    <row r="9" ht="15" customHeight="1">
      <c r="A9" s="1"/>
      <c r="B9" s="65" t="s">
        <v>296</v>
      </c>
      <c r="C9" s="15">
        <f t="shared" si="2" ref="C9:D45">K9-J9</f>
        <v>9677</v>
      </c>
      <c r="D9" s="15">
        <f t="shared" si="2"/>
        <v>4156</v>
      </c>
      <c r="E9" s="15">
        <f t="shared" si="3" ref="E9:F47">L9</f>
        <v>23386</v>
      </c>
      <c r="F9" s="15">
        <f t="shared" si="3"/>
        <v>4219</v>
      </c>
      <c r="G9" s="15">
        <f t="shared" si="4" ref="G9:G45">N9-M9</f>
        <v>5038</v>
      </c>
      <c r="H9" s="13">
        <f>'Income Statement'!H50</f>
        <v>4558.696165724998</v>
      </c>
      <c r="I9" s="1"/>
      <c r="J9" s="60">
        <v>9553</v>
      </c>
      <c r="K9" s="60">
        <v>19230</v>
      </c>
      <c r="L9" s="60">
        <v>23386</v>
      </c>
      <c r="M9" s="60">
        <v>4219</v>
      </c>
      <c r="N9" s="60">
        <v>9257</v>
      </c>
      <c r="O9" s="1"/>
      <c r="P9" s="49"/>
    </row>
    <row r="10" ht="15" customHeight="1">
      <c r="A10" s="1"/>
      <c r="B10" s="63" t="s">
        <v>231</v>
      </c>
      <c r="C10" s="15">
        <f t="shared" si="2"/>
        <v>5317</v>
      </c>
      <c r="D10" s="15">
        <f t="shared" si="2"/>
        <v>5128</v>
      </c>
      <c r="E10" s="15">
        <f t="shared" si="3"/>
        <v>20886</v>
      </c>
      <c r="F10" s="15">
        <f t="shared" si="3"/>
        <v>4966</v>
      </c>
      <c r="G10" s="15">
        <f t="shared" si="4"/>
        <v>4966</v>
      </c>
      <c r="H10" s="13">
        <f>'Income Statement'!H29</f>
        <v>5010</v>
      </c>
      <c r="I10" s="1"/>
      <c r="J10" s="60">
        <v>10441</v>
      </c>
      <c r="K10" s="60">
        <v>15758</v>
      </c>
      <c r="L10" s="60">
        <v>20886</v>
      </c>
      <c r="M10" s="60">
        <v>4966</v>
      </c>
      <c r="N10" s="60">
        <v>9932</v>
      </c>
      <c r="O10" s="1"/>
      <c r="P10" s="49"/>
    </row>
    <row r="11" ht="15" customHeight="1">
      <c r="A11" s="1"/>
      <c r="B11" s="65" t="s">
        <v>458</v>
      </c>
      <c r="C11" s="15">
        <f t="shared" si="2"/>
        <v>555</v>
      </c>
      <c r="D11" s="15">
        <f t="shared" si="2"/>
        <v>679</v>
      </c>
      <c r="E11" s="15">
        <f t="shared" si="3"/>
        <v>2271</v>
      </c>
      <c r="F11" s="15">
        <f t="shared" si="3"/>
        <v>560</v>
      </c>
      <c r="G11" s="15">
        <f t="shared" si="4"/>
        <v>589</v>
      </c>
      <c r="H11" s="85">
        <v>0</v>
      </c>
      <c r="I11" s="1"/>
      <c r="J11" s="60">
        <v>1037</v>
      </c>
      <c r="K11" s="60">
        <v>1592</v>
      </c>
      <c r="L11" s="60">
        <v>2271</v>
      </c>
      <c r="M11" s="60">
        <v>560</v>
      </c>
      <c r="N11" s="60">
        <v>1149</v>
      </c>
      <c r="O11" s="1"/>
      <c r="P11" s="49"/>
    </row>
    <row r="12" ht="23.25" customHeight="1">
      <c r="A12" s="1"/>
      <c r="B12" s="65" t="s">
        <v>459</v>
      </c>
      <c r="C12" s="15">
        <f t="shared" si="2"/>
        <v>0</v>
      </c>
      <c r="D12" s="15">
        <f t="shared" si="2"/>
        <v>334</v>
      </c>
      <c r="E12" s="15">
        <f t="shared" si="3"/>
        <v>838</v>
      </c>
      <c r="F12" s="15">
        <f t="shared" si="3"/>
        <v>0</v>
      </c>
      <c r="G12" s="15">
        <f t="shared" si="4"/>
        <v>286</v>
      </c>
      <c r="H12" s="85">
        <v>0</v>
      </c>
      <c r="I12" s="1"/>
      <c r="J12" s="60">
        <v>504</v>
      </c>
      <c r="K12" s="60">
        <v>504</v>
      </c>
      <c r="L12" s="60">
        <v>838</v>
      </c>
      <c r="M12" s="60">
        <v>0</v>
      </c>
      <c r="N12" s="60">
        <v>286</v>
      </c>
      <c r="O12" s="1"/>
      <c r="P12" s="49"/>
    </row>
    <row r="13" ht="15" customHeight="1">
      <c r="A13" s="1"/>
      <c r="B13" s="65" t="s">
        <v>460</v>
      </c>
      <c r="C13" s="15">
        <f t="shared" si="2"/>
        <v>-397</v>
      </c>
      <c r="D13" s="15">
        <f t="shared" si="2"/>
        <v>-397</v>
      </c>
      <c r="E13" s="15">
        <f t="shared" si="3"/>
        <v>-1588</v>
      </c>
      <c r="F13" s="15">
        <f t="shared" si="3"/>
        <v>-396</v>
      </c>
      <c r="G13" s="15">
        <f t="shared" si="4"/>
        <v>-395</v>
      </c>
      <c r="H13" s="85">
        <v>0</v>
      </c>
      <c r="I13" s="1"/>
      <c r="J13" s="60">
        <v>-794</v>
      </c>
      <c r="K13" s="60">
        <v>-1191</v>
      </c>
      <c r="L13" s="60">
        <v>-1588</v>
      </c>
      <c r="M13" s="60">
        <v>-396</v>
      </c>
      <c r="N13" s="60">
        <v>-791</v>
      </c>
      <c r="O13" s="1"/>
      <c r="P13" s="49"/>
    </row>
    <row r="14" ht="15" customHeight="1">
      <c r="A14" s="1"/>
      <c r="B14" s="63" t="s">
        <v>352</v>
      </c>
      <c r="C14" s="15">
        <f t="shared" si="2"/>
        <v>0</v>
      </c>
      <c r="D14" s="15">
        <f t="shared" si="2"/>
        <v>519</v>
      </c>
      <c r="E14" s="15">
        <f t="shared" si="3"/>
        <v>519</v>
      </c>
      <c r="F14" s="15">
        <f t="shared" si="3"/>
        <v>0</v>
      </c>
      <c r="G14" s="15">
        <f t="shared" si="4"/>
        <v>0</v>
      </c>
      <c r="H14" s="85">
        <v>0</v>
      </c>
      <c r="I14" s="1"/>
      <c r="J14" s="60">
        <v>0</v>
      </c>
      <c r="K14" s="60">
        <v>0</v>
      </c>
      <c r="L14" s="60">
        <v>519</v>
      </c>
      <c r="M14" s="60">
        <v>0</v>
      </c>
      <c r="N14" s="60">
        <v>0</v>
      </c>
      <c r="O14" s="1"/>
      <c r="P14" s="49"/>
    </row>
    <row r="15" ht="15" customHeight="1">
      <c r="A15" s="1"/>
      <c r="B15" s="63" t="s">
        <v>461</v>
      </c>
      <c r="C15" s="15">
        <f t="shared" si="2"/>
        <v>-5691</v>
      </c>
      <c r="D15" s="15">
        <f t="shared" si="2"/>
        <v>-167</v>
      </c>
      <c r="E15" s="15">
        <f t="shared" si="3"/>
        <v>-5889</v>
      </c>
      <c r="F15" s="15">
        <f t="shared" si="3"/>
        <v>28</v>
      </c>
      <c r="G15" s="15">
        <f t="shared" si="4"/>
        <v>-198</v>
      </c>
      <c r="H15" s="85">
        <v>0</v>
      </c>
      <c r="I15" s="1"/>
      <c r="J15" s="60">
        <v>-31</v>
      </c>
      <c r="K15" s="60">
        <v>-5722</v>
      </c>
      <c r="L15" s="60">
        <v>-5889</v>
      </c>
      <c r="M15" s="60">
        <v>28</v>
      </c>
      <c r="N15" s="60">
        <v>-170</v>
      </c>
      <c r="O15" s="1"/>
      <c r="P15" s="49"/>
    </row>
    <row r="16" ht="15" customHeight="1">
      <c r="A16" s="1"/>
      <c r="B16" s="63" t="s">
        <v>462</v>
      </c>
      <c r="C16" s="15">
        <f t="shared" si="2"/>
        <v>-366</v>
      </c>
      <c r="D16" s="15">
        <f t="shared" si="2"/>
        <v>-913</v>
      </c>
      <c r="E16" s="15">
        <f t="shared" si="3"/>
        <v>-1526</v>
      </c>
      <c r="F16" s="15">
        <f t="shared" si="3"/>
        <v>-119</v>
      </c>
      <c r="G16" s="15">
        <f t="shared" si="4"/>
        <v>-299</v>
      </c>
      <c r="H16" s="85">
        <v>0</v>
      </c>
      <c r="I16" s="1"/>
      <c r="J16" s="60">
        <v>-247</v>
      </c>
      <c r="K16" s="60">
        <v>-613</v>
      </c>
      <c r="L16" s="60">
        <v>-1526</v>
      </c>
      <c r="M16" s="60">
        <v>-119</v>
      </c>
      <c r="N16" s="60">
        <v>-418</v>
      </c>
      <c r="O16" s="1"/>
      <c r="P16" s="49"/>
    </row>
    <row r="17" ht="15" customHeight="1">
      <c r="A17" s="1"/>
      <c r="B17" s="65" t="s">
        <v>463</v>
      </c>
      <c r="C17" s="15">
        <f t="shared" si="2"/>
        <v>-309</v>
      </c>
      <c r="D17" s="15">
        <f t="shared" si="2"/>
        <v>-482</v>
      </c>
      <c r="E17" s="15">
        <f t="shared" si="3"/>
        <v>324</v>
      </c>
      <c r="F17" s="15">
        <f t="shared" si="3"/>
        <v>255</v>
      </c>
      <c r="G17" s="15">
        <f t="shared" si="4"/>
        <v>-431</v>
      </c>
      <c r="H17" s="85">
        <v>0</v>
      </c>
      <c r="I17" s="1"/>
      <c r="J17" s="60">
        <v>1115</v>
      </c>
      <c r="K17" s="60">
        <v>806</v>
      </c>
      <c r="L17" s="60">
        <v>324</v>
      </c>
      <c r="M17" s="60">
        <v>255</v>
      </c>
      <c r="N17" s="60">
        <v>-176</v>
      </c>
      <c r="O17" s="1"/>
      <c r="P17" s="49"/>
    </row>
    <row r="18" ht="15" customHeight="1">
      <c r="A18" s="1"/>
      <c r="B18" s="65" t="s">
        <v>464</v>
      </c>
      <c r="C18" s="15">
        <f t="shared" si="2"/>
        <v>-183</v>
      </c>
      <c r="D18" s="15">
        <f t="shared" si="2"/>
        <v>-726</v>
      </c>
      <c r="E18" s="15">
        <f t="shared" si="3"/>
        <v>-1208</v>
      </c>
      <c r="F18" s="15">
        <f t="shared" si="3"/>
        <v>-327</v>
      </c>
      <c r="G18" s="15">
        <f t="shared" si="4"/>
        <v>-137</v>
      </c>
      <c r="H18" s="85">
        <v>0</v>
      </c>
      <c r="I18" s="1"/>
      <c r="J18" s="60">
        <v>-299</v>
      </c>
      <c r="K18" s="60">
        <v>-482</v>
      </c>
      <c r="L18" s="60">
        <v>-1208</v>
      </c>
      <c r="M18" s="60">
        <v>-327</v>
      </c>
      <c r="N18" s="60">
        <v>-464</v>
      </c>
      <c r="O18" s="1"/>
      <c r="P18" s="49"/>
    </row>
    <row r="19" ht="15" customHeight="1">
      <c r="A19" s="1"/>
      <c r="B19" s="65" t="s">
        <v>465</v>
      </c>
      <c r="C19" s="15">
        <f t="shared" si="2"/>
        <v>-1635</v>
      </c>
      <c r="D19" s="15">
        <f t="shared" si="2"/>
        <v>1492</v>
      </c>
      <c r="E19" s="15">
        <f t="shared" si="3"/>
        <v>-460</v>
      </c>
      <c r="F19" s="15">
        <f t="shared" si="3"/>
        <v>-173</v>
      </c>
      <c r="G19" s="15">
        <f t="shared" si="4"/>
        <v>493</v>
      </c>
      <c r="H19" s="85">
        <v>0</v>
      </c>
      <c r="I19" s="1"/>
      <c r="J19" s="60">
        <v>-317</v>
      </c>
      <c r="K19" s="60">
        <v>-1952</v>
      </c>
      <c r="L19" s="60">
        <v>-460</v>
      </c>
      <c r="M19" s="60">
        <v>-173</v>
      </c>
      <c r="N19" s="60">
        <v>320</v>
      </c>
      <c r="O19" s="1"/>
      <c r="P19" s="49"/>
    </row>
    <row r="20" ht="15" customHeight="1">
      <c r="A20" s="1"/>
      <c r="B20" s="65" t="s">
        <v>466</v>
      </c>
      <c r="C20" s="15">
        <f t="shared" si="2"/>
        <v>2411</v>
      </c>
      <c r="D20" s="15">
        <f t="shared" si="2"/>
        <v>2913</v>
      </c>
      <c r="E20" s="15">
        <f t="shared" si="3"/>
        <v>884</v>
      </c>
      <c r="F20" s="15">
        <f t="shared" si="3"/>
        <v>-2770</v>
      </c>
      <c r="G20" s="15">
        <f t="shared" si="4"/>
        <v>205</v>
      </c>
      <c r="H20" s="85">
        <v>1350</v>
      </c>
      <c r="I20" s="1"/>
      <c r="J20" s="60">
        <v>-4440</v>
      </c>
      <c r="K20" s="60">
        <v>-2029</v>
      </c>
      <c r="L20" s="60">
        <v>884</v>
      </c>
      <c r="M20" s="60">
        <v>-2770</v>
      </c>
      <c r="N20" s="60">
        <v>-2565</v>
      </c>
      <c r="O20" s="1"/>
      <c r="P20" s="49" t="s">
        <v>467</v>
      </c>
    </row>
    <row r="21" ht="15" customHeight="1">
      <c r="A21" s="1"/>
      <c r="B21" s="63" t="s">
        <v>468</v>
      </c>
      <c r="C21" s="15">
        <f t="shared" si="2"/>
        <v>946</v>
      </c>
      <c r="D21" s="15">
        <f t="shared" si="2"/>
        <v>-383</v>
      </c>
      <c r="E21" s="15">
        <f t="shared" si="3"/>
        <v>2226</v>
      </c>
      <c r="F21" s="15">
        <f t="shared" si="3"/>
        <v>1147</v>
      </c>
      <c r="G21" s="15">
        <f t="shared" si="4"/>
        <v>682</v>
      </c>
      <c r="H21" s="85">
        <v>0</v>
      </c>
      <c r="I21" s="1"/>
      <c r="J21" s="60">
        <v>1663</v>
      </c>
      <c r="K21" s="60">
        <v>2609</v>
      </c>
      <c r="L21" s="60">
        <v>2226</v>
      </c>
      <c r="M21" s="60">
        <v>1147</v>
      </c>
      <c r="N21" s="60">
        <v>1829</v>
      </c>
      <c r="O21" s="1"/>
      <c r="P21" s="49"/>
    </row>
    <row r="22" ht="15" customHeight="1">
      <c r="A22" s="1"/>
      <c r="B22" s="65" t="s">
        <v>469</v>
      </c>
      <c r="C22" s="15">
        <f t="shared" si="2"/>
        <v>-490</v>
      </c>
      <c r="D22" s="15">
        <f t="shared" si="2"/>
        <v>-843</v>
      </c>
      <c r="E22" s="15">
        <f t="shared" si="3"/>
        <v>-1436</v>
      </c>
      <c r="F22" s="15">
        <f t="shared" si="3"/>
        <v>-72</v>
      </c>
      <c r="G22" s="15">
        <f t="shared" si="4"/>
        <v>-192</v>
      </c>
      <c r="H22" s="85">
        <v>0</v>
      </c>
      <c r="I22" s="1"/>
      <c r="J22" s="60">
        <v>-103</v>
      </c>
      <c r="K22" s="60">
        <v>-593</v>
      </c>
      <c r="L22" s="60">
        <v>-1436</v>
      </c>
      <c r="M22" s="60">
        <v>-72</v>
      </c>
      <c r="N22" s="60">
        <v>-264</v>
      </c>
      <c r="O22" s="1"/>
      <c r="P22" s="49"/>
    </row>
    <row r="23" ht="15" customHeight="1">
      <c r="A23" s="1"/>
      <c r="B23" s="63" t="s">
        <v>470</v>
      </c>
      <c r="C23" s="15">
        <f t="shared" si="2"/>
        <v>317</v>
      </c>
      <c r="D23" s="15">
        <f t="shared" si="2"/>
        <v>10</v>
      </c>
      <c r="E23" s="15">
        <f t="shared" si="3"/>
        <v>1057</v>
      </c>
      <c r="F23" s="15">
        <f t="shared" si="3"/>
        <v>277</v>
      </c>
      <c r="G23" s="15">
        <f t="shared" si="4"/>
        <v>194</v>
      </c>
      <c r="H23" s="13">
        <f>-'Income Statement'!H41</f>
        <v>35</v>
      </c>
      <c r="I23" s="1"/>
      <c r="J23" s="60">
        <v>730</v>
      </c>
      <c r="K23" s="60">
        <v>1047</v>
      </c>
      <c r="L23" s="60">
        <v>1057</v>
      </c>
      <c r="M23" s="60">
        <v>277</v>
      </c>
      <c r="N23" s="60">
        <v>471</v>
      </c>
      <c r="O23" s="1"/>
      <c r="P23" s="49"/>
    </row>
    <row r="24" ht="15" customHeight="1">
      <c r="A24" s="1"/>
      <c r="B24" s="72" t="s">
        <v>471</v>
      </c>
      <c r="C24" s="61">
        <f t="shared" si="5" ref="C24:N24">SUM(C9:C23)</f>
        <v>10152</v>
      </c>
      <c r="D24" s="61">
        <f t="shared" si="5"/>
        <v>11320</v>
      </c>
      <c r="E24" s="61">
        <f t="shared" si="5"/>
        <v>40284</v>
      </c>
      <c r="F24" s="61">
        <f t="shared" si="5"/>
        <v>7595</v>
      </c>
      <c r="G24" s="61">
        <f t="shared" si="5"/>
        <v>10801</v>
      </c>
      <c r="H24" s="62">
        <f t="shared" si="5"/>
        <v>10953.696165724998</v>
      </c>
      <c r="I24" s="1"/>
      <c r="J24" s="61">
        <f t="shared" si="5"/>
        <v>18812</v>
      </c>
      <c r="K24" s="61">
        <f t="shared" si="5"/>
        <v>28964</v>
      </c>
      <c r="L24" s="61">
        <f t="shared" si="5"/>
        <v>40284</v>
      </c>
      <c r="M24" s="61">
        <f t="shared" si="5"/>
        <v>7595</v>
      </c>
      <c r="N24" s="61">
        <f t="shared" si="5"/>
        <v>18396</v>
      </c>
      <c r="O24" s="1"/>
      <c r="P24" s="49"/>
    </row>
    <row r="25" ht="15" customHeight="1">
      <c r="A25" s="1"/>
      <c r="B25" s="3" t="s">
        <v>472</v>
      </c>
      <c r="C25" s="1"/>
      <c r="D25" s="1"/>
      <c r="E25" s="1"/>
      <c r="F25" s="1"/>
      <c r="G25" s="1"/>
      <c r="H25" s="48"/>
      <c r="I25" s="1"/>
      <c r="J25" s="1"/>
      <c r="K25" s="1"/>
      <c r="L25" s="1"/>
      <c r="M25" s="1"/>
      <c r="N25" s="1"/>
      <c r="O25" s="1"/>
      <c r="P25" s="49"/>
    </row>
    <row r="26" ht="15" customHeight="1">
      <c r="A26" s="1"/>
      <c r="B26" s="63" t="s">
        <v>473</v>
      </c>
      <c r="C26" s="15">
        <f t="shared" si="2"/>
        <v>-4887</v>
      </c>
      <c r="D26" s="15">
        <f t="shared" si="2"/>
        <v>-6781</v>
      </c>
      <c r="E26" s="15">
        <f t="shared" si="3"/>
        <v>-20842</v>
      </c>
      <c r="F26" s="15">
        <f t="shared" si="3"/>
        <v>-4877</v>
      </c>
      <c r="G26" s="15">
        <f t="shared" si="4"/>
        <v>-5700</v>
      </c>
      <c r="H26" s="85">
        <v>-5650</v>
      </c>
      <c r="I26" s="1"/>
      <c r="J26" s="60">
        <v>-9174</v>
      </c>
      <c r="K26" s="60">
        <v>-14061</v>
      </c>
      <c r="L26" s="60">
        <v>-20842</v>
      </c>
      <c r="M26" s="60">
        <v>-4877</v>
      </c>
      <c r="N26" s="60">
        <v>-10577</v>
      </c>
      <c r="O26" s="1"/>
      <c r="P26" s="49" t="s">
        <v>474</v>
      </c>
    </row>
    <row r="27" ht="15" customHeight="1">
      <c r="A27" s="1"/>
      <c r="B27" s="65" t="s">
        <v>475</v>
      </c>
      <c r="C27" s="15">
        <f t="shared" si="2"/>
        <v>1</v>
      </c>
      <c r="D27" s="15">
        <f t="shared" si="2"/>
        <v>-332</v>
      </c>
      <c r="E27" s="15">
        <f t="shared" si="3"/>
        <v>-379</v>
      </c>
      <c r="F27" s="15">
        <f t="shared" si="3"/>
        <v>-2674</v>
      </c>
      <c r="G27" s="15">
        <f t="shared" si="4"/>
        <v>-51</v>
      </c>
      <c r="H27" s="85">
        <v>-23000</v>
      </c>
      <c r="I27" s="1"/>
      <c r="J27" s="60">
        <v>-48</v>
      </c>
      <c r="K27" s="60">
        <v>-47</v>
      </c>
      <c r="L27" s="60">
        <v>-379</v>
      </c>
      <c r="M27" s="60">
        <v>-2674</v>
      </c>
      <c r="N27" s="60">
        <v>-2725</v>
      </c>
      <c r="O27" s="1"/>
      <c r="P27" s="49" t="s">
        <v>476</v>
      </c>
    </row>
    <row r="28" ht="15" customHeight="1">
      <c r="A28" s="1"/>
      <c r="B28" s="63" t="s">
        <v>477</v>
      </c>
      <c r="C28" s="15">
        <f t="shared" si="2"/>
        <v>399</v>
      </c>
      <c r="D28" s="15">
        <f t="shared" si="2"/>
        <v>2779</v>
      </c>
      <c r="E28" s="15">
        <f t="shared" si="3"/>
        <v>3218</v>
      </c>
      <c r="F28" s="15">
        <f t="shared" si="3"/>
        <v>628</v>
      </c>
      <c r="G28" s="15">
        <f t="shared" si="4"/>
        <v>119</v>
      </c>
      <c r="H28" s="85">
        <v>0</v>
      </c>
      <c r="I28" s="1"/>
      <c r="J28" s="60">
        <v>40</v>
      </c>
      <c r="K28" s="60">
        <v>439</v>
      </c>
      <c r="L28" s="60">
        <v>3218</v>
      </c>
      <c r="M28" s="60">
        <v>628</v>
      </c>
      <c r="N28" s="60">
        <v>747</v>
      </c>
      <c r="O28" s="1"/>
      <c r="P28" s="49"/>
    </row>
    <row r="29" ht="23.25" customHeight="1">
      <c r="A29" s="1"/>
      <c r="B29" s="65" t="s">
        <v>478</v>
      </c>
      <c r="C29" s="15">
        <f t="shared" si="2"/>
        <v>1109</v>
      </c>
      <c r="D29" s="15">
        <f t="shared" si="2"/>
        <v>156</v>
      </c>
      <c r="E29" s="15">
        <f t="shared" si="3"/>
        <v>181</v>
      </c>
      <c r="F29" s="15">
        <f t="shared" si="3"/>
        <v>-14</v>
      </c>
      <c r="G29" s="15">
        <f t="shared" si="4"/>
        <v>-10</v>
      </c>
      <c r="H29" s="85">
        <v>0</v>
      </c>
      <c r="I29" s="1"/>
      <c r="J29" s="60">
        <v>-1084</v>
      </c>
      <c r="K29" s="60">
        <v>25</v>
      </c>
      <c r="L29" s="60">
        <v>181</v>
      </c>
      <c r="M29" s="60">
        <v>-14</v>
      </c>
      <c r="N29" s="60">
        <v>-24</v>
      </c>
      <c r="O29" s="1"/>
      <c r="P29" s="49"/>
    </row>
    <row r="30" ht="15" customHeight="1">
      <c r="A30" s="1"/>
      <c r="B30" s="63" t="s">
        <v>479</v>
      </c>
      <c r="C30" s="15">
        <f t="shared" si="2"/>
        <v>-11</v>
      </c>
      <c r="D30" s="15">
        <f t="shared" si="2"/>
        <v>-166</v>
      </c>
      <c r="E30" s="15">
        <f t="shared" si="3"/>
        <v>-955</v>
      </c>
      <c r="F30" s="15">
        <f t="shared" si="3"/>
        <v>-547</v>
      </c>
      <c r="G30" s="15">
        <f t="shared" si="4"/>
        <v>-107</v>
      </c>
      <c r="H30" s="85">
        <v>0</v>
      </c>
      <c r="I30" s="1"/>
      <c r="J30" s="60">
        <v>-778</v>
      </c>
      <c r="K30" s="60">
        <v>-789</v>
      </c>
      <c r="L30" s="60">
        <v>-955</v>
      </c>
      <c r="M30" s="60">
        <v>-547</v>
      </c>
      <c r="N30" s="60">
        <v>-654</v>
      </c>
      <c r="O30" s="1"/>
      <c r="P30" s="49"/>
    </row>
    <row r="31" ht="15" customHeight="1">
      <c r="A31" s="1"/>
      <c r="B31" s="72" t="s">
        <v>480</v>
      </c>
      <c r="C31" s="61">
        <f t="shared" si="6" ref="C31:N31">SUM(C26:C30)</f>
        <v>-3389</v>
      </c>
      <c r="D31" s="61">
        <f t="shared" si="6"/>
        <v>-4344</v>
      </c>
      <c r="E31" s="61">
        <f t="shared" si="6"/>
        <v>-18777</v>
      </c>
      <c r="F31" s="61">
        <f t="shared" si="6"/>
        <v>-7484</v>
      </c>
      <c r="G31" s="61">
        <f t="shared" si="6"/>
        <v>-5749</v>
      </c>
      <c r="H31" s="62">
        <f t="shared" si="6"/>
        <v>-28650</v>
      </c>
      <c r="I31" s="1"/>
      <c r="J31" s="61">
        <f t="shared" si="6"/>
        <v>-11044</v>
      </c>
      <c r="K31" s="61">
        <f t="shared" si="6"/>
        <v>-14433</v>
      </c>
      <c r="L31" s="61">
        <f t="shared" si="6"/>
        <v>-18777</v>
      </c>
      <c r="M31" s="61">
        <f t="shared" si="6"/>
        <v>-7484</v>
      </c>
      <c r="N31" s="61">
        <f t="shared" si="6"/>
        <v>-13233</v>
      </c>
      <c r="O31" s="1"/>
      <c r="P31" s="49"/>
    </row>
    <row r="32" ht="15" customHeight="1">
      <c r="A32" s="1"/>
      <c r="B32" s="3" t="s">
        <v>481</v>
      </c>
      <c r="C32" s="1"/>
      <c r="D32" s="1"/>
      <c r="E32" s="1"/>
      <c r="F32" s="1"/>
      <c r="G32" s="1"/>
      <c r="H32" s="48"/>
      <c r="I32" s="1"/>
      <c r="J32" s="1"/>
      <c r="K32" s="1"/>
      <c r="L32" s="1"/>
      <c r="M32" s="1"/>
      <c r="N32" s="1"/>
      <c r="O32" s="1"/>
      <c r="P32" s="49"/>
    </row>
    <row r="33" ht="15" customHeight="1">
      <c r="A33" s="1"/>
      <c r="B33" s="63" t="s">
        <v>482</v>
      </c>
      <c r="C33" s="15">
        <f t="shared" si="2"/>
        <v>7598</v>
      </c>
      <c r="D33" s="15">
        <f t="shared" si="2"/>
        <v>0</v>
      </c>
      <c r="E33" s="15">
        <f t="shared" si="3"/>
        <v>14027</v>
      </c>
      <c r="F33" s="15">
        <f t="shared" si="3"/>
        <v>8098</v>
      </c>
      <c r="G33" s="15">
        <f t="shared" si="4"/>
        <v>5939</v>
      </c>
      <c r="H33" s="85">
        <v>22540</v>
      </c>
      <c r="I33" s="1"/>
      <c r="J33" s="60">
        <v>6429</v>
      </c>
      <c r="K33" s="60">
        <v>14027</v>
      </c>
      <c r="L33" s="60">
        <v>14027</v>
      </c>
      <c r="M33" s="60">
        <v>8098</v>
      </c>
      <c r="N33" s="60">
        <v>14037</v>
      </c>
      <c r="O33" s="1"/>
      <c r="P33" s="49" t="s">
        <v>483</v>
      </c>
    </row>
    <row r="34" ht="15" customHeight="1">
      <c r="A34" s="1"/>
      <c r="B34" s="63" t="s">
        <v>484</v>
      </c>
      <c r="C34" s="15">
        <f t="shared" si="2"/>
        <v>-229</v>
      </c>
      <c r="D34" s="15">
        <f t="shared" si="2"/>
        <v>-3679</v>
      </c>
      <c r="E34" s="15">
        <f t="shared" si="3"/>
        <v>-5528</v>
      </c>
      <c r="F34" s="15">
        <f t="shared" si="3"/>
        <v>-5247</v>
      </c>
      <c r="G34" s="15">
        <f t="shared" si="4"/>
        <v>-151</v>
      </c>
      <c r="H34" s="85">
        <v>-4500</v>
      </c>
      <c r="I34" s="1"/>
      <c r="J34" s="60">
        <v>-1620</v>
      </c>
      <c r="K34" s="60">
        <v>-1849</v>
      </c>
      <c r="L34" s="60">
        <v>-5528</v>
      </c>
      <c r="M34" s="60">
        <v>-5247</v>
      </c>
      <c r="N34" s="60">
        <v>-5398</v>
      </c>
      <c r="O34" s="1"/>
      <c r="P34" s="49" t="s">
        <v>485</v>
      </c>
    </row>
    <row r="35" ht="15" customHeight="1">
      <c r="A35" s="1"/>
      <c r="B35" s="63" t="s">
        <v>486</v>
      </c>
      <c r="C35" s="15">
        <f t="shared" si="2"/>
        <v>-400</v>
      </c>
      <c r="D35" s="15">
        <f t="shared" si="2"/>
        <v>-358</v>
      </c>
      <c r="E35" s="15">
        <f t="shared" si="3"/>
        <v>-1181</v>
      </c>
      <c r="F35" s="15">
        <f t="shared" si="3"/>
        <v>-212</v>
      </c>
      <c r="G35" s="15">
        <f t="shared" si="4"/>
        <v>-431</v>
      </c>
      <c r="H35" s="85">
        <v>-450</v>
      </c>
      <c r="I35" s="1"/>
      <c r="J35" s="60">
        <v>-423</v>
      </c>
      <c r="K35" s="60">
        <v>-823</v>
      </c>
      <c r="L35" s="60">
        <v>-1181</v>
      </c>
      <c r="M35" s="60">
        <v>-212</v>
      </c>
      <c r="N35" s="60">
        <v>-643</v>
      </c>
      <c r="O35" s="1"/>
      <c r="P35" s="49"/>
    </row>
    <row r="36" ht="15" customHeight="1">
      <c r="A36" s="1"/>
      <c r="B36" s="63" t="s">
        <v>487</v>
      </c>
      <c r="C36" s="15">
        <f t="shared" si="2"/>
        <v>0</v>
      </c>
      <c r="D36" s="15">
        <f t="shared" si="2"/>
        <v>0</v>
      </c>
      <c r="E36" s="15">
        <f t="shared" si="3"/>
        <v>-2075</v>
      </c>
      <c r="F36" s="15">
        <f t="shared" si="3"/>
        <v>0</v>
      </c>
      <c r="G36" s="15">
        <f t="shared" si="4"/>
        <v>0</v>
      </c>
      <c r="H36" s="85">
        <v>0</v>
      </c>
      <c r="I36" s="1"/>
      <c r="J36" s="60">
        <v>-2075</v>
      </c>
      <c r="K36" s="60">
        <v>-2075</v>
      </c>
      <c r="L36" s="60">
        <v>-2075</v>
      </c>
      <c r="M36" s="60">
        <v>0</v>
      </c>
      <c r="N36" s="60">
        <v>0</v>
      </c>
      <c r="O36" s="1"/>
      <c r="P36" s="49"/>
    </row>
    <row r="37" ht="15" customHeight="1">
      <c r="A37" s="1"/>
      <c r="B37" s="63" t="s">
        <v>488</v>
      </c>
      <c r="C37" s="15">
        <f t="shared" si="2"/>
        <v>-1490</v>
      </c>
      <c r="D37" s="15">
        <f t="shared" si="2"/>
        <v>-1831</v>
      </c>
      <c r="E37" s="15">
        <f t="shared" si="3"/>
        <v>-4500</v>
      </c>
      <c r="F37" s="15">
        <f t="shared" si="3"/>
        <v>-2475</v>
      </c>
      <c r="G37" s="15">
        <f t="shared" si="4"/>
        <v>-2194</v>
      </c>
      <c r="H37" s="85">
        <v>-2700</v>
      </c>
      <c r="I37" s="1"/>
      <c r="J37" s="60">
        <v>-1179</v>
      </c>
      <c r="K37" s="60">
        <v>-2669</v>
      </c>
      <c r="L37" s="60">
        <v>-4500</v>
      </c>
      <c r="M37" s="60">
        <v>-2475</v>
      </c>
      <c r="N37" s="60">
        <v>-4669</v>
      </c>
      <c r="O37" s="1"/>
      <c r="P37" s="49"/>
    </row>
    <row r="38" ht="15" customHeight="1">
      <c r="A38" s="1"/>
      <c r="B38" s="63" t="s">
        <v>489</v>
      </c>
      <c r="C38" s="15">
        <f t="shared" si="2"/>
        <v>2</v>
      </c>
      <c r="D38" s="15">
        <f t="shared" si="2"/>
        <v>2</v>
      </c>
      <c r="E38" s="15">
        <f t="shared" si="3"/>
        <v>21</v>
      </c>
      <c r="F38" s="15">
        <f t="shared" si="3"/>
        <v>1</v>
      </c>
      <c r="G38" s="15">
        <f t="shared" si="4"/>
        <v>0</v>
      </c>
      <c r="H38" s="85">
        <v>0</v>
      </c>
      <c r="I38" s="1"/>
      <c r="J38" s="60">
        <v>17</v>
      </c>
      <c r="K38" s="60">
        <v>19</v>
      </c>
      <c r="L38" s="60">
        <v>21</v>
      </c>
      <c r="M38" s="60">
        <v>1</v>
      </c>
      <c r="N38" s="60">
        <v>1</v>
      </c>
      <c r="O38" s="1"/>
      <c r="P38" s="49"/>
    </row>
    <row r="39" ht="15" customHeight="1">
      <c r="A39" s="1"/>
      <c r="B39" s="65" t="s">
        <v>490</v>
      </c>
      <c r="C39" s="15">
        <f t="shared" si="2"/>
        <v>0</v>
      </c>
      <c r="D39" s="15">
        <f t="shared" si="2"/>
        <v>0</v>
      </c>
      <c r="E39" s="15">
        <f t="shared" si="3"/>
        <v>2221</v>
      </c>
      <c r="F39" s="15">
        <f t="shared" si="3"/>
        <v>0</v>
      </c>
      <c r="G39" s="15">
        <f t="shared" si="4"/>
        <v>0</v>
      </c>
      <c r="H39" s="85">
        <v>0</v>
      </c>
      <c r="I39" s="1"/>
      <c r="J39" s="60">
        <v>2221</v>
      </c>
      <c r="K39" s="60">
        <v>2221</v>
      </c>
      <c r="L39" s="60">
        <v>2221</v>
      </c>
      <c r="M39" s="60">
        <v>0</v>
      </c>
      <c r="N39" s="60">
        <v>0</v>
      </c>
      <c r="O39" s="1"/>
      <c r="P39" s="49"/>
    </row>
    <row r="40" ht="15" customHeight="1">
      <c r="A40" s="1"/>
      <c r="B40" s="65" t="s">
        <v>491</v>
      </c>
      <c r="C40" s="15">
        <f t="shared" si="2"/>
        <v>0</v>
      </c>
      <c r="D40" s="15">
        <f t="shared" si="2"/>
        <v>-65</v>
      </c>
      <c r="E40" s="15">
        <f t="shared" si="3"/>
        <v>-65</v>
      </c>
      <c r="F40" s="15">
        <f t="shared" si="3"/>
        <v>0</v>
      </c>
      <c r="G40" s="15">
        <f t="shared" si="4"/>
        <v>0</v>
      </c>
      <c r="H40" s="85">
        <v>0</v>
      </c>
      <c r="I40" s="1"/>
      <c r="J40" s="60">
        <v>0</v>
      </c>
      <c r="K40" s="60">
        <v>0</v>
      </c>
      <c r="L40" s="60">
        <v>-65</v>
      </c>
      <c r="M40" s="60">
        <v>0</v>
      </c>
      <c r="N40" s="60">
        <v>0</v>
      </c>
      <c r="O40" s="1"/>
      <c r="P40" s="49"/>
    </row>
    <row r="41" ht="15" customHeight="1">
      <c r="A41" s="1"/>
      <c r="B41" s="65" t="s">
        <v>492</v>
      </c>
      <c r="C41" s="15">
        <f t="shared" si="2"/>
        <v>-2033</v>
      </c>
      <c r="D41" s="15">
        <f t="shared" si="2"/>
        <v>-2012</v>
      </c>
      <c r="E41" s="15">
        <f t="shared" si="3"/>
        <v>-8180</v>
      </c>
      <c r="F41" s="15">
        <f t="shared" si="3"/>
        <v>-1997</v>
      </c>
      <c r="G41" s="15">
        <f t="shared" si="4"/>
        <v>-1976</v>
      </c>
      <c r="H41" s="13">
        <f>-(H49*'Share Count'!G20+'Income Statement'!H55)</f>
        <v>-1944.9225000000001</v>
      </c>
      <c r="I41" s="1"/>
      <c r="J41" s="60">
        <v>-4135</v>
      </c>
      <c r="K41" s="60">
        <v>-6168</v>
      </c>
      <c r="L41" s="60">
        <v>-8180</v>
      </c>
      <c r="M41" s="60">
        <v>-1997</v>
      </c>
      <c r="N41" s="60">
        <v>-3973</v>
      </c>
      <c r="O41" s="1"/>
      <c r="P41" s="49" t="s">
        <v>493</v>
      </c>
    </row>
    <row r="42" ht="15" customHeight="1">
      <c r="A42" s="1"/>
      <c r="B42" s="65" t="s">
        <v>494</v>
      </c>
      <c r="C42" s="15">
        <f t="shared" si="2"/>
        <v>-459</v>
      </c>
      <c r="D42" s="15">
        <f t="shared" si="2"/>
        <v>-834</v>
      </c>
      <c r="E42" s="15">
        <f t="shared" si="3"/>
        <v>-1126</v>
      </c>
      <c r="F42" s="15">
        <f t="shared" si="3"/>
        <v>-265</v>
      </c>
      <c r="G42" s="15">
        <f t="shared" si="4"/>
        <v>-507</v>
      </c>
      <c r="H42" s="13">
        <f>-'Income Statement'!H53</f>
        <v>-380</v>
      </c>
      <c r="I42" s="1"/>
      <c r="J42" s="60">
        <v>167</v>
      </c>
      <c r="K42" s="60">
        <v>-292</v>
      </c>
      <c r="L42" s="60">
        <v>-1126</v>
      </c>
      <c r="M42" s="60">
        <v>-265</v>
      </c>
      <c r="N42" s="60">
        <v>-772</v>
      </c>
      <c r="O42" s="1"/>
      <c r="P42" s="49"/>
    </row>
    <row r="43" ht="15" customHeight="1">
      <c r="A43" s="1"/>
      <c r="B43" s="72" t="s">
        <v>495</v>
      </c>
      <c r="C43" s="61">
        <f t="shared" si="7" ref="C43:N43">SUM(C33:C42)</f>
        <v>2989</v>
      </c>
      <c r="D43" s="61">
        <f t="shared" si="7"/>
        <v>-8777</v>
      </c>
      <c r="E43" s="61">
        <f t="shared" si="7"/>
        <v>-6386</v>
      </c>
      <c r="F43" s="61">
        <f t="shared" si="7"/>
        <v>-2097</v>
      </c>
      <c r="G43" s="61">
        <f t="shared" si="7"/>
        <v>680</v>
      </c>
      <c r="H43" s="62">
        <f t="shared" si="7"/>
        <v>12565.0775</v>
      </c>
      <c r="I43" s="1"/>
      <c r="J43" s="61">
        <f t="shared" si="7"/>
        <v>-598</v>
      </c>
      <c r="K43" s="61">
        <f t="shared" si="7"/>
        <v>2391</v>
      </c>
      <c r="L43" s="61">
        <f t="shared" si="7"/>
        <v>-6386</v>
      </c>
      <c r="M43" s="61">
        <f t="shared" si="7"/>
        <v>-2097</v>
      </c>
      <c r="N43" s="61">
        <f t="shared" si="7"/>
        <v>-1417</v>
      </c>
      <c r="O43" s="1"/>
      <c r="P43" s="49"/>
    </row>
    <row r="44" ht="15" customHeight="1">
      <c r="A44" s="1"/>
      <c r="B44" s="3" t="s">
        <v>496</v>
      </c>
      <c r="C44" s="1"/>
      <c r="D44" s="1"/>
      <c r="E44" s="1"/>
      <c r="F44" s="1"/>
      <c r="G44" s="1"/>
      <c r="H44" s="48"/>
      <c r="I44" s="1"/>
      <c r="J44" s="1"/>
      <c r="K44" s="1"/>
      <c r="L44" s="1"/>
      <c r="M44" s="1"/>
      <c r="N44" s="1"/>
      <c r="O44" s="1"/>
      <c r="P44" s="49"/>
    </row>
    <row r="45" ht="15" customHeight="1">
      <c r="A45" s="1"/>
      <c r="B45" s="65" t="s">
        <v>497</v>
      </c>
      <c r="C45" s="15">
        <f t="shared" si="2"/>
        <v>0</v>
      </c>
      <c r="D45" s="15">
        <f t="shared" si="2"/>
        <v>0</v>
      </c>
      <c r="E45" s="15">
        <f t="shared" si="3"/>
        <v>0</v>
      </c>
      <c r="F45" s="15">
        <f t="shared" si="3"/>
        <v>-4209</v>
      </c>
      <c r="G45" s="15">
        <f t="shared" si="4"/>
        <v>-123</v>
      </c>
      <c r="H45" s="13">
        <f>'Income Statement'!H51</f>
        <v>-30</v>
      </c>
      <c r="I45" s="1"/>
      <c r="J45" s="60">
        <v>0</v>
      </c>
      <c r="K45" s="60">
        <v>0</v>
      </c>
      <c r="L45" s="60">
        <v>0</v>
      </c>
      <c r="M45" s="60">
        <v>-4209</v>
      </c>
      <c r="N45" s="60">
        <v>-4332</v>
      </c>
      <c r="O45" s="1"/>
      <c r="P45" s="49"/>
    </row>
    <row r="46" ht="15" customHeight="1">
      <c r="A46" s="1"/>
      <c r="B46" s="72" t="s">
        <v>498</v>
      </c>
      <c r="C46" s="61">
        <f t="shared" si="8" ref="C46:N46">C24+C31+C43+C45</f>
        <v>9752</v>
      </c>
      <c r="D46" s="61">
        <f t="shared" si="8"/>
        <v>-1801</v>
      </c>
      <c r="E46" s="61">
        <f t="shared" si="8"/>
        <v>15121</v>
      </c>
      <c r="F46" s="61">
        <f t="shared" si="8"/>
        <v>-6195</v>
      </c>
      <c r="G46" s="61">
        <f t="shared" si="8"/>
        <v>5609</v>
      </c>
      <c r="H46" s="62">
        <f t="shared" si="8"/>
        <v>-5161.226334275001</v>
      </c>
      <c r="I46" s="1"/>
      <c r="J46" s="61">
        <f t="shared" si="8"/>
        <v>7170</v>
      </c>
      <c r="K46" s="61">
        <f t="shared" si="8"/>
        <v>16922</v>
      </c>
      <c r="L46" s="61">
        <f t="shared" si="8"/>
        <v>15121</v>
      </c>
      <c r="M46" s="61">
        <f t="shared" si="8"/>
        <v>-6195</v>
      </c>
      <c r="N46" s="61">
        <f t="shared" si="8"/>
        <v>-586</v>
      </c>
      <c r="O46" s="1"/>
      <c r="P46" s="49"/>
    </row>
    <row r="47" ht="15" customHeight="1">
      <c r="A47" s="1"/>
      <c r="B47" s="3" t="s">
        <v>499</v>
      </c>
      <c r="C47" s="87">
        <f>J48</f>
        <v>10576</v>
      </c>
      <c r="D47" s="87">
        <f t="shared" si="9" ref="D47:H47">C48</f>
        <v>20328</v>
      </c>
      <c r="E47" s="87">
        <f t="shared" si="3"/>
        <v>3406</v>
      </c>
      <c r="F47" s="87">
        <f>D48</f>
        <v>18527</v>
      </c>
      <c r="G47" s="87">
        <f t="shared" si="9"/>
        <v>12332</v>
      </c>
      <c r="H47" s="88">
        <f t="shared" si="9"/>
        <v>17941</v>
      </c>
      <c r="I47" s="1"/>
      <c r="J47" s="86">
        <v>3406</v>
      </c>
      <c r="K47" s="86">
        <v>3406</v>
      </c>
      <c r="L47" s="86">
        <v>3406</v>
      </c>
      <c r="M47" s="86">
        <v>18527</v>
      </c>
      <c r="N47" s="86">
        <v>18527</v>
      </c>
      <c r="O47" s="1"/>
      <c r="P47" s="49"/>
    </row>
    <row r="48" ht="15" customHeight="1">
      <c r="A48" s="1"/>
      <c r="B48" s="3" t="s">
        <v>500</v>
      </c>
      <c r="C48" s="61">
        <f t="shared" si="10" ref="C48:N48">C47+C46</f>
        <v>20328</v>
      </c>
      <c r="D48" s="61">
        <f t="shared" si="10"/>
        <v>18527</v>
      </c>
      <c r="E48" s="61">
        <f t="shared" si="10"/>
        <v>18527</v>
      </c>
      <c r="F48" s="61">
        <f t="shared" si="10"/>
        <v>12332</v>
      </c>
      <c r="G48" s="61">
        <f t="shared" si="10"/>
        <v>17941</v>
      </c>
      <c r="H48" s="62">
        <f t="shared" si="10"/>
        <v>12779.773665724999</v>
      </c>
      <c r="I48" s="1"/>
      <c r="J48" s="61">
        <f t="shared" si="10"/>
        <v>10576</v>
      </c>
      <c r="K48" s="61">
        <f t="shared" si="10"/>
        <v>20328</v>
      </c>
      <c r="L48" s="61">
        <f t="shared" si="10"/>
        <v>18527</v>
      </c>
      <c r="M48" s="61">
        <f t="shared" si="10"/>
        <v>12332</v>
      </c>
      <c r="N48" s="61">
        <f t="shared" si="10"/>
        <v>17941</v>
      </c>
      <c r="O48" s="1"/>
      <c r="P48" s="49"/>
    </row>
    <row r="49" ht="15" customHeight="1">
      <c r="A49" s="1"/>
      <c r="B49" s="65" t="s">
        <v>501</v>
      </c>
      <c r="C49" s="96">
        <v>0.2775</v>
      </c>
      <c r="D49" s="96">
        <v>0.2775</v>
      </c>
      <c r="E49" s="96">
        <v>1.11</v>
      </c>
      <c r="F49" s="96">
        <v>0.2775</v>
      </c>
      <c r="G49" s="96">
        <v>0.2775</v>
      </c>
      <c r="H49" s="81">
        <v>0.2775</v>
      </c>
      <c r="I49" s="1"/>
      <c r="J49" s="20"/>
      <c r="K49" s="20"/>
      <c r="L49" s="20"/>
      <c r="M49" s="20"/>
      <c r="N49" s="20"/>
      <c r="O49" s="1"/>
      <c r="P49" s="49"/>
    </row>
    <row r="50" ht="15" customHeight="1">
      <c r="A50" s="1"/>
      <c r="B50" s="63" t="s">
        <v>502</v>
      </c>
      <c r="C50" s="21" t="s">
        <v>15</v>
      </c>
      <c r="D50" s="21" t="s">
        <v>15</v>
      </c>
      <c r="E50" s="21" t="s">
        <v>15</v>
      </c>
      <c r="F50" s="21" t="s">
        <v>15</v>
      </c>
      <c r="G50" s="21" t="s">
        <v>15</v>
      </c>
      <c r="H50" s="13">
        <f>H41+'Income Statement'!H55</f>
        <v>-1908.9225000000001</v>
      </c>
      <c r="I50" s="1"/>
      <c r="J50" s="15"/>
      <c r="K50" s="15"/>
      <c r="L50" s="15"/>
      <c r="M50" s="15"/>
      <c r="N50" s="15"/>
      <c r="O50" s="1"/>
      <c r="P50" s="49"/>
    </row>
    <row r="51" ht="15" customHeight="1">
      <c r="A51" s="1"/>
      <c r="B51" s="65" t="s">
        <v>503</v>
      </c>
      <c r="C51" s="21" t="s">
        <v>15</v>
      </c>
      <c r="D51" s="21" t="s">
        <v>15</v>
      </c>
      <c r="E51" s="21" t="s">
        <v>15</v>
      </c>
      <c r="F51" s="21" t="s">
        <v>15</v>
      </c>
      <c r="G51" s="21" t="s">
        <v>15</v>
      </c>
      <c r="H51" s="54">
        <f>H42</f>
        <v>-380</v>
      </c>
      <c r="I51" s="1"/>
      <c r="J51" s="15"/>
      <c r="K51" s="15"/>
      <c r="L51" s="15"/>
      <c r="M51" s="15"/>
      <c r="N51" s="15"/>
      <c r="O51" s="1"/>
      <c r="P51" s="49"/>
    </row>
    <row r="52" ht="15" customHeight="1">
      <c r="A52" s="1"/>
      <c r="B52" s="65" t="s">
        <v>504</v>
      </c>
      <c r="C52" s="21" t="s">
        <v>15</v>
      </c>
      <c r="D52" s="21" t="s">
        <v>15</v>
      </c>
      <c r="E52" s="21" t="s">
        <v>15</v>
      </c>
      <c r="F52" s="21" t="s">
        <v>15</v>
      </c>
      <c r="G52" s="21" t="s">
        <v>15</v>
      </c>
      <c r="H52" s="54">
        <f>SUM(H11:H22)</f>
        <v>1350</v>
      </c>
      <c r="I52" s="1"/>
      <c r="J52" s="15"/>
      <c r="K52" s="15"/>
      <c r="L52" s="15"/>
      <c r="M52" s="15"/>
      <c r="N52" s="15"/>
      <c r="O52" s="1"/>
      <c r="P52" s="49"/>
    </row>
    <row r="53" ht="15" customHeight="1">
      <c r="A53" s="1"/>
      <c r="B53" s="3" t="s">
        <v>505</v>
      </c>
      <c r="C53" s="1"/>
      <c r="D53" s="1"/>
      <c r="E53" s="1"/>
      <c r="F53" s="1"/>
      <c r="G53" s="1"/>
      <c r="H53" s="48"/>
      <c r="I53" s="1"/>
      <c r="J53" s="1"/>
      <c r="K53" s="1"/>
      <c r="L53" s="1"/>
      <c r="M53" s="1"/>
      <c r="N53" s="1"/>
      <c r="O53" s="1"/>
      <c r="P53" s="49"/>
    </row>
    <row r="54" ht="15" customHeight="1">
      <c r="A54" s="1"/>
      <c r="B54" s="63" t="s">
        <v>506</v>
      </c>
      <c r="C54" s="60">
        <v>56</v>
      </c>
      <c r="D54" s="60">
        <v>293</v>
      </c>
      <c r="E54" s="15">
        <f t="shared" si="11" ref="E54:H54">D54</f>
        <v>293</v>
      </c>
      <c r="F54" s="60">
        <v>368</v>
      </c>
      <c r="G54" s="60">
        <v>371</v>
      </c>
      <c r="H54" s="54">
        <f t="shared" si="11"/>
        <v>371</v>
      </c>
      <c r="I54" s="1"/>
      <c r="J54" s="15"/>
      <c r="K54" s="15"/>
      <c r="L54" s="15"/>
      <c r="M54" s="15"/>
      <c r="N54" s="15"/>
      <c r="O54" s="1"/>
      <c r="P54" s="49" t="s">
        <v>507</v>
      </c>
    </row>
    <row r="55" ht="15" customHeight="1">
      <c r="A55" s="1"/>
      <c r="B55" s="72" t="s">
        <v>508</v>
      </c>
      <c r="C55" s="61">
        <f t="shared" si="12" ref="C55:H55">C48-C54</f>
        <v>20272</v>
      </c>
      <c r="D55" s="61">
        <f t="shared" si="12"/>
        <v>18234</v>
      </c>
      <c r="E55" s="61">
        <f t="shared" si="12"/>
        <v>18234</v>
      </c>
      <c r="F55" s="61">
        <f t="shared" si="12"/>
        <v>11964</v>
      </c>
      <c r="G55" s="61">
        <f t="shared" si="12"/>
        <v>17570</v>
      </c>
      <c r="H55" s="62">
        <f t="shared" si="12"/>
        <v>12408.773665724999</v>
      </c>
      <c r="I55" s="1"/>
      <c r="J55" s="61"/>
      <c r="K55" s="61"/>
      <c r="L55" s="61"/>
      <c r="M55" s="61"/>
      <c r="N55" s="61"/>
      <c r="O55" s="1"/>
      <c r="P55" s="49"/>
    </row>
    <row r="56" ht="15" customHeight="1">
      <c r="A56" s="1"/>
      <c r="B56" s="65" t="s">
        <v>509</v>
      </c>
      <c r="C56" s="60">
        <v>10576</v>
      </c>
      <c r="D56" s="14">
        <f>'Balance Sheet'!C9+C54</f>
        <v>20328</v>
      </c>
      <c r="E56" s="60">
        <v>3406</v>
      </c>
      <c r="F56" s="14">
        <f>'Balance Sheet'!D9+D54</f>
        <v>18527</v>
      </c>
      <c r="G56" s="14">
        <f>'Balance Sheet'!F9+F54</f>
        <v>12332</v>
      </c>
      <c r="H56" s="13">
        <f>'Balance Sheet'!G9+G54</f>
        <v>17941</v>
      </c>
      <c r="I56" s="1"/>
      <c r="J56" s="15"/>
      <c r="K56" s="15"/>
      <c r="L56" s="15"/>
      <c r="M56" s="15"/>
      <c r="N56" s="15"/>
      <c r="O56" s="1"/>
      <c r="P56" s="49" t="s">
        <v>510</v>
      </c>
    </row>
    <row r="57" ht="23.25" customHeight="1">
      <c r="A57" s="1"/>
      <c r="B57" s="65" t="s">
        <v>511</v>
      </c>
      <c r="C57" s="14">
        <f>C55-'Balance Sheet'!C9</f>
        <v>0</v>
      </c>
      <c r="D57" s="14">
        <f>D55-'Balance Sheet'!D9</f>
        <v>0</v>
      </c>
      <c r="E57" s="14">
        <f>E55-'Balance Sheet'!E9</f>
        <v>0</v>
      </c>
      <c r="F57" s="14">
        <f>F55-'Balance Sheet'!F9</f>
        <v>0</v>
      </c>
      <c r="G57" s="14">
        <f>G55-'Balance Sheet'!G9</f>
        <v>0</v>
      </c>
      <c r="H57" s="13">
        <f>H55-'Balance Sheet'!H9</f>
        <v>0</v>
      </c>
      <c r="I57" s="1"/>
      <c r="J57" s="15"/>
      <c r="K57" s="15"/>
      <c r="L57" s="15"/>
      <c r="M57" s="15"/>
      <c r="N57" s="15"/>
      <c r="O57" s="1"/>
      <c r="P57" s="49" t="s">
        <v>512</v>
      </c>
    </row>
    <row r="58" ht="23.25" customHeight="1">
      <c r="A58" s="1"/>
      <c r="B58" s="65" t="s">
        <v>513</v>
      </c>
      <c r="C58" s="14">
        <f>C46-(('Balance Sheet'!C9+C54)-C56)</f>
        <v>0</v>
      </c>
      <c r="D58" s="14">
        <f>D46-(('Balance Sheet'!D9+D54)-D56)</f>
        <v>0</v>
      </c>
      <c r="E58" s="14">
        <f>E46-(('Balance Sheet'!D9+D54)-E56)</f>
        <v>0</v>
      </c>
      <c r="F58" s="14">
        <f>F46-(('Balance Sheet'!F9+F54)-F56)</f>
        <v>0</v>
      </c>
      <c r="G58" s="14">
        <f>G46-(('Balance Sheet'!G9+G54)-G56)</f>
        <v>0</v>
      </c>
      <c r="H58" s="13">
        <f>H46-(('Balance Sheet'!H9+H54)-H56)</f>
        <v>0</v>
      </c>
      <c r="I58" s="1"/>
      <c r="J58" s="15"/>
      <c r="K58" s="15"/>
      <c r="L58" s="15"/>
      <c r="M58" s="15"/>
      <c r="N58" s="15"/>
      <c r="O58" s="1"/>
      <c r="P58" s="49" t="s">
        <v>514</v>
      </c>
    </row>
    <row r="60" ht="23.25" customHeight="1">
      <c r="B60" s="59" t="s">
        <v>515</v>
      </c>
      <c r="J60" s="60">
        <v>-1675</v>
      </c>
      <c r="P60" s="49" t="s">
        <v>516</v>
      </c>
    </row>
    <row r="61" ht="23.25" customHeight="1">
      <c r="B61" s="59" t="s">
        <v>517</v>
      </c>
      <c r="E61" s="14">
        <f>'Income Statement'!E152-(J60+'Income Statement'!C152+'Income Statement'!D152)</f>
        <v>0</v>
      </c>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1DF39-7CC7-72E9-47DB-D7905833B8D8}"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34.00390625" customWidth="1"/>
    <col min="3" max="8" width="12.00390625" customWidth="1"/>
    <col min="9" max="9" width="2.00390625" customWidth="1"/>
    <col min="10" max="14" width="12.00390625" customWidth="1"/>
    <col min="15" max="15" width="2.00390625" customWidth="1"/>
    <col min="16" max="16" width="60.00390625" customWidth="1"/>
  </cols>
  <sheetData>
    <row r="1" ht="15" customHeight="1">
      <c r="A1" s="1"/>
      <c r="B1" s="2" t="s">
        <v>0</v>
      </c>
      <c r="C1" s="1"/>
      <c r="D1" s="1"/>
      <c r="E1" s="1"/>
      <c r="F1" s="1"/>
      <c r="G1" s="1"/>
      <c r="H1" s="1"/>
      <c r="I1" s="1"/>
      <c r="J1" s="1"/>
      <c r="K1" s="1"/>
      <c r="L1" s="1"/>
      <c r="M1" s="1"/>
      <c r="N1" s="1"/>
      <c r="O1" s="1"/>
      <c r="P1" s="1"/>
    </row>
    <row r="2" ht="15" customHeight="1">
      <c r="A2" s="1"/>
      <c r="B2" s="3" t="s">
        <v>518</v>
      </c>
      <c r="C2" s="1"/>
      <c r="D2" s="1"/>
      <c r="E2" s="1"/>
      <c r="F2" s="1"/>
      <c r="G2" s="1"/>
      <c r="H2" s="1"/>
      <c r="I2" s="1"/>
      <c r="J2" s="1"/>
      <c r="K2" s="1"/>
      <c r="L2" s="1"/>
      <c r="M2" s="1"/>
      <c r="N2" s="1"/>
      <c r="O2" s="1"/>
      <c r="P2" s="1"/>
    </row>
    <row r="3" ht="15" customHeight="1">
      <c r="A3" s="1"/>
      <c r="B3" s="4" t="s">
        <v>2</v>
      </c>
      <c r="C3" s="1"/>
      <c r="D3" s="1"/>
      <c r="E3" s="1"/>
      <c r="F3" s="1"/>
      <c r="G3" s="1"/>
      <c r="H3" s="1"/>
      <c r="I3" s="1"/>
      <c r="J3" s="4" t="s">
        <v>101</v>
      </c>
      <c r="K3" s="1"/>
      <c r="L3" s="1"/>
      <c r="M3" s="1"/>
      <c r="N3" s="1"/>
      <c r="O3" s="1"/>
      <c r="P3" s="1"/>
    </row>
    <row r="4" ht="15" customHeight="1">
      <c r="A4" s="1"/>
      <c r="B4" s="5" t="s">
        <v>3</v>
      </c>
      <c r="C4" s="6" t="s">
        <v>102</v>
      </c>
      <c r="D4" s="6" t="s">
        <v>103</v>
      </c>
      <c r="E4" s="6" t="s">
        <v>104</v>
      </c>
      <c r="F4" s="6" t="s">
        <v>105</v>
      </c>
      <c r="G4" s="6" t="s">
        <v>106</v>
      </c>
      <c r="H4" s="41" t="s">
        <v>4</v>
      </c>
      <c r="I4" s="6"/>
      <c r="J4" s="6" t="s">
        <v>107</v>
      </c>
      <c r="K4" s="6" t="s">
        <v>108</v>
      </c>
      <c r="L4" s="6" t="s">
        <v>109</v>
      </c>
      <c r="M4" s="6" t="s">
        <v>110</v>
      </c>
      <c r="N4" s="6" t="s">
        <v>111</v>
      </c>
      <c r="O4" s="6"/>
      <c r="P4" s="42" t="s">
        <v>112</v>
      </c>
    </row>
    <row r="5" ht="15" customHeight="1">
      <c r="A5" s="1"/>
      <c r="B5" s="7" t="s">
        <v>5</v>
      </c>
      <c r="C5" s="8">
        <v>45930</v>
      </c>
      <c r="D5" s="8">
        <v>46022</v>
      </c>
      <c r="E5" s="8">
        <v>46022</v>
      </c>
      <c r="F5" s="8">
        <v>46112</v>
      </c>
      <c r="G5" s="8">
        <v>46203</v>
      </c>
      <c r="H5" s="43">
        <v>46295</v>
      </c>
      <c r="I5" s="44"/>
      <c r="J5" s="8">
        <v>45565</v>
      </c>
      <c r="K5" s="8">
        <v>45657</v>
      </c>
      <c r="L5" s="8">
        <v>45657</v>
      </c>
      <c r="M5" s="8">
        <v>45747</v>
      </c>
      <c r="N5" s="8">
        <v>45838</v>
      </c>
      <c r="O5" s="44"/>
      <c r="P5" s="45"/>
    </row>
    <row r="6" ht="15" customHeight="1">
      <c r="A6" s="1"/>
      <c r="B6" s="9" t="s">
        <v>6</v>
      </c>
      <c r="C6" s="10">
        <f t="shared" si="0" ref="C6:N6">C5-EOMONTH(C5,-3)</f>
        <v>92</v>
      </c>
      <c r="D6" s="10">
        <f t="shared" si="0"/>
        <v>92</v>
      </c>
      <c r="E6" s="10">
        <f t="shared" si="1" ref="E6:L6">E5-DATE(YEAR(E5)-1,12,31)</f>
        <v>365</v>
      </c>
      <c r="F6" s="10">
        <f t="shared" si="0"/>
        <v>90</v>
      </c>
      <c r="G6" s="10">
        <f t="shared" si="0"/>
        <v>91</v>
      </c>
      <c r="H6" s="46">
        <f t="shared" si="0"/>
        <v>92</v>
      </c>
      <c r="I6" s="10"/>
      <c r="J6" s="10">
        <f t="shared" si="0"/>
        <v>92</v>
      </c>
      <c r="K6" s="10">
        <f t="shared" si="0"/>
        <v>92</v>
      </c>
      <c r="L6" s="10">
        <f t="shared" si="1"/>
        <v>366</v>
      </c>
      <c r="M6" s="10">
        <f t="shared" si="0"/>
        <v>90</v>
      </c>
      <c r="N6" s="10">
        <f t="shared" si="0"/>
        <v>91</v>
      </c>
      <c r="O6" s="10"/>
      <c r="P6" s="47"/>
    </row>
    <row r="7" ht="15" customHeight="1">
      <c r="A7" s="1"/>
      <c r="B7" s="1"/>
      <c r="C7" s="1"/>
      <c r="D7" s="1"/>
      <c r="E7" s="1"/>
      <c r="F7" s="1"/>
      <c r="G7" s="1"/>
      <c r="H7" s="48"/>
      <c r="I7" s="1"/>
      <c r="J7" s="1"/>
      <c r="K7" s="1"/>
      <c r="L7" s="1"/>
      <c r="M7" s="1"/>
      <c r="N7" s="1"/>
      <c r="O7" s="1"/>
      <c r="P7" s="1"/>
    </row>
    <row r="8" ht="15" customHeight="1">
      <c r="A8" s="1"/>
      <c r="B8" s="3" t="s">
        <v>519</v>
      </c>
      <c r="C8" s="1"/>
      <c r="D8" s="1"/>
      <c r="E8" s="1"/>
      <c r="F8" s="1"/>
      <c r="G8" s="1"/>
      <c r="H8" s="48"/>
      <c r="I8" s="1"/>
      <c r="J8" s="1"/>
      <c r="K8" s="1"/>
      <c r="L8" s="1"/>
      <c r="M8" s="1"/>
      <c r="N8" s="1"/>
      <c r="O8" s="1"/>
      <c r="P8" s="49"/>
    </row>
    <row r="9" ht="15" customHeight="1">
      <c r="A9" s="1"/>
      <c r="B9" s="63" t="s">
        <v>520</v>
      </c>
      <c r="C9" s="15">
        <f>N20</f>
        <v>7161</v>
      </c>
      <c r="D9" s="15">
        <f t="shared" si="2" ref="D9:H9">C20</f>
        <v>7109</v>
      </c>
      <c r="E9" s="15">
        <f>K20</f>
        <v>7176</v>
      </c>
      <c r="F9" s="15">
        <f>D20</f>
        <v>7037</v>
      </c>
      <c r="G9" s="15">
        <f t="shared" si="2"/>
        <v>6965</v>
      </c>
      <c r="H9" s="54">
        <f t="shared" si="2"/>
        <v>6879</v>
      </c>
      <c r="I9" s="1"/>
      <c r="J9" s="15"/>
      <c r="K9" s="15"/>
      <c r="L9" s="15"/>
      <c r="M9" s="15"/>
      <c r="N9" s="15"/>
      <c r="O9" s="1"/>
      <c r="P9" s="49"/>
    </row>
    <row r="10" ht="15" customHeight="1">
      <c r="A10" s="1"/>
      <c r="B10" s="65" t="s">
        <v>521</v>
      </c>
      <c r="C10" s="14">
        <f>-'Cash Flow Statement'!C37</f>
        <v>1490</v>
      </c>
      <c r="D10" s="14">
        <f>-'Cash Flow Statement'!D37</f>
        <v>1831</v>
      </c>
      <c r="E10" s="14">
        <f>-'Cash Flow Statement'!E37</f>
        <v>4500</v>
      </c>
      <c r="F10" s="14">
        <f>-'Cash Flow Statement'!F37</f>
        <v>2475</v>
      </c>
      <c r="G10" s="14">
        <f>-'Cash Flow Statement'!G37</f>
        <v>2194</v>
      </c>
      <c r="H10" s="13">
        <f>-'Cash Flow Statement'!H37</f>
        <v>2700</v>
      </c>
      <c r="I10" s="1"/>
      <c r="J10" s="15"/>
      <c r="K10" s="15"/>
      <c r="L10" s="15"/>
      <c r="M10" s="15"/>
      <c r="N10" s="15"/>
      <c r="O10" s="1"/>
      <c r="P10" s="49" t="s">
        <v>522</v>
      </c>
    </row>
    <row r="11" ht="15" customHeight="1">
      <c r="A11" s="1"/>
      <c r="B11" s="50" t="s">
        <v>115</v>
      </c>
      <c r="C11" s="16" t="str">
        <f t="shared" si="3" ref="C11:G30">IF(AND(ISNUMBER(C10),ISNUMBER(J10)),IF(J10&lt;&gt;0,C10/J10-1,"n/a"),"n/a")</f>
        <v>n/a</v>
      </c>
      <c r="D11" s="16" t="str">
        <f t="shared" si="3"/>
        <v>n/a</v>
      </c>
      <c r="E11" s="16" t="str">
        <f t="shared" si="3"/>
        <v>n/a</v>
      </c>
      <c r="F11" s="16" t="str">
        <f t="shared" si="3"/>
        <v>n/a</v>
      </c>
      <c r="G11" s="16" t="str">
        <f t="shared" si="3"/>
        <v>n/a</v>
      </c>
      <c r="H11" s="51">
        <f t="shared" si="5" ref="H11:H30">IF(AND(ISNUMBER(H10),ISNUMBER(C10)),IF(C10&lt;&gt;0,H10/C10-1,"n/a"),"n/a")</f>
        <v>0.8120805369127517</v>
      </c>
      <c r="I11" s="1"/>
      <c r="J11" s="16"/>
      <c r="K11" s="16"/>
      <c r="L11" s="16"/>
      <c r="M11" s="16"/>
      <c r="N11" s="16"/>
      <c r="O11" s="1"/>
      <c r="P11" s="49"/>
    </row>
    <row r="12" ht="15" customHeight="1">
      <c r="A12" s="1"/>
      <c r="B12" s="53" t="s">
        <v>118</v>
      </c>
      <c r="C12" s="15" t="str">
        <f t="shared" si="6" ref="C12:C31">IF(AND(ISNUMBER(C10),ISNUMBER(N10)),C10-N10,"n/a")</f>
        <v>n/a</v>
      </c>
      <c r="D12" s="15">
        <f t="shared" si="4" ref="D12:H31">IF(AND(ISNUMBER(D10),ISNUMBER(C10)),D10-C10,"n/a")</f>
        <v>341</v>
      </c>
      <c r="E12" s="21" t="s">
        <v>15</v>
      </c>
      <c r="F12" s="15">
        <f t="shared" si="7" ref="F12:F31">IF(AND(ISNUMBER(F10),ISNUMBER(D10)),F10-D10,"n/a")</f>
        <v>644</v>
      </c>
      <c r="G12" s="15">
        <f t="shared" si="4"/>
        <v>-281</v>
      </c>
      <c r="H12" s="54">
        <f t="shared" si="4"/>
        <v>506</v>
      </c>
      <c r="I12" s="1"/>
      <c r="J12" s="15"/>
      <c r="K12" s="15"/>
      <c r="L12" s="15"/>
      <c r="M12" s="15"/>
      <c r="N12" s="15"/>
      <c r="O12" s="1"/>
      <c r="P12" s="49"/>
    </row>
    <row r="13" ht="15" customHeight="1">
      <c r="A13" s="1"/>
      <c r="B13" s="65" t="s">
        <v>523</v>
      </c>
      <c r="C13" s="82" t="s">
        <v>15</v>
      </c>
      <c r="D13" s="82" t="s">
        <v>15</v>
      </c>
      <c r="E13" s="82" t="s">
        <v>15</v>
      </c>
      <c r="F13" s="20">
        <f>F10/F16</f>
        <v>28.125</v>
      </c>
      <c r="G13" s="96">
        <v>25.01</v>
      </c>
      <c r="H13" s="81">
        <v>24.5</v>
      </c>
      <c r="I13" s="1"/>
      <c r="J13" s="20"/>
      <c r="K13" s="20"/>
      <c r="L13" s="20"/>
      <c r="M13" s="20"/>
      <c r="N13" s="20"/>
      <c r="O13" s="1"/>
      <c r="P13" s="49" t="s">
        <v>524</v>
      </c>
    </row>
    <row r="14" ht="15" customHeight="1">
      <c r="A14" s="1"/>
      <c r="B14" s="50" t="s">
        <v>115</v>
      </c>
      <c r="C14" s="16" t="str">
        <f t="shared" si="3"/>
        <v>n/a</v>
      </c>
      <c r="D14" s="16" t="str">
        <f t="shared" si="3"/>
        <v>n/a</v>
      </c>
      <c r="E14" s="16" t="str">
        <f t="shared" si="3"/>
        <v>n/a</v>
      </c>
      <c r="F14" s="16" t="str">
        <f t="shared" si="3"/>
        <v>n/a</v>
      </c>
      <c r="G14" s="16" t="str">
        <f t="shared" si="3"/>
        <v>n/a</v>
      </c>
      <c r="H14" s="51" t="str">
        <f t="shared" si="5"/>
        <v>n/a</v>
      </c>
      <c r="I14" s="1"/>
      <c r="J14" s="16"/>
      <c r="K14" s="16"/>
      <c r="L14" s="16"/>
      <c r="M14" s="16"/>
      <c r="N14" s="16"/>
      <c r="O14" s="1"/>
      <c r="P14" s="49"/>
    </row>
    <row r="15" ht="15" customHeight="1">
      <c r="A15" s="1"/>
      <c r="B15" s="53" t="s">
        <v>118</v>
      </c>
      <c r="C15" s="20" t="str">
        <f t="shared" si="6"/>
        <v>n/a</v>
      </c>
      <c r="D15" s="20" t="str">
        <f t="shared" si="4"/>
        <v>n/a</v>
      </c>
      <c r="E15" s="82" t="s">
        <v>15</v>
      </c>
      <c r="F15" s="20" t="str">
        <f t="shared" si="7"/>
        <v>n/a</v>
      </c>
      <c r="G15" s="20">
        <f t="shared" si="4"/>
        <v>-3.1149999999999984</v>
      </c>
      <c r="H15" s="83">
        <f t="shared" si="4"/>
        <v>-0.5100000000000016</v>
      </c>
      <c r="I15" s="1"/>
      <c r="J15" s="20"/>
      <c r="K15" s="20"/>
      <c r="L15" s="20"/>
      <c r="M15" s="20"/>
      <c r="N15" s="20"/>
      <c r="O15" s="1"/>
      <c r="P15" s="49"/>
    </row>
    <row r="16" ht="15" customHeight="1">
      <c r="A16" s="1"/>
      <c r="B16" s="63" t="s">
        <v>525</v>
      </c>
      <c r="C16" s="21" t="s">
        <v>15</v>
      </c>
      <c r="D16" s="21" t="s">
        <v>15</v>
      </c>
      <c r="E16" s="21" t="s">
        <v>15</v>
      </c>
      <c r="F16" s="60">
        <v>88</v>
      </c>
      <c r="G16" s="60">
        <v>86.234025</v>
      </c>
      <c r="H16" s="54">
        <f>H10/H13</f>
        <v>110.20408163265306</v>
      </c>
      <c r="I16" s="1"/>
      <c r="J16" s="15"/>
      <c r="K16" s="15"/>
      <c r="L16" s="15"/>
      <c r="M16" s="15"/>
      <c r="N16" s="15"/>
      <c r="O16" s="1"/>
      <c r="P16" s="49"/>
    </row>
    <row r="17" ht="15" customHeight="1">
      <c r="A17" s="1"/>
      <c r="B17" s="50" t="s">
        <v>115</v>
      </c>
      <c r="C17" s="16" t="str">
        <f t="shared" si="3"/>
        <v>n/a</v>
      </c>
      <c r="D17" s="16" t="str">
        <f t="shared" si="3"/>
        <v>n/a</v>
      </c>
      <c r="E17" s="16" t="str">
        <f t="shared" si="3"/>
        <v>n/a</v>
      </c>
      <c r="F17" s="16" t="str">
        <f t="shared" si="3"/>
        <v>n/a</v>
      </c>
      <c r="G17" s="16" t="str">
        <f t="shared" si="3"/>
        <v>n/a</v>
      </c>
      <c r="H17" s="51" t="str">
        <f t="shared" si="5"/>
        <v>n/a</v>
      </c>
      <c r="I17" s="1"/>
      <c r="J17" s="16"/>
      <c r="K17" s="16"/>
      <c r="L17" s="16"/>
      <c r="M17" s="16"/>
      <c r="N17" s="16"/>
      <c r="O17" s="1"/>
      <c r="P17" s="49"/>
    </row>
    <row r="18" ht="15" customHeight="1">
      <c r="A18" s="1"/>
      <c r="B18" s="53" t="s">
        <v>118</v>
      </c>
      <c r="C18" s="15" t="str">
        <f t="shared" si="6"/>
        <v>n/a</v>
      </c>
      <c r="D18" s="15" t="str">
        <f t="shared" si="4"/>
        <v>n/a</v>
      </c>
      <c r="E18" s="21" t="s">
        <v>15</v>
      </c>
      <c r="F18" s="15" t="str">
        <f t="shared" si="7"/>
        <v>n/a</v>
      </c>
      <c r="G18" s="15">
        <f t="shared" si="4"/>
        <v>-1.7659749999999974</v>
      </c>
      <c r="H18" s="54">
        <f t="shared" si="4"/>
        <v>23.970056632653055</v>
      </c>
      <c r="I18" s="1"/>
      <c r="J18" s="15"/>
      <c r="K18" s="15"/>
      <c r="L18" s="15"/>
      <c r="M18" s="15"/>
      <c r="N18" s="15"/>
      <c r="O18" s="1"/>
      <c r="P18" s="49"/>
    </row>
    <row r="19" ht="15" customHeight="1">
      <c r="A19" s="1"/>
      <c r="B19" s="63" t="s">
        <v>526</v>
      </c>
      <c r="C19" s="21" t="s">
        <v>15</v>
      </c>
      <c r="D19" s="21" t="s">
        <v>15</v>
      </c>
      <c r="E19" s="21" t="s">
        <v>15</v>
      </c>
      <c r="F19" s="15">
        <f t="shared" si="8" ref="F19:G19">F20-F9+F16</f>
        <v>16</v>
      </c>
      <c r="G19" s="15">
        <f t="shared" si="8"/>
        <v>0.2340250000000026</v>
      </c>
      <c r="H19" s="85">
        <v>3</v>
      </c>
      <c r="I19" s="1"/>
      <c r="J19" s="15"/>
      <c r="K19" s="15"/>
      <c r="L19" s="15"/>
      <c r="M19" s="15"/>
      <c r="N19" s="15"/>
      <c r="O19" s="1"/>
      <c r="P19" s="49"/>
    </row>
    <row r="20" ht="15" customHeight="1">
      <c r="A20" s="1"/>
      <c r="B20" s="3" t="s">
        <v>527</v>
      </c>
      <c r="C20" s="102">
        <v>7109</v>
      </c>
      <c r="D20" s="102">
        <v>7037</v>
      </c>
      <c r="E20" s="61">
        <f t="shared" si="9" ref="E20:L20">D20</f>
        <v>7037</v>
      </c>
      <c r="F20" s="102">
        <v>6965</v>
      </c>
      <c r="G20" s="102">
        <v>6879</v>
      </c>
      <c r="H20" s="62">
        <f>H9-H16+H19</f>
        <v>6771.7959183673465</v>
      </c>
      <c r="I20" s="1"/>
      <c r="J20" s="102">
        <v>7174</v>
      </c>
      <c r="K20" s="102">
        <v>7176</v>
      </c>
      <c r="L20" s="61">
        <f t="shared" si="9"/>
        <v>7176</v>
      </c>
      <c r="M20" s="102">
        <v>7196</v>
      </c>
      <c r="N20" s="102">
        <v>7161</v>
      </c>
      <c r="O20" s="1"/>
      <c r="P20" s="49"/>
    </row>
    <row r="21" ht="15" customHeight="1">
      <c r="A21" s="1"/>
      <c r="B21" s="50" t="s">
        <v>115</v>
      </c>
      <c r="C21" s="16">
        <f t="shared" si="3"/>
        <v>-0.009060496236409255</v>
      </c>
      <c r="D21" s="16">
        <f t="shared" si="3"/>
        <v>-0.019370122630992248</v>
      </c>
      <c r="E21" s="16">
        <f t="shared" si="3"/>
        <v>-0.019370122630992248</v>
      </c>
      <c r="F21" s="16">
        <f t="shared" si="3"/>
        <v>-0.032101167315175094</v>
      </c>
      <c r="G21" s="16">
        <f t="shared" si="3"/>
        <v>-0.03937997486384581</v>
      </c>
      <c r="H21" s="51">
        <f t="shared" si="5"/>
        <v>-0.04743340577193045</v>
      </c>
      <c r="I21" s="1"/>
      <c r="J21" s="16"/>
      <c r="K21" s="16"/>
      <c r="L21" s="16"/>
      <c r="M21" s="16"/>
      <c r="N21" s="16"/>
      <c r="O21" s="1"/>
      <c r="P21" s="49"/>
    </row>
    <row r="22" ht="15" customHeight="1">
      <c r="A22" s="1"/>
      <c r="B22" s="53" t="s">
        <v>118</v>
      </c>
      <c r="C22" s="15">
        <f t="shared" si="6"/>
        <v>-52</v>
      </c>
      <c r="D22" s="15">
        <f t="shared" si="4"/>
        <v>-72</v>
      </c>
      <c r="E22" s="21" t="s">
        <v>15</v>
      </c>
      <c r="F22" s="15">
        <f t="shared" si="7"/>
        <v>-72</v>
      </c>
      <c r="G22" s="15">
        <f t="shared" si="4"/>
        <v>-86</v>
      </c>
      <c r="H22" s="54">
        <f t="shared" si="4"/>
        <v>-107.20408163265347</v>
      </c>
      <c r="I22" s="1"/>
      <c r="J22" s="15"/>
      <c r="K22" s="15"/>
      <c r="L22" s="15"/>
      <c r="M22" s="15"/>
      <c r="N22" s="15"/>
      <c r="O22" s="1"/>
      <c r="P22" s="49"/>
    </row>
    <row r="23" ht="15" customHeight="1">
      <c r="A23" s="1"/>
      <c r="B23" s="3" t="s">
        <v>528</v>
      </c>
      <c r="C23" s="1"/>
      <c r="D23" s="1"/>
      <c r="E23" s="1"/>
      <c r="F23" s="1"/>
      <c r="G23" s="1"/>
      <c r="H23" s="48"/>
      <c r="I23" s="1"/>
      <c r="J23" s="1"/>
      <c r="K23" s="1"/>
      <c r="L23" s="1"/>
      <c r="M23" s="1"/>
      <c r="N23" s="1"/>
      <c r="O23" s="1"/>
      <c r="P23" s="49"/>
    </row>
    <row r="24" ht="15" customHeight="1">
      <c r="A24" s="1"/>
      <c r="B24" s="3" t="s">
        <v>529</v>
      </c>
      <c r="C24" s="86">
        <v>7156</v>
      </c>
      <c r="D24" s="86">
        <v>7098</v>
      </c>
      <c r="E24" s="86">
        <v>7169</v>
      </c>
      <c r="F24" s="86">
        <v>7017</v>
      </c>
      <c r="G24" s="86">
        <v>6938</v>
      </c>
      <c r="H24" s="88">
        <f>AVERAGE(H9,H20)+H27</f>
        <v>6830.397959183673</v>
      </c>
      <c r="I24" s="1"/>
      <c r="J24" s="86">
        <v>7202</v>
      </c>
      <c r="K24" s="86">
        <v>7207</v>
      </c>
      <c r="L24" s="86">
        <v>7199</v>
      </c>
      <c r="M24" s="86">
        <v>7213</v>
      </c>
      <c r="N24" s="86">
        <v>7209</v>
      </c>
      <c r="O24" s="1"/>
      <c r="P24" s="49"/>
    </row>
    <row r="25" ht="15" customHeight="1">
      <c r="A25" s="1"/>
      <c r="B25" s="50" t="s">
        <v>115</v>
      </c>
      <c r="C25" s="16">
        <f t="shared" si="3"/>
        <v>-0.006387114690363793</v>
      </c>
      <c r="D25" s="16">
        <f t="shared" si="3"/>
        <v>-0.015124184820313635</v>
      </c>
      <c r="E25" s="16">
        <f t="shared" si="3"/>
        <v>-0.004167245450757084</v>
      </c>
      <c r="F25" s="16">
        <f t="shared" si="3"/>
        <v>-0.027173159572993155</v>
      </c>
      <c r="G25" s="16">
        <f t="shared" si="3"/>
        <v>-0.037591899015119945</v>
      </c>
      <c r="H25" s="51">
        <f t="shared" si="5"/>
        <v>-0.045500564675283184</v>
      </c>
      <c r="I25" s="1"/>
      <c r="J25" s="16"/>
      <c r="K25" s="16"/>
      <c r="L25" s="16"/>
      <c r="M25" s="16"/>
      <c r="N25" s="16"/>
      <c r="O25" s="1"/>
      <c r="P25" s="49"/>
    </row>
    <row r="26" ht="15" customHeight="1">
      <c r="A26" s="1"/>
      <c r="B26" s="53" t="s">
        <v>118</v>
      </c>
      <c r="C26" s="15">
        <f t="shared" si="6"/>
        <v>-53</v>
      </c>
      <c r="D26" s="15">
        <f t="shared" si="4"/>
        <v>-58</v>
      </c>
      <c r="E26" s="21" t="s">
        <v>15</v>
      </c>
      <c r="F26" s="15">
        <f t="shared" si="7"/>
        <v>-81</v>
      </c>
      <c r="G26" s="15">
        <f t="shared" si="4"/>
        <v>-79</v>
      </c>
      <c r="H26" s="54">
        <f t="shared" si="4"/>
        <v>-107.60204081632673</v>
      </c>
      <c r="I26" s="1"/>
      <c r="J26" s="15"/>
      <c r="K26" s="15"/>
      <c r="L26" s="15"/>
      <c r="M26" s="15"/>
      <c r="N26" s="15"/>
      <c r="O26" s="1"/>
      <c r="P26" s="49"/>
    </row>
    <row r="27" ht="15" customHeight="1">
      <c r="A27" s="1"/>
      <c r="B27" s="63" t="s">
        <v>530</v>
      </c>
      <c r="C27" s="15">
        <f t="shared" si="10" ref="C27:G27">C24-AVERAGE(C9,C20)</f>
        <v>21</v>
      </c>
      <c r="D27" s="15">
        <f t="shared" si="10"/>
        <v>25</v>
      </c>
      <c r="E27" s="21" t="s">
        <v>15</v>
      </c>
      <c r="F27" s="15">
        <f t="shared" si="10"/>
        <v>16</v>
      </c>
      <c r="G27" s="15">
        <f t="shared" si="10"/>
        <v>16</v>
      </c>
      <c r="H27" s="85">
        <v>5</v>
      </c>
      <c r="I27" s="1"/>
      <c r="J27" s="15"/>
      <c r="K27" s="15"/>
      <c r="L27" s="15"/>
      <c r="M27" s="15"/>
      <c r="N27" s="15"/>
      <c r="O27" s="1"/>
      <c r="P27" s="49" t="s">
        <v>531</v>
      </c>
    </row>
    <row r="28" ht="15" customHeight="1">
      <c r="A28" s="1"/>
      <c r="B28" s="63" t="s">
        <v>532</v>
      </c>
      <c r="C28" s="15">
        <f t="shared" si="11" ref="C28:N28">C29-C24</f>
        <v>13</v>
      </c>
      <c r="D28" s="15">
        <f t="shared" si="11"/>
        <v>10</v>
      </c>
      <c r="E28" s="15">
        <f t="shared" si="11"/>
        <v>10</v>
      </c>
      <c r="F28" s="15">
        <f t="shared" si="11"/>
        <v>10</v>
      </c>
      <c r="G28" s="15">
        <f t="shared" si="11"/>
        <v>8</v>
      </c>
      <c r="H28" s="85">
        <v>10</v>
      </c>
      <c r="I28" s="1"/>
      <c r="J28" s="15">
        <f t="shared" si="11"/>
        <v>6</v>
      </c>
      <c r="K28" s="15">
        <f t="shared" si="11"/>
        <v>8</v>
      </c>
      <c r="L28" s="15">
        <f t="shared" si="11"/>
        <v>5</v>
      </c>
      <c r="M28" s="15">
        <f t="shared" si="11"/>
        <v>10</v>
      </c>
      <c r="N28" s="15">
        <f t="shared" si="11"/>
        <v>10</v>
      </c>
      <c r="O28" s="1"/>
      <c r="P28" s="49"/>
    </row>
    <row r="29" ht="15" customHeight="1">
      <c r="A29" s="1"/>
      <c r="B29" s="72" t="s">
        <v>533</v>
      </c>
      <c r="C29" s="102">
        <v>7169</v>
      </c>
      <c r="D29" s="102">
        <v>7108</v>
      </c>
      <c r="E29" s="102">
        <v>7179</v>
      </c>
      <c r="F29" s="102">
        <v>7027</v>
      </c>
      <c r="G29" s="102">
        <v>6946</v>
      </c>
      <c r="H29" s="62">
        <f>H24+H28</f>
        <v>6840.397959183673</v>
      </c>
      <c r="I29" s="1"/>
      <c r="J29" s="102">
        <v>7208</v>
      </c>
      <c r="K29" s="102">
        <v>7215</v>
      </c>
      <c r="L29" s="102">
        <v>7204</v>
      </c>
      <c r="M29" s="102">
        <v>7223</v>
      </c>
      <c r="N29" s="102">
        <v>7219</v>
      </c>
      <c r="O29" s="1"/>
      <c r="P29" s="49"/>
    </row>
    <row r="30" ht="15" customHeight="1">
      <c r="A30" s="1"/>
      <c r="B30" s="50" t="s">
        <v>115</v>
      </c>
      <c r="C30" s="16">
        <f t="shared" si="3"/>
        <v>-0.005410654827968875</v>
      </c>
      <c r="D30" s="16">
        <f t="shared" si="3"/>
        <v>-0.01483021483021485</v>
      </c>
      <c r="E30" s="16">
        <f t="shared" si="3"/>
        <v>-0.003470294280955022</v>
      </c>
      <c r="F30" s="16">
        <f t="shared" si="3"/>
        <v>-0.02713553924961931</v>
      </c>
      <c r="G30" s="16">
        <f t="shared" si="3"/>
        <v>-0.03781687214295604</v>
      </c>
      <c r="H30" s="51">
        <f t="shared" si="5"/>
        <v>-0.04583652403631289</v>
      </c>
      <c r="I30" s="1"/>
      <c r="J30" s="16"/>
      <c r="K30" s="16"/>
      <c r="L30" s="16"/>
      <c r="M30" s="16"/>
      <c r="N30" s="16"/>
      <c r="O30" s="1"/>
      <c r="P30" s="49"/>
    </row>
    <row r="31" ht="15" customHeight="1">
      <c r="A31" s="1"/>
      <c r="B31" s="53" t="s">
        <v>118</v>
      </c>
      <c r="C31" s="15">
        <f t="shared" si="6"/>
        <v>-50</v>
      </c>
      <c r="D31" s="15">
        <f t="shared" si="4"/>
        <v>-61</v>
      </c>
      <c r="E31" s="21" t="s">
        <v>15</v>
      </c>
      <c r="F31" s="15">
        <f t="shared" si="7"/>
        <v>-81</v>
      </c>
      <c r="G31" s="15">
        <f t="shared" si="4"/>
        <v>-81</v>
      </c>
      <c r="H31" s="54">
        <f t="shared" si="4"/>
        <v>-105.60204081632673</v>
      </c>
      <c r="I31" s="1"/>
      <c r="J31" s="15"/>
      <c r="K31" s="15"/>
      <c r="L31" s="15"/>
      <c r="M31" s="15"/>
      <c r="N31" s="15"/>
      <c r="O31" s="1"/>
      <c r="P31" s="49"/>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FAD98-F8D7-E8C5-A918-D9A29A37FA53}"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48.00390625" customWidth="1"/>
    <col min="3" max="4" width="12.00390625" customWidth="1"/>
    <col min="5" max="6" width="18.00390625" customWidth="1"/>
    <col min="7" max="8" width="12.00390625" customWidth="1"/>
    <col min="9" max="9" width="30.00390625" customWidth="1"/>
    <col min="10" max="10" width="8.00390625" customWidth="1"/>
    <col min="11" max="11" width="22.00390625" customWidth="1"/>
    <col min="12" max="12" width="60.00390625" customWidth="1"/>
  </cols>
  <sheetData>
    <row r="1" ht="15" customHeight="1">
      <c r="A1" s="1"/>
      <c r="B1" s="2" t="s">
        <v>0</v>
      </c>
      <c r="C1" s="1"/>
      <c r="D1" s="1"/>
      <c r="E1" s="1"/>
      <c r="F1" s="1"/>
      <c r="G1" s="1"/>
      <c r="H1" s="1"/>
      <c r="I1" s="1"/>
      <c r="J1" s="1"/>
      <c r="K1" s="1"/>
      <c r="L1" s="1"/>
    </row>
    <row r="2" ht="15" customHeight="1">
      <c r="A2" s="1"/>
      <c r="B2" s="3" t="s">
        <v>534</v>
      </c>
      <c r="C2" s="1"/>
      <c r="D2" s="1"/>
      <c r="E2" s="1"/>
      <c r="F2" s="1"/>
      <c r="G2" s="1"/>
      <c r="H2" s="1"/>
      <c r="I2" s="1"/>
      <c r="J2" s="1"/>
      <c r="K2" s="1"/>
      <c r="L2" s="1"/>
    </row>
    <row r="3" ht="15" customHeight="1">
      <c r="A3" s="1"/>
      <c r="B3" s="4" t="s">
        <v>2</v>
      </c>
      <c r="C3" s="1"/>
      <c r="D3" s="1"/>
      <c r="E3" s="1"/>
      <c r="F3" s="1"/>
      <c r="G3" s="1"/>
      <c r="H3" s="1"/>
      <c r="I3" s="1"/>
      <c r="J3" s="4"/>
      <c r="K3" s="1"/>
      <c r="L3" s="1"/>
    </row>
    <row r="4" ht="15" customHeight="1">
      <c r="A4" s="1"/>
      <c r="B4" s="5" t="s">
        <v>3</v>
      </c>
      <c r="C4" s="6" t="s">
        <v>4</v>
      </c>
      <c r="D4" s="6"/>
      <c r="E4" s="6"/>
      <c r="F4" s="6"/>
      <c r="G4" s="6"/>
      <c r="H4" s="6"/>
      <c r="I4" s="6"/>
      <c r="J4" s="6"/>
      <c r="K4" s="6"/>
      <c r="L4" s="6"/>
    </row>
    <row r="5" ht="15" customHeight="1">
      <c r="A5" s="1"/>
      <c r="B5" s="7" t="s">
        <v>5</v>
      </c>
      <c r="C5" s="8">
        <v>46295</v>
      </c>
      <c r="D5" s="44"/>
      <c r="E5" s="44"/>
      <c r="F5" s="44"/>
      <c r="G5" s="44"/>
      <c r="H5" s="44"/>
      <c r="I5" s="44"/>
      <c r="J5" s="44"/>
      <c r="K5" s="44"/>
      <c r="L5" s="44"/>
    </row>
    <row r="6" ht="15" customHeight="1">
      <c r="A6" s="1"/>
      <c r="B6" s="9" t="s">
        <v>6</v>
      </c>
      <c r="C6" s="10">
        <f>C5-EOMONTH(C5,-3)</f>
        <v>92</v>
      </c>
      <c r="D6" s="10"/>
      <c r="E6" s="10"/>
      <c r="F6" s="10"/>
      <c r="G6" s="10"/>
      <c r="H6" s="10"/>
      <c r="I6" s="10"/>
      <c r="J6" s="10"/>
      <c r="K6" s="10"/>
      <c r="L6" s="10"/>
    </row>
    <row r="7" ht="15" customHeight="1">
      <c r="A7" s="1"/>
      <c r="B7" s="1"/>
      <c r="C7" s="1"/>
      <c r="D7" s="1"/>
      <c r="E7" s="1"/>
      <c r="F7" s="1"/>
      <c r="G7" s="1"/>
      <c r="H7" s="1"/>
      <c r="I7" s="1"/>
      <c r="J7" s="1"/>
      <c r="K7" s="1"/>
      <c r="L7" s="1"/>
    </row>
    <row r="8" ht="15" customHeight="1">
      <c r="A8" s="1"/>
      <c r="B8" s="103" t="s">
        <v>55</v>
      </c>
      <c r="C8" s="104" t="s">
        <v>535</v>
      </c>
      <c r="D8" s="103" t="s">
        <v>3</v>
      </c>
      <c r="E8" s="104" t="s">
        <v>536</v>
      </c>
      <c r="F8" s="104" t="s">
        <v>537</v>
      </c>
      <c r="G8" s="104" t="s">
        <v>538</v>
      </c>
      <c r="H8" s="104" t="s">
        <v>539</v>
      </c>
      <c r="I8" s="103" t="s">
        <v>540</v>
      </c>
      <c r="J8" s="103" t="s">
        <v>541</v>
      </c>
      <c r="K8" s="103" t="s">
        <v>542</v>
      </c>
      <c r="L8" s="1" t="s">
        <v>112</v>
      </c>
    </row>
    <row r="9" ht="15" customHeight="1">
      <c r="A9" s="1"/>
      <c r="B9" s="1" t="s">
        <v>543</v>
      </c>
      <c r="C9" s="105">
        <v>46050</v>
      </c>
      <c r="D9" s="1" t="s">
        <v>544</v>
      </c>
      <c r="E9" s="96">
        <v>2.25</v>
      </c>
      <c r="F9" s="96">
        <v>2.35</v>
      </c>
      <c r="G9" s="20">
        <f t="shared" si="0" ref="G9:G21">IF(AND(ISNUMBER(E9),ISNUMBER(F9)),AVERAGE(E9,F9),"n/a")</f>
        <v>2.3</v>
      </c>
      <c r="H9" s="82" t="s">
        <v>15</v>
      </c>
      <c r="I9" s="106" t="str">
        <f t="shared" si="1" ref="I9:I20">IF(AND(ISNUMBER(H9),ISNUMBER(F9)),IF(H9&gt;F9,"Beat (above high end)",IF(H9&gt;=E9,"Within range","Miss")),IF(ISNUMBER(H9),"n/a","Pending"))</f>
        <v>Pending</v>
      </c>
      <c r="J9" s="1" t="s">
        <v>546</v>
      </c>
      <c r="K9" s="1" t="s">
        <v>547</v>
      </c>
      <c r="L9" s="49" t="s">
        <v>548</v>
      </c>
    </row>
    <row r="10" ht="15" customHeight="1">
      <c r="A10" s="1"/>
      <c r="B10" s="1" t="s">
        <v>549</v>
      </c>
      <c r="C10" s="105">
        <v>46050</v>
      </c>
      <c r="D10" s="1" t="s">
        <v>544</v>
      </c>
      <c r="E10" s="107">
        <v>0.03</v>
      </c>
      <c r="F10" s="107">
        <v>0.04</v>
      </c>
      <c r="G10" s="108">
        <f t="shared" si="0"/>
        <v>0.035</v>
      </c>
      <c r="H10" s="109" t="s">
        <v>15</v>
      </c>
      <c r="I10" s="106" t="str">
        <f t="shared" si="1"/>
        <v>Pending</v>
      </c>
      <c r="J10" s="1" t="s">
        <v>546</v>
      </c>
      <c r="K10" s="1" t="s">
        <v>550</v>
      </c>
      <c r="L10" s="49" t="s">
        <v>551</v>
      </c>
    </row>
    <row r="11" ht="15" customHeight="1">
      <c r="A11" s="1"/>
      <c r="B11" s="1" t="s">
        <v>552</v>
      </c>
      <c r="C11" s="105">
        <v>46050</v>
      </c>
      <c r="D11" s="1" t="s">
        <v>544</v>
      </c>
      <c r="E11" s="60">
        <v>18000</v>
      </c>
      <c r="F11" s="21" t="s">
        <v>15</v>
      </c>
      <c r="G11" s="15" t="str">
        <f t="shared" si="0"/>
        <v>n/a</v>
      </c>
      <c r="H11" s="21" t="s">
        <v>15</v>
      </c>
      <c r="I11" s="106" t="str">
        <f t="shared" si="1"/>
        <v>Pending</v>
      </c>
      <c r="J11" s="1" t="s">
        <v>546</v>
      </c>
      <c r="K11" s="1" t="s">
        <v>553</v>
      </c>
      <c r="L11" s="49" t="s">
        <v>554</v>
      </c>
    </row>
    <row r="12" ht="15" customHeight="1">
      <c r="A12" s="1"/>
      <c r="B12" s="1" t="s">
        <v>555</v>
      </c>
      <c r="C12" s="105">
        <v>46050</v>
      </c>
      <c r="D12" s="1" t="s">
        <v>544</v>
      </c>
      <c r="E12" s="60">
        <v>23000</v>
      </c>
      <c r="F12" s="60">
        <v>24000</v>
      </c>
      <c r="G12" s="15">
        <f t="shared" si="0"/>
        <v>23500</v>
      </c>
      <c r="H12" s="21" t="s">
        <v>15</v>
      </c>
      <c r="I12" s="106" t="str">
        <f t="shared" si="1"/>
        <v>Pending</v>
      </c>
      <c r="J12" s="1" t="s">
        <v>546</v>
      </c>
      <c r="K12" s="1" t="s">
        <v>556</v>
      </c>
      <c r="L12" s="49" t="s">
        <v>557</v>
      </c>
    </row>
    <row r="13" ht="15" customHeight="1">
      <c r="A13" s="1"/>
      <c r="B13" s="1" t="s">
        <v>558</v>
      </c>
      <c r="C13" s="105">
        <v>46050</v>
      </c>
      <c r="D13" s="1" t="s">
        <v>544</v>
      </c>
      <c r="E13" s="109" t="s">
        <v>559</v>
      </c>
      <c r="F13" s="109" t="s">
        <v>15</v>
      </c>
      <c r="G13" s="108" t="str">
        <f t="shared" si="0"/>
        <v>n/a</v>
      </c>
      <c r="H13" s="109" t="s">
        <v>15</v>
      </c>
      <c r="I13" s="106" t="str">
        <f t="shared" si="1"/>
        <v>Pending</v>
      </c>
      <c r="J13" s="1" t="s">
        <v>546</v>
      </c>
      <c r="K13" s="1" t="s">
        <v>550</v>
      </c>
      <c r="L13" s="49" t="s">
        <v>560</v>
      </c>
    </row>
    <row r="14" ht="15" customHeight="1">
      <c r="A14" s="1"/>
      <c r="B14" s="1" t="s">
        <v>561</v>
      </c>
      <c r="C14" s="105">
        <v>46050</v>
      </c>
      <c r="D14" s="1" t="s">
        <v>544</v>
      </c>
      <c r="E14" s="107">
        <v>0.05</v>
      </c>
      <c r="F14" s="109" t="s">
        <v>15</v>
      </c>
      <c r="G14" s="108" t="str">
        <f t="shared" si="0"/>
        <v>n/a</v>
      </c>
      <c r="H14" s="109" t="s">
        <v>15</v>
      </c>
      <c r="I14" s="106" t="str">
        <f t="shared" si="1"/>
        <v>Pending</v>
      </c>
      <c r="J14" s="1" t="s">
        <v>546</v>
      </c>
      <c r="K14" s="1" t="s">
        <v>562</v>
      </c>
      <c r="L14" s="49" t="s">
        <v>563</v>
      </c>
    </row>
    <row r="15" ht="15" customHeight="1">
      <c r="A15" s="1"/>
      <c r="B15" s="1" t="s">
        <v>564</v>
      </c>
      <c r="C15" s="105">
        <v>46050</v>
      </c>
      <c r="D15" s="1" t="s">
        <v>544</v>
      </c>
      <c r="E15" s="107">
        <v>0.06</v>
      </c>
      <c r="F15" s="109" t="s">
        <v>15</v>
      </c>
      <c r="G15" s="108" t="str">
        <f t="shared" si="0"/>
        <v>n/a</v>
      </c>
      <c r="H15" s="109" t="s">
        <v>15</v>
      </c>
      <c r="I15" s="106" t="str">
        <f t="shared" si="1"/>
        <v>Pending</v>
      </c>
      <c r="J15" s="1" t="s">
        <v>546</v>
      </c>
      <c r="K15" s="1" t="s">
        <v>565</v>
      </c>
      <c r="L15" s="49" t="s">
        <v>566</v>
      </c>
    </row>
    <row r="16" ht="15" customHeight="1">
      <c r="A16" s="1"/>
      <c r="B16" s="1" t="s">
        <v>567</v>
      </c>
      <c r="C16" s="105">
        <v>46050</v>
      </c>
      <c r="D16" s="1" t="s">
        <v>544</v>
      </c>
      <c r="E16" s="107">
        <v>-0.2</v>
      </c>
      <c r="F16" s="109" t="s">
        <v>15</v>
      </c>
      <c r="G16" s="108" t="str">
        <f t="shared" si="0"/>
        <v>n/a</v>
      </c>
      <c r="H16" s="109" t="s">
        <v>15</v>
      </c>
      <c r="I16" s="106" t="str">
        <f t="shared" si="1"/>
        <v>Pending</v>
      </c>
      <c r="J16" s="1" t="s">
        <v>546</v>
      </c>
      <c r="K16" s="1" t="s">
        <v>568</v>
      </c>
      <c r="L16" s="49" t="s">
        <v>569</v>
      </c>
    </row>
    <row r="17" ht="15" customHeight="1">
      <c r="A17" s="1"/>
      <c r="B17" s="1" t="s">
        <v>570</v>
      </c>
      <c r="C17" s="105">
        <v>46225</v>
      </c>
      <c r="D17" s="1" t="s">
        <v>544</v>
      </c>
      <c r="E17" s="60">
        <v>10000</v>
      </c>
      <c r="F17" s="60">
        <v>10000</v>
      </c>
      <c r="G17" s="15">
        <f t="shared" si="0"/>
        <v>10000</v>
      </c>
      <c r="H17" s="21" t="s">
        <v>15</v>
      </c>
      <c r="I17" s="106" t="str">
        <f t="shared" si="1"/>
        <v>Pending</v>
      </c>
      <c r="J17" s="1" t="s">
        <v>571</v>
      </c>
      <c r="K17" s="1" t="s">
        <v>572</v>
      </c>
      <c r="L17" s="49" t="s">
        <v>573</v>
      </c>
    </row>
    <row r="18" ht="15" customHeight="1">
      <c r="A18" s="1"/>
      <c r="B18" s="1" t="s">
        <v>552</v>
      </c>
      <c r="C18" s="105">
        <v>46134</v>
      </c>
      <c r="D18" s="1" t="s">
        <v>574</v>
      </c>
      <c r="E18" s="60">
        <v>4000</v>
      </c>
      <c r="F18" s="60">
        <v>4500</v>
      </c>
      <c r="G18" s="15">
        <f t="shared" si="0"/>
        <v>4250</v>
      </c>
      <c r="H18" s="14">
        <f>'Income Statement'!G155</f>
        <v>4670</v>
      </c>
      <c r="I18" s="110" t="str">
        <f t="shared" si="1"/>
        <v>Beat (above high end)</v>
      </c>
      <c r="J18" s="1" t="s">
        <v>576</v>
      </c>
      <c r="K18" s="1" t="s">
        <v>556</v>
      </c>
      <c r="L18" s="49"/>
    </row>
    <row r="19" ht="15" customHeight="1">
      <c r="A19" s="1"/>
      <c r="B19" s="1" t="s">
        <v>577</v>
      </c>
      <c r="C19" s="105">
        <v>46225</v>
      </c>
      <c r="D19" s="1" t="s">
        <v>578</v>
      </c>
      <c r="E19" s="21" t="s">
        <v>579</v>
      </c>
      <c r="F19" s="21" t="s">
        <v>15</v>
      </c>
      <c r="G19" s="15" t="str">
        <f t="shared" si="0"/>
        <v>n/a</v>
      </c>
      <c r="H19" s="21" t="s">
        <v>15</v>
      </c>
      <c r="I19" s="106" t="str">
        <f t="shared" si="1"/>
        <v>Pending</v>
      </c>
      <c r="J19" s="1" t="s">
        <v>576</v>
      </c>
      <c r="K19" s="1" t="s">
        <v>556</v>
      </c>
      <c r="L19" s="49" t="s">
        <v>580</v>
      </c>
    </row>
    <row r="20" ht="15" customHeight="1">
      <c r="A20" s="1"/>
      <c r="B20" s="1" t="s">
        <v>581</v>
      </c>
      <c r="C20" s="105">
        <v>46225</v>
      </c>
      <c r="D20" s="1" t="s">
        <v>582</v>
      </c>
      <c r="E20" s="111">
        <v>3.2</v>
      </c>
      <c r="F20" s="111">
        <v>3.2</v>
      </c>
      <c r="G20" s="112">
        <f t="shared" si="0"/>
        <v>3.2</v>
      </c>
      <c r="H20" s="113" t="s">
        <v>15</v>
      </c>
      <c r="I20" s="106" t="str">
        <f t="shared" si="1"/>
        <v>Pending</v>
      </c>
      <c r="J20" s="1" t="s">
        <v>576</v>
      </c>
      <c r="K20" s="1" t="s">
        <v>583</v>
      </c>
      <c r="L20" s="49" t="s">
        <v>584</v>
      </c>
    </row>
    <row r="21" ht="15" customHeight="1">
      <c r="A21" s="1"/>
      <c r="B21" s="1" t="s">
        <v>585</v>
      </c>
      <c r="C21" s="105">
        <v>45684</v>
      </c>
      <c r="D21" s="1" t="s">
        <v>586</v>
      </c>
      <c r="E21" s="21" t="s">
        <v>587</v>
      </c>
      <c r="F21" s="21" t="s">
        <v>587</v>
      </c>
      <c r="G21" s="15" t="str">
        <f t="shared" si="0"/>
        <v>n/a</v>
      </c>
      <c r="H21" s="21" t="s">
        <v>15</v>
      </c>
      <c r="I21" s="106" t="s">
        <v>588</v>
      </c>
      <c r="J21" s="1" t="s">
        <v>546</v>
      </c>
      <c r="K21" s="1" t="s">
        <v>15</v>
      </c>
      <c r="L21" s="49" t="s">
        <v>589</v>
      </c>
    </row>
    <row r="22" ht="15" customHeight="1">
      <c r="A22" s="1"/>
      <c r="B22" s="1"/>
      <c r="C22" s="1"/>
      <c r="D22" s="1"/>
      <c r="E22" s="1"/>
      <c r="F22" s="1"/>
      <c r="G22" s="1"/>
      <c r="H22" s="1"/>
      <c r="I22" s="1"/>
      <c r="J22" s="1"/>
      <c r="K22" s="1"/>
      <c r="L22" s="1"/>
    </row>
    <row r="23" ht="42" customHeight="1">
      <c r="A23" s="1"/>
      <c r="B23" s="1" t="s">
        <v>590</v>
      </c>
      <c r="C23" s="1"/>
      <c r="D23" s="1"/>
      <c r="E23" s="1"/>
      <c r="F23" s="1"/>
      <c r="G23" s="20">
        <f>G9-G26</f>
        <v>1.0799999999999998</v>
      </c>
      <c r="H23" s="1"/>
      <c r="I23" s="1"/>
      <c r="J23" s="1"/>
      <c r="K23" s="1"/>
      <c r="L23" s="114" t="s">
        <v>591</v>
      </c>
    </row>
    <row r="24" ht="56.25" customHeight="1">
      <c r="A24" s="1"/>
      <c r="B24" s="1" t="s">
        <v>592</v>
      </c>
      <c r="C24" s="1"/>
      <c r="D24" s="1"/>
      <c r="E24" s="1"/>
      <c r="F24" s="1"/>
      <c r="G24" s="55">
        <f>'Income Statement'!H129/G23</f>
        <v>0.5799771082319597</v>
      </c>
      <c r="H24" s="1"/>
      <c r="I24" s="1"/>
      <c r="J24" s="1"/>
      <c r="K24" s="1"/>
      <c r="L24" s="114" t="s">
        <v>593</v>
      </c>
    </row>
    <row r="25" ht="15" customHeight="1">
      <c r="A25" s="1"/>
      <c r="B25" s="4" t="s">
        <v>594</v>
      </c>
      <c r="C25" s="1"/>
      <c r="D25" s="1"/>
      <c r="E25" s="1"/>
      <c r="F25" s="1"/>
      <c r="G25" s="1"/>
      <c r="H25" s="1"/>
      <c r="I25" s="1"/>
      <c r="J25" s="1"/>
      <c r="K25" s="1"/>
      <c r="L25" s="1"/>
    </row>
    <row r="26" ht="15" customHeight="1">
      <c r="B26" s="1" t="s">
        <v>595</v>
      </c>
      <c r="G26" s="96">
        <v>1.22</v>
      </c>
      <c r="J26" s="1" t="s">
        <v>571</v>
      </c>
      <c r="L26" s="49" t="s">
        <v>596</v>
      </c>
    </row>
  </sheetData>
  <printOptions/>
  <pageMargins left="0.7" right="0.7" top="0.75" bottom="0.75" header="0.3" footer="0.3"/>
  <pageSetup paperSize="1" orientation="portrait"/>
  <headerFooter>
    <oddHeader>&amp;L&amp;C&amp;R</oddHeader>
    <oddFooter>&amp;L&amp;C&amp;R</oddFooter>
  </headerFooter>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1C9AD-92A8-4138-6C98-52255CB1D428}"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70.00390625" customWidth="1"/>
    <col min="3" max="3" width="16.00390625" customWidth="1"/>
    <col min="4" max="5" width="22.00390625" customWidth="1"/>
    <col min="6" max="6" width="20.00390625" customWidth="1"/>
    <col min="7" max="7" width="16.00390625" customWidth="1"/>
    <col min="8" max="8" width="20.00390625" customWidth="1"/>
    <col min="9" max="9" width="18.00390625" customWidth="1"/>
    <col min="10" max="10" width="24.00390625" customWidth="1"/>
    <col min="11" max="11" width="18.00390625" customWidth="1"/>
  </cols>
  <sheetData>
    <row r="1" ht="15" customHeight="1">
      <c r="A1" s="1"/>
      <c r="B1" s="2" t="s">
        <v>0</v>
      </c>
      <c r="C1" s="1"/>
      <c r="D1" s="1"/>
      <c r="E1" s="1"/>
      <c r="F1" s="1"/>
      <c r="G1" s="1"/>
      <c r="H1" s="1"/>
      <c r="I1" s="1"/>
      <c r="J1" s="1"/>
      <c r="K1" s="1"/>
    </row>
    <row r="2" ht="15" customHeight="1">
      <c r="A2" s="1"/>
      <c r="B2" s="3" t="s">
        <v>597</v>
      </c>
      <c r="C2" s="1"/>
      <c r="D2" s="1"/>
      <c r="E2" s="1"/>
      <c r="F2" s="1"/>
      <c r="G2" s="1"/>
      <c r="H2" s="1"/>
      <c r="I2" s="1"/>
      <c r="J2" s="1"/>
      <c r="K2" s="1"/>
    </row>
    <row r="3" ht="15" customHeight="1">
      <c r="A3" s="1"/>
      <c r="B3" s="4" t="s">
        <v>2</v>
      </c>
      <c r="C3" s="1"/>
      <c r="D3" s="1"/>
      <c r="E3" s="1"/>
      <c r="F3" s="1"/>
      <c r="G3" s="1"/>
      <c r="H3" s="1"/>
      <c r="I3" s="1"/>
      <c r="J3" s="4"/>
      <c r="K3" s="1"/>
    </row>
    <row r="4" ht="15" customHeight="1">
      <c r="A4" s="1"/>
      <c r="B4" s="5" t="s">
        <v>3</v>
      </c>
      <c r="C4" s="6" t="s">
        <v>4</v>
      </c>
      <c r="D4" s="6"/>
      <c r="E4" s="6"/>
      <c r="F4" s="6"/>
      <c r="G4" s="6"/>
      <c r="H4" s="6"/>
      <c r="I4" s="6"/>
      <c r="J4" s="6"/>
      <c r="K4" s="6"/>
    </row>
    <row r="5" ht="15" customHeight="1">
      <c r="A5" s="1"/>
      <c r="B5" s="7" t="s">
        <v>5</v>
      </c>
      <c r="C5" s="8">
        <v>46295</v>
      </c>
      <c r="D5" s="44"/>
      <c r="E5" s="44"/>
      <c r="F5" s="44"/>
      <c r="G5" s="44"/>
      <c r="H5" s="44"/>
      <c r="I5" s="44"/>
      <c r="J5" s="44"/>
      <c r="K5" s="44"/>
    </row>
    <row r="6" ht="15" customHeight="1">
      <c r="A6" s="1"/>
      <c r="B6" s="9" t="s">
        <v>6</v>
      </c>
      <c r="C6" s="10">
        <f>C5-EOMONTH(C5,-3)</f>
        <v>92</v>
      </c>
      <c r="D6" s="10"/>
      <c r="E6" s="10"/>
      <c r="F6" s="10"/>
      <c r="G6" s="10"/>
      <c r="H6" s="10"/>
      <c r="I6" s="10"/>
      <c r="J6" s="10"/>
      <c r="K6" s="10"/>
    </row>
    <row r="7" ht="15" customHeight="1">
      <c r="A7" s="1"/>
      <c r="B7" s="1"/>
      <c r="C7" s="1"/>
      <c r="D7" s="1"/>
      <c r="E7" s="1"/>
      <c r="F7" s="1"/>
      <c r="G7" s="1"/>
      <c r="H7" s="1"/>
      <c r="I7" s="1"/>
      <c r="J7" s="1"/>
      <c r="K7" s="1"/>
    </row>
    <row r="8" ht="15" customHeight="1">
      <c r="A8" s="1"/>
      <c r="B8" s="3" t="s">
        <v>598</v>
      </c>
      <c r="C8" s="1"/>
      <c r="D8" s="1"/>
      <c r="E8" s="1"/>
      <c r="F8" s="1"/>
      <c r="G8" s="1"/>
      <c r="H8" s="1"/>
      <c r="I8" s="1"/>
      <c r="J8" s="1"/>
      <c r="K8" s="1"/>
    </row>
    <row r="9" ht="15" customHeight="1">
      <c r="A9" s="1"/>
      <c r="B9" s="115" t="s">
        <v>599</v>
      </c>
      <c r="C9" s="115" t="s">
        <v>600</v>
      </c>
      <c r="D9" s="115"/>
      <c r="E9" s="1"/>
      <c r="F9" s="1"/>
      <c r="G9" s="1"/>
      <c r="H9" s="1"/>
      <c r="I9" s="1"/>
      <c r="J9" s="1"/>
      <c r="K9" s="1"/>
    </row>
    <row r="10" ht="15" customHeight="1">
      <c r="A10" s="1"/>
      <c r="B10" s="1" t="s">
        <v>601</v>
      </c>
      <c r="C10" s="1" t="s">
        <v>602</v>
      </c>
      <c r="D10" s="1"/>
      <c r="E10" s="1"/>
      <c r="F10" s="1"/>
      <c r="G10" s="1"/>
      <c r="H10" s="1"/>
      <c r="I10" s="1"/>
      <c r="J10" s="1"/>
      <c r="K10" s="1"/>
    </row>
    <row r="11" ht="15" customHeight="1">
      <c r="A11" s="1"/>
      <c r="B11" s="1" t="s">
        <v>603</v>
      </c>
      <c r="C11" s="1" t="s">
        <v>29</v>
      </c>
      <c r="D11" s="1"/>
      <c r="E11" s="1"/>
      <c r="F11" s="1"/>
      <c r="G11" s="1"/>
      <c r="H11" s="1"/>
      <c r="I11" s="1"/>
      <c r="J11" s="1"/>
      <c r="K11" s="1"/>
    </row>
    <row r="12" ht="15" customHeight="1">
      <c r="A12" s="1"/>
      <c r="B12" s="1" t="s">
        <v>604</v>
      </c>
      <c r="C12" s="1" t="s">
        <v>605</v>
      </c>
      <c r="D12" s="1"/>
      <c r="E12" s="1"/>
      <c r="F12" s="1"/>
      <c r="G12" s="1"/>
      <c r="H12" s="1"/>
      <c r="I12" s="1"/>
      <c r="J12" s="1"/>
      <c r="K12" s="1"/>
    </row>
    <row r="13" ht="15" customHeight="1">
      <c r="A13" s="1"/>
      <c r="B13" s="1" t="s">
        <v>606</v>
      </c>
      <c r="C13" s="1">
        <v>100231</v>
      </c>
      <c r="D13" s="1"/>
      <c r="E13" s="1"/>
      <c r="F13" s="1"/>
      <c r="G13" s="1"/>
      <c r="H13" s="1"/>
      <c r="I13" s="1"/>
      <c r="J13" s="1"/>
      <c r="K13" s="1"/>
    </row>
    <row r="14" ht="15" customHeight="1">
      <c r="A14" s="1"/>
      <c r="B14" s="1" t="s">
        <v>607</v>
      </c>
      <c r="C14" s="1" t="s">
        <v>608</v>
      </c>
      <c r="D14" s="1"/>
      <c r="E14" s="1"/>
      <c r="F14" s="1"/>
      <c r="G14" s="1"/>
      <c r="H14" s="1"/>
      <c r="I14" s="1"/>
      <c r="J14" s="1"/>
      <c r="K14" s="1"/>
    </row>
    <row r="15" ht="15" customHeight="1">
      <c r="A15" s="1"/>
      <c r="B15" s="1" t="s">
        <v>609</v>
      </c>
      <c r="C15" s="1" t="s">
        <v>610</v>
      </c>
      <c r="D15" s="1"/>
      <c r="E15" s="1"/>
      <c r="F15" s="1"/>
      <c r="G15" s="1"/>
      <c r="H15" s="1"/>
      <c r="I15" s="1"/>
      <c r="J15" s="1"/>
      <c r="K15" s="1"/>
    </row>
    <row r="16" ht="15" customHeight="1">
      <c r="A16" s="1"/>
      <c r="B16" s="1" t="s">
        <v>611</v>
      </c>
      <c r="C16" s="1" t="s">
        <v>612</v>
      </c>
      <c r="D16" s="1"/>
      <c r="E16" s="1"/>
      <c r="F16" s="1"/>
      <c r="G16" s="1"/>
      <c r="H16" s="1"/>
      <c r="I16" s="1"/>
      <c r="J16" s="1"/>
      <c r="K16" s="1"/>
    </row>
    <row r="17" ht="15" customHeight="1">
      <c r="A17" s="1"/>
      <c r="B17" s="1" t="s">
        <v>613</v>
      </c>
      <c r="C17" s="116">
        <v>46295</v>
      </c>
      <c r="D17" s="1"/>
      <c r="E17" s="1"/>
      <c r="F17" s="1"/>
      <c r="G17" s="1"/>
      <c r="H17" s="1"/>
      <c r="I17" s="1"/>
      <c r="J17" s="1"/>
      <c r="K17" s="1"/>
    </row>
    <row r="18" ht="15" customHeight="1">
      <c r="A18" s="1"/>
      <c r="B18" s="1" t="s">
        <v>614</v>
      </c>
      <c r="C18" s="116">
        <v>46316</v>
      </c>
      <c r="D18" s="1"/>
      <c r="E18" s="1"/>
      <c r="F18" s="1"/>
      <c r="G18" s="1"/>
      <c r="H18" s="1"/>
      <c r="I18" s="1"/>
      <c r="J18" s="1"/>
      <c r="K18" s="1"/>
    </row>
    <row r="19" ht="15" customHeight="1">
      <c r="A19" s="1"/>
      <c r="B19" s="1" t="s">
        <v>615</v>
      </c>
      <c r="C19" s="1" t="s">
        <v>616</v>
      </c>
      <c r="D19" s="1"/>
      <c r="E19" s="1"/>
      <c r="F19" s="1"/>
      <c r="G19" s="1"/>
      <c r="H19" s="1"/>
      <c r="I19" s="1"/>
      <c r="J19" s="1"/>
      <c r="K19" s="1"/>
    </row>
    <row r="20" ht="15" customHeight="1">
      <c r="A20" s="1"/>
      <c r="B20" s="1" t="s">
        <v>617</v>
      </c>
      <c r="C20" s="117">
        <v>19</v>
      </c>
      <c r="D20" s="1"/>
      <c r="E20" s="1"/>
      <c r="F20" s="1"/>
      <c r="G20" s="1"/>
      <c r="H20" s="1"/>
      <c r="I20" s="1"/>
      <c r="J20" s="1"/>
      <c r="K20" s="1"/>
    </row>
    <row r="21" ht="15" customHeight="1">
      <c r="A21" s="1"/>
      <c r="B21" s="1" t="s">
        <v>618</v>
      </c>
      <c r="C21" s="117">
        <v>19</v>
      </c>
      <c r="D21" s="1"/>
      <c r="E21" s="1"/>
      <c r="F21" s="1"/>
      <c r="G21" s="1"/>
      <c r="H21" s="1"/>
      <c r="I21" s="1"/>
      <c r="J21" s="1"/>
      <c r="K21" s="1"/>
    </row>
    <row r="22" ht="15" customHeight="1">
      <c r="A22" s="1"/>
      <c r="B22" s="1" t="s">
        <v>619</v>
      </c>
      <c r="C22" s="1"/>
      <c r="D22" s="1"/>
      <c r="E22" s="1"/>
      <c r="F22" s="1"/>
      <c r="G22" s="1"/>
      <c r="H22" s="1"/>
      <c r="I22" s="1"/>
      <c r="J22" s="1"/>
      <c r="K22" s="1"/>
    </row>
    <row r="23" ht="15" customHeight="1">
      <c r="A23" s="1"/>
      <c r="B23" s="1" t="s">
        <v>620</v>
      </c>
      <c r="C23" s="117">
        <v>0.6</v>
      </c>
      <c r="D23" s="1"/>
      <c r="E23" s="1"/>
      <c r="F23" s="1"/>
      <c r="G23" s="1"/>
      <c r="H23" s="1"/>
      <c r="I23" s="1"/>
      <c r="J23" s="1"/>
      <c r="K23" s="1"/>
    </row>
    <row r="24" ht="15" customHeight="1">
      <c r="A24" s="1"/>
      <c r="B24" s="1" t="s">
        <v>621</v>
      </c>
      <c r="C24" s="117">
        <v>0.6</v>
      </c>
      <c r="D24" s="1"/>
      <c r="E24" s="1"/>
      <c r="F24" s="1"/>
      <c r="G24" s="1"/>
      <c r="H24" s="1"/>
      <c r="I24" s="1"/>
      <c r="J24" s="1"/>
      <c r="K24" s="1"/>
    </row>
    <row r="25" ht="15" customHeight="1">
      <c r="A25" s="1"/>
      <c r="B25" s="1" t="s">
        <v>622</v>
      </c>
      <c r="C25" s="117">
        <v>0.63</v>
      </c>
      <c r="D25" s="1"/>
      <c r="E25" s="1"/>
      <c r="F25" s="1"/>
      <c r="G25" s="1"/>
      <c r="H25" s="1"/>
      <c r="I25" s="1"/>
      <c r="J25" s="1"/>
      <c r="K25" s="1"/>
    </row>
    <row r="26" ht="15" customHeight="1">
      <c r="A26" s="1"/>
      <c r="B26" s="1" t="s">
        <v>623</v>
      </c>
      <c r="C26" s="117">
        <v>0.56</v>
      </c>
      <c r="D26" s="1"/>
      <c r="E26" s="1"/>
      <c r="F26" s="1"/>
      <c r="G26" s="1"/>
      <c r="H26" s="1"/>
      <c r="I26" s="1"/>
      <c r="J26" s="1"/>
      <c r="K26" s="1"/>
    </row>
    <row r="27" ht="15" customHeight="1">
      <c r="A27" s="1"/>
      <c r="B27" s="1" t="s">
        <v>624</v>
      </c>
      <c r="C27" s="117">
        <v>0.02</v>
      </c>
      <c r="D27" s="1"/>
      <c r="E27" s="1"/>
      <c r="F27" s="1"/>
      <c r="G27" s="1"/>
      <c r="H27" s="1"/>
      <c r="I27" s="1"/>
      <c r="J27" s="1"/>
      <c r="K27" s="1"/>
    </row>
    <row r="28" ht="15" customHeight="1">
      <c r="A28" s="1"/>
      <c r="B28" s="1" t="s">
        <v>625</v>
      </c>
      <c r="C28" s="117">
        <v>19</v>
      </c>
      <c r="D28" s="1"/>
      <c r="E28" s="1"/>
      <c r="F28" s="1"/>
      <c r="G28" s="1"/>
      <c r="H28" s="1"/>
      <c r="I28" s="1"/>
      <c r="J28" s="1"/>
      <c r="K28" s="1"/>
    </row>
    <row r="29" ht="15" customHeight="1">
      <c r="A29" s="1"/>
      <c r="B29" s="1" t="s">
        <v>626</v>
      </c>
      <c r="C29" s="1"/>
      <c r="D29" s="1"/>
      <c r="E29" s="1"/>
      <c r="F29" s="1"/>
      <c r="G29" s="1"/>
      <c r="H29" s="1"/>
      <c r="I29" s="1"/>
      <c r="J29" s="1"/>
      <c r="K29" s="1"/>
    </row>
    <row r="30" ht="15" customHeight="1">
      <c r="A30" s="1"/>
      <c r="B30" s="1" t="s">
        <v>627</v>
      </c>
      <c r="C30" s="1"/>
      <c r="D30" s="1"/>
      <c r="E30" s="1"/>
      <c r="F30" s="1"/>
      <c r="G30" s="1"/>
      <c r="H30" s="1"/>
      <c r="I30" s="1"/>
      <c r="J30" s="1"/>
      <c r="K30" s="1"/>
    </row>
    <row r="31" ht="15" customHeight="1">
      <c r="A31" s="1"/>
      <c r="B31" s="1" t="s">
        <v>628</v>
      </c>
      <c r="C31" s="1"/>
      <c r="D31" s="1"/>
      <c r="E31" s="1"/>
      <c r="F31" s="1"/>
      <c r="G31" s="1"/>
      <c r="H31" s="1"/>
      <c r="I31" s="1"/>
      <c r="J31" s="1"/>
      <c r="K31" s="1"/>
    </row>
    <row r="32" ht="15" customHeight="1">
      <c r="A32" s="1"/>
      <c r="B32" s="1" t="s">
        <v>629</v>
      </c>
      <c r="C32" s="117">
        <v>0.62</v>
      </c>
      <c r="D32" s="1"/>
      <c r="E32" s="1"/>
      <c r="F32" s="1"/>
      <c r="G32" s="1"/>
      <c r="H32" s="1"/>
      <c r="I32" s="1"/>
      <c r="J32" s="1"/>
      <c r="K32" s="1"/>
    </row>
    <row r="33" ht="15" customHeight="1">
      <c r="A33" s="1"/>
      <c r="B33" s="1" t="s">
        <v>630</v>
      </c>
      <c r="C33" s="117">
        <v>0.62</v>
      </c>
      <c r="D33" s="1"/>
      <c r="E33" s="1"/>
      <c r="F33" s="1"/>
      <c r="G33" s="1"/>
      <c r="H33" s="1"/>
      <c r="I33" s="1"/>
      <c r="J33" s="1"/>
      <c r="K33" s="1"/>
    </row>
    <row r="34" ht="15" customHeight="1">
      <c r="A34" s="1"/>
      <c r="B34" s="1" t="s">
        <v>631</v>
      </c>
      <c r="C34" s="117">
        <v>0.63</v>
      </c>
      <c r="D34" s="1"/>
      <c r="E34" s="1"/>
      <c r="F34" s="1"/>
      <c r="G34" s="1"/>
      <c r="H34" s="1"/>
      <c r="I34" s="1"/>
      <c r="J34" s="1"/>
      <c r="K34" s="1"/>
    </row>
    <row r="35" ht="15" customHeight="1">
      <c r="A35" s="1"/>
      <c r="B35" s="1" t="s">
        <v>632</v>
      </c>
      <c r="C35" s="117">
        <v>0.6</v>
      </c>
      <c r="D35" s="1"/>
      <c r="E35" s="1"/>
      <c r="F35" s="1"/>
      <c r="G35" s="1"/>
      <c r="H35" s="1"/>
      <c r="I35" s="1"/>
      <c r="J35" s="1"/>
      <c r="K35" s="1"/>
    </row>
    <row r="36" ht="15" customHeight="1">
      <c r="A36" s="1"/>
      <c r="B36" s="1" t="s">
        <v>633</v>
      </c>
      <c r="C36" s="117">
        <v>0.01</v>
      </c>
      <c r="D36" s="1"/>
      <c r="E36" s="1"/>
      <c r="F36" s="1"/>
      <c r="G36" s="1"/>
      <c r="H36" s="1"/>
      <c r="I36" s="1"/>
      <c r="J36" s="1"/>
      <c r="K36" s="1"/>
    </row>
    <row r="37" ht="15" customHeight="1">
      <c r="A37" s="1"/>
      <c r="B37" s="1" t="s">
        <v>634</v>
      </c>
      <c r="C37" s="117">
        <v>3</v>
      </c>
      <c r="D37" s="1"/>
      <c r="E37" s="1"/>
      <c r="F37" s="1"/>
      <c r="G37" s="1"/>
      <c r="H37" s="1"/>
      <c r="I37" s="1"/>
      <c r="J37" s="1"/>
      <c r="K37" s="1"/>
    </row>
    <row r="38" ht="15" customHeight="1">
      <c r="A38" s="1"/>
      <c r="B38" s="1" t="s">
        <v>635</v>
      </c>
      <c r="C38" s="1"/>
      <c r="D38" s="1"/>
      <c r="E38" s="1"/>
      <c r="F38" s="1"/>
      <c r="G38" s="1"/>
      <c r="H38" s="1"/>
      <c r="I38" s="1"/>
      <c r="J38" s="1"/>
      <c r="K38" s="1"/>
    </row>
    <row r="39" ht="15" customHeight="1">
      <c r="A39" s="1"/>
      <c r="B39" s="1" t="s">
        <v>636</v>
      </c>
      <c r="C39" s="1"/>
      <c r="D39" s="1"/>
      <c r="E39" s="1"/>
      <c r="F39" s="1"/>
      <c r="G39" s="1"/>
      <c r="H39" s="1"/>
      <c r="I39" s="1"/>
      <c r="J39" s="1"/>
      <c r="K39" s="1"/>
    </row>
    <row r="40" ht="15" customHeight="1">
      <c r="A40" s="1"/>
      <c r="B40" s="1" t="s">
        <v>637</v>
      </c>
      <c r="C40" s="1"/>
      <c r="D40" s="1"/>
      <c r="E40" s="1"/>
      <c r="F40" s="1"/>
      <c r="G40" s="1"/>
      <c r="H40" s="1"/>
      <c r="I40" s="1"/>
      <c r="J40" s="1"/>
      <c r="K40" s="1"/>
    </row>
    <row r="41" ht="15" customHeight="1">
      <c r="A41" s="1"/>
      <c r="B41" s="1" t="s">
        <v>638</v>
      </c>
      <c r="C41" s="117">
        <v>31645.33</v>
      </c>
      <c r="D41" s="1"/>
      <c r="E41" s="1"/>
      <c r="F41" s="1"/>
      <c r="G41" s="1"/>
      <c r="H41" s="1"/>
      <c r="I41" s="1"/>
      <c r="J41" s="1"/>
      <c r="K41" s="1"/>
    </row>
    <row r="42" ht="15" customHeight="1">
      <c r="A42" s="1"/>
      <c r="B42" s="1" t="s">
        <v>639</v>
      </c>
      <c r="C42" s="117">
        <v>31643.83</v>
      </c>
      <c r="D42" s="1"/>
      <c r="E42" s="1"/>
      <c r="F42" s="1"/>
      <c r="G42" s="1"/>
      <c r="H42" s="1"/>
      <c r="I42" s="1"/>
      <c r="J42" s="1"/>
      <c r="K42" s="1"/>
    </row>
    <row r="43" ht="15" customHeight="1">
      <c r="A43" s="1"/>
      <c r="B43" s="1" t="s">
        <v>640</v>
      </c>
      <c r="C43" s="117">
        <v>31856</v>
      </c>
      <c r="D43" s="1"/>
      <c r="E43" s="1"/>
      <c r="F43" s="1"/>
      <c r="G43" s="1"/>
      <c r="H43" s="1"/>
      <c r="I43" s="1"/>
      <c r="J43" s="1"/>
      <c r="K43" s="1"/>
    </row>
    <row r="44" ht="15" customHeight="1">
      <c r="A44" s="1"/>
      <c r="B44" s="1" t="s">
        <v>641</v>
      </c>
      <c r="C44" s="117">
        <v>31240.28</v>
      </c>
      <c r="D44" s="1"/>
      <c r="E44" s="1"/>
      <c r="F44" s="1"/>
      <c r="G44" s="1"/>
      <c r="H44" s="1"/>
      <c r="I44" s="1"/>
      <c r="J44" s="1"/>
      <c r="K44" s="1"/>
    </row>
    <row r="45" ht="15" customHeight="1">
      <c r="A45" s="1"/>
      <c r="B45" s="1" t="s">
        <v>642</v>
      </c>
      <c r="C45" s="117">
        <v>150.75</v>
      </c>
      <c r="D45" s="1"/>
      <c r="E45" s="1"/>
      <c r="F45" s="1"/>
      <c r="G45" s="1"/>
      <c r="H45" s="1"/>
      <c r="I45" s="1"/>
      <c r="J45" s="1"/>
      <c r="K45" s="1"/>
    </row>
    <row r="46" ht="15" customHeight="1">
      <c r="A46" s="1"/>
      <c r="B46" s="1" t="s">
        <v>643</v>
      </c>
      <c r="C46" s="117">
        <v>17</v>
      </c>
      <c r="D46" s="1"/>
      <c r="E46" s="1"/>
      <c r="F46" s="1"/>
      <c r="G46" s="1"/>
      <c r="H46" s="1"/>
      <c r="I46" s="1"/>
      <c r="J46" s="1"/>
      <c r="K46" s="1"/>
    </row>
    <row r="47" ht="15" customHeight="1">
      <c r="A47" s="1"/>
      <c r="B47" s="1" t="s">
        <v>644</v>
      </c>
      <c r="C47" s="1"/>
      <c r="D47" s="1"/>
      <c r="E47" s="1"/>
      <c r="F47" s="1"/>
      <c r="G47" s="1"/>
      <c r="H47" s="1"/>
      <c r="I47" s="1"/>
      <c r="J47" s="1"/>
      <c r="K47" s="1"/>
    </row>
    <row r="48" ht="15" customHeight="1">
      <c r="A48" s="1"/>
      <c r="B48" s="1" t="s">
        <v>645</v>
      </c>
      <c r="C48" s="1"/>
      <c r="D48" s="1"/>
      <c r="E48" s="1"/>
      <c r="F48" s="1"/>
      <c r="G48" s="1"/>
      <c r="H48" s="1"/>
      <c r="I48" s="1"/>
      <c r="J48" s="1"/>
      <c r="K48" s="1"/>
    </row>
    <row r="49" ht="15" customHeight="1">
      <c r="A49" s="1"/>
      <c r="B49" s="1" t="s">
        <v>646</v>
      </c>
      <c r="C49" s="1"/>
      <c r="D49" s="1"/>
      <c r="E49" s="1"/>
      <c r="F49" s="1"/>
      <c r="G49" s="1"/>
      <c r="H49" s="1"/>
      <c r="I49" s="1"/>
      <c r="J49" s="1"/>
      <c r="K49" s="1"/>
    </row>
    <row r="50" ht="15" customHeight="1">
      <c r="A50" s="1"/>
      <c r="B50" s="1" t="s">
        <v>647</v>
      </c>
      <c r="C50" s="117">
        <v>12322.52</v>
      </c>
      <c r="D50" s="1"/>
      <c r="E50" s="1"/>
      <c r="F50" s="1"/>
      <c r="G50" s="1"/>
      <c r="H50" s="1"/>
      <c r="I50" s="1"/>
      <c r="J50" s="1"/>
      <c r="K50" s="1"/>
    </row>
    <row r="51" ht="15" customHeight="1">
      <c r="A51" s="1"/>
      <c r="B51" s="1" t="s">
        <v>648</v>
      </c>
      <c r="C51" s="117">
        <v>7258.98</v>
      </c>
      <c r="D51" s="1"/>
      <c r="E51" s="1"/>
      <c r="F51" s="1"/>
      <c r="G51" s="1"/>
      <c r="H51" s="1"/>
      <c r="I51" s="1"/>
      <c r="J51" s="1"/>
      <c r="K51" s="1"/>
    </row>
    <row r="52" ht="15" customHeight="1">
      <c r="A52" s="1"/>
      <c r="B52" s="1" t="s">
        <v>649</v>
      </c>
      <c r="C52" s="117">
        <v>5952.33</v>
      </c>
      <c r="D52" s="1"/>
      <c r="E52" s="1"/>
      <c r="F52" s="1"/>
      <c r="G52" s="1"/>
      <c r="H52" s="1"/>
      <c r="I52" s="1"/>
      <c r="J52" s="1"/>
      <c r="K52" s="1"/>
    </row>
    <row r="53" ht="15" customHeight="1">
      <c r="A53" s="1"/>
      <c r="B53" s="1" t="s">
        <v>650</v>
      </c>
      <c r="C53" s="117">
        <v>6015.36</v>
      </c>
      <c r="D53" s="1"/>
      <c r="E53" s="1"/>
      <c r="F53" s="1"/>
      <c r="G53" s="1"/>
      <c r="H53" s="1"/>
      <c r="I53" s="1"/>
      <c r="J53" s="1"/>
      <c r="K53" s="1"/>
    </row>
    <row r="54" ht="15" customHeight="1">
      <c r="A54" s="1"/>
      <c r="B54" s="1" t="s">
        <v>651</v>
      </c>
      <c r="C54" s="117">
        <v>4199.65</v>
      </c>
      <c r="D54" s="1"/>
      <c r="E54" s="1"/>
      <c r="F54" s="1"/>
      <c r="G54" s="1"/>
      <c r="H54" s="1"/>
      <c r="I54" s="1"/>
      <c r="J54" s="1"/>
      <c r="K54" s="1"/>
    </row>
    <row r="55" ht="15" customHeight="1">
      <c r="A55" s="1"/>
      <c r="B55" s="1" t="s">
        <v>652</v>
      </c>
      <c r="C55" s="117">
        <v>4225.5</v>
      </c>
      <c r="D55" s="1"/>
      <c r="E55" s="1"/>
      <c r="F55" s="1"/>
      <c r="G55" s="1"/>
      <c r="H55" s="1"/>
      <c r="I55" s="1"/>
      <c r="J55" s="1"/>
      <c r="K55" s="1"/>
    </row>
    <row r="56" ht="15" customHeight="1">
      <c r="A56" s="1"/>
      <c r="B56" s="1" t="s">
        <v>653</v>
      </c>
      <c r="C56" s="1"/>
      <c r="D56" s="1"/>
      <c r="E56" s="1"/>
      <c r="F56" s="1"/>
      <c r="G56" s="1"/>
      <c r="H56" s="1"/>
      <c r="I56" s="1"/>
      <c r="J56" s="1"/>
      <c r="K56" s="1"/>
    </row>
    <row r="57" ht="15" customHeight="1">
      <c r="A57" s="1"/>
      <c r="B57" s="1" t="s">
        <v>654</v>
      </c>
      <c r="C57" s="1"/>
      <c r="D57" s="1"/>
      <c r="E57" s="1"/>
      <c r="F57" s="1"/>
      <c r="G57" s="1"/>
      <c r="H57" s="1"/>
      <c r="I57" s="1"/>
      <c r="J57" s="1"/>
      <c r="K57" s="1"/>
    </row>
    <row r="58" ht="15" customHeight="1">
      <c r="A58" s="1"/>
      <c r="B58" s="1" t="s">
        <v>655</v>
      </c>
      <c r="C58" s="117">
        <v>5083.22</v>
      </c>
      <c r="D58" s="1"/>
      <c r="E58" s="1"/>
      <c r="F58" s="1"/>
      <c r="G58" s="1"/>
      <c r="H58" s="1"/>
      <c r="I58" s="1"/>
      <c r="J58" s="1"/>
      <c r="K58" s="1"/>
    </row>
    <row r="59" ht="15" customHeight="1">
      <c r="A59" s="1"/>
      <c r="B59" s="1" t="s">
        <v>656</v>
      </c>
      <c r="C59" s="1"/>
      <c r="D59" s="1"/>
      <c r="E59" s="1"/>
      <c r="F59" s="1"/>
      <c r="G59" s="1"/>
      <c r="H59" s="1"/>
      <c r="I59" s="1"/>
      <c r="J59" s="1"/>
      <c r="K59" s="1"/>
    </row>
    <row r="60" ht="15" customHeight="1">
      <c r="A60" s="1"/>
      <c r="B60" s="1" t="s">
        <v>657</v>
      </c>
      <c r="C60" s="1"/>
      <c r="D60" s="1"/>
      <c r="E60" s="1"/>
      <c r="F60" s="1"/>
      <c r="G60" s="1"/>
      <c r="H60" s="1"/>
      <c r="I60" s="1"/>
      <c r="J60" s="1"/>
      <c r="K60" s="1"/>
    </row>
    <row r="61" ht="15" customHeight="1">
      <c r="A61" s="1"/>
      <c r="B61" s="1" t="s">
        <v>658</v>
      </c>
      <c r="C61" s="1"/>
      <c r="D61" s="1"/>
      <c r="E61" s="1"/>
      <c r="F61" s="1"/>
      <c r="G61" s="1"/>
      <c r="H61" s="1"/>
      <c r="I61" s="1"/>
      <c r="J61" s="1"/>
      <c r="K61" s="1"/>
    </row>
    <row r="62" ht="15" customHeight="1">
      <c r="A62" s="1"/>
      <c r="B62" s="1" t="s">
        <v>659</v>
      </c>
      <c r="C62" s="117">
        <v>-1895.82</v>
      </c>
      <c r="D62" s="1"/>
      <c r="E62" s="1"/>
      <c r="F62" s="1"/>
      <c r="G62" s="1"/>
      <c r="H62" s="1"/>
      <c r="I62" s="1"/>
      <c r="J62" s="1"/>
      <c r="K62" s="1"/>
    </row>
    <row r="63" ht="15" customHeight="1">
      <c r="A63" s="1"/>
      <c r="B63" s="1" t="s">
        <v>660</v>
      </c>
      <c r="C63" s="117">
        <v>147291.84</v>
      </c>
      <c r="D63" s="1"/>
      <c r="E63" s="1"/>
      <c r="F63" s="1"/>
      <c r="G63" s="1"/>
      <c r="H63" s="1"/>
      <c r="I63" s="1"/>
      <c r="J63" s="1"/>
      <c r="K63" s="1"/>
    </row>
    <row r="64" ht="15" customHeight="1">
      <c r="A64" s="1"/>
      <c r="B64" s="1" t="s">
        <v>661</v>
      </c>
      <c r="C64" s="1"/>
      <c r="D64" s="1"/>
      <c r="E64" s="1"/>
      <c r="F64" s="1"/>
      <c r="G64" s="1"/>
      <c r="H64" s="1"/>
      <c r="I64" s="1"/>
      <c r="J64" s="1"/>
      <c r="K64" s="1"/>
    </row>
    <row r="65" ht="15" customHeight="1">
      <c r="A65" s="1"/>
      <c r="B65" s="1" t="s">
        <v>662</v>
      </c>
      <c r="C65" s="1"/>
      <c r="D65" s="1"/>
      <c r="E65" s="1"/>
      <c r="F65" s="1"/>
      <c r="G65" s="1"/>
      <c r="H65" s="1"/>
      <c r="I65" s="1"/>
      <c r="J65" s="1"/>
      <c r="K65" s="1"/>
    </row>
    <row r="66" ht="15" customHeight="1">
      <c r="A66" s="1"/>
      <c r="B66" s="1" t="s">
        <v>663</v>
      </c>
      <c r="C66" s="117">
        <v>28.76</v>
      </c>
      <c r="D66" s="1"/>
      <c r="E66" s="1"/>
      <c r="F66" s="1"/>
      <c r="G66" s="1"/>
      <c r="H66" s="1"/>
      <c r="I66" s="1"/>
      <c r="J66" s="1"/>
      <c r="K66" s="1"/>
    </row>
    <row r="67" ht="15" customHeight="1">
      <c r="A67" s="1"/>
      <c r="B67" s="1" t="s">
        <v>664</v>
      </c>
      <c r="C67" s="117">
        <v>29</v>
      </c>
      <c r="D67" s="1"/>
      <c r="E67" s="1"/>
      <c r="F67" s="1"/>
      <c r="G67" s="1"/>
      <c r="H67" s="1"/>
      <c r="I67" s="1"/>
      <c r="J67" s="1"/>
      <c r="K67" s="1"/>
    </row>
    <row r="68" ht="15" customHeight="1">
      <c r="A68" s="1"/>
      <c r="B68" s="1" t="s">
        <v>665</v>
      </c>
      <c r="C68" s="117">
        <v>36</v>
      </c>
      <c r="D68" s="1"/>
      <c r="E68" s="1"/>
      <c r="F68" s="1"/>
      <c r="G68" s="1"/>
      <c r="H68" s="1"/>
      <c r="I68" s="1"/>
      <c r="J68" s="1"/>
      <c r="K68" s="1"/>
    </row>
    <row r="69" ht="15" customHeight="1">
      <c r="A69" s="1"/>
      <c r="B69" s="1" t="s">
        <v>666</v>
      </c>
      <c r="C69" s="117">
        <v>20</v>
      </c>
      <c r="D69" s="1"/>
      <c r="E69" s="1"/>
      <c r="F69" s="1"/>
      <c r="G69" s="1"/>
      <c r="H69" s="1"/>
      <c r="I69" s="1"/>
      <c r="J69" s="1"/>
      <c r="K69" s="1"/>
    </row>
    <row r="70" ht="15" customHeight="1">
      <c r="A70" s="1"/>
      <c r="B70" s="1" t="s">
        <v>667</v>
      </c>
      <c r="C70" s="117">
        <v>3.99</v>
      </c>
      <c r="D70" s="1"/>
      <c r="E70" s="1"/>
      <c r="F70" s="1"/>
      <c r="G70" s="1"/>
      <c r="H70" s="1"/>
      <c r="I70" s="1"/>
      <c r="J70" s="1"/>
      <c r="K70" s="1"/>
    </row>
    <row r="71" ht="15" customHeight="1">
      <c r="A71" s="1"/>
      <c r="B71" s="1" t="s">
        <v>668</v>
      </c>
      <c r="C71" s="117">
        <v>23</v>
      </c>
      <c r="D71" s="1"/>
      <c r="E71" s="1"/>
      <c r="F71" s="1"/>
      <c r="G71" s="1"/>
      <c r="H71" s="1"/>
      <c r="I71" s="1"/>
      <c r="J71" s="1"/>
      <c r="K71" s="1"/>
    </row>
    <row r="72" ht="15" customHeight="1">
      <c r="A72" s="1"/>
      <c r="B72" s="1" t="s">
        <v>669</v>
      </c>
      <c r="C72" s="1" t="s">
        <v>670</v>
      </c>
      <c r="D72" s="1"/>
      <c r="E72" s="1"/>
      <c r="F72" s="1"/>
      <c r="G72" s="1"/>
      <c r="H72" s="1"/>
      <c r="I72" s="1"/>
      <c r="J72" s="1"/>
      <c r="K72" s="1"/>
    </row>
    <row r="73" ht="15" customHeight="1">
      <c r="A73" s="1"/>
      <c r="B73" s="1" t="s">
        <v>671</v>
      </c>
      <c r="C73" s="117">
        <v>2.08</v>
      </c>
      <c r="D73" s="1"/>
      <c r="E73" s="1"/>
      <c r="F73" s="1"/>
      <c r="G73" s="1"/>
      <c r="H73" s="1"/>
      <c r="I73" s="1"/>
      <c r="J73" s="1"/>
      <c r="K73" s="1"/>
    </row>
    <row r="74" ht="15" customHeight="1">
      <c r="A74" s="1"/>
      <c r="B74" s="1" t="s">
        <v>672</v>
      </c>
      <c r="C74" s="117">
        <v>23.44</v>
      </c>
      <c r="D74" s="1"/>
      <c r="E74" s="1"/>
      <c r="F74" s="1"/>
      <c r="G74" s="1"/>
      <c r="H74" s="1"/>
      <c r="I74" s="1"/>
      <c r="J74" s="1"/>
      <c r="K74" s="1"/>
    </row>
    <row r="75" ht="15" customHeight="1">
      <c r="A75" s="1"/>
      <c r="B75" s="1" t="s">
        <v>673</v>
      </c>
      <c r="C75" s="1" t="s">
        <v>674</v>
      </c>
      <c r="D75" s="1"/>
      <c r="E75" s="1"/>
      <c r="F75" s="1"/>
      <c r="G75" s="1"/>
      <c r="H75" s="1"/>
      <c r="I75" s="1"/>
      <c r="J75" s="1"/>
      <c r="K75" s="1"/>
    </row>
    <row r="76" ht="15" customHeight="1">
      <c r="A76" s="1"/>
      <c r="B76" s="1" t="s">
        <v>675</v>
      </c>
      <c r="C76" s="116">
        <v>46313</v>
      </c>
      <c r="D76" s="1"/>
      <c r="E76" s="1"/>
      <c r="F76" s="1"/>
      <c r="G76" s="1"/>
      <c r="H76" s="1"/>
      <c r="I76" s="1"/>
      <c r="J76" s="1"/>
      <c r="K76" s="1"/>
    </row>
    <row r="77" ht="15" customHeight="1">
      <c r="A77" s="1"/>
      <c r="B77" s="1" t="s">
        <v>676</v>
      </c>
      <c r="C77" s="1" t="s">
        <v>677</v>
      </c>
      <c r="D77" s="1"/>
      <c r="E77" s="1"/>
      <c r="F77" s="1"/>
      <c r="G77" s="1"/>
      <c r="H77" s="1"/>
      <c r="I77" s="1"/>
      <c r="J77" s="1"/>
      <c r="K77" s="1"/>
    </row>
    <row r="78" ht="15" customHeight="1">
      <c r="A78" s="1"/>
      <c r="B78" s="1"/>
      <c r="C78" s="1"/>
      <c r="D78" s="1"/>
      <c r="E78" s="1"/>
      <c r="F78" s="1"/>
      <c r="G78" s="1"/>
      <c r="H78" s="1"/>
      <c r="I78" s="1"/>
      <c r="J78" s="1"/>
      <c r="K78" s="1"/>
    </row>
    <row r="79" ht="15" customHeight="1">
      <c r="A79" s="1"/>
      <c r="B79" s="1" t="s">
        <v>678</v>
      </c>
      <c r="C79" s="1"/>
      <c r="D79" s="1"/>
      <c r="E79" s="1"/>
      <c r="F79" s="1"/>
      <c r="G79" s="1"/>
      <c r="H79" s="1"/>
      <c r="I79" s="1"/>
      <c r="J79" s="1"/>
      <c r="K79" s="1"/>
    </row>
    <row r="80" ht="15" customHeight="1">
      <c r="A80" s="1"/>
      <c r="B80" s="1" t="s">
        <v>679</v>
      </c>
      <c r="C80" s="1" t="s">
        <v>680</v>
      </c>
      <c r="D80" s="1"/>
      <c r="E80" s="1"/>
      <c r="F80" s="1"/>
      <c r="G80" s="1"/>
      <c r="H80" s="1"/>
      <c r="I80" s="1"/>
      <c r="J80" s="1"/>
      <c r="K80" s="1"/>
    </row>
    <row r="81" ht="15" customHeight="1">
      <c r="A81" s="1"/>
      <c r="B81" s="1" t="s">
        <v>681</v>
      </c>
      <c r="C81" s="116">
        <v>46313</v>
      </c>
      <c r="D81" s="1"/>
      <c r="E81" s="1"/>
      <c r="F81" s="1"/>
      <c r="G81" s="1"/>
      <c r="H81" s="1"/>
      <c r="I81" s="1"/>
      <c r="J81" s="1"/>
      <c r="K81" s="1"/>
    </row>
    <row r="82" ht="15" customHeight="1">
      <c r="A82" s="1"/>
      <c r="B82" s="1" t="s">
        <v>682</v>
      </c>
      <c r="C82" s="117">
        <v>19</v>
      </c>
      <c r="D82" s="1"/>
      <c r="E82" s="1"/>
      <c r="F82" s="1"/>
      <c r="G82" s="1"/>
      <c r="H82" s="1"/>
      <c r="I82" s="1"/>
      <c r="J82" s="1"/>
      <c r="K82" s="1"/>
    </row>
    <row r="83" ht="15" customHeight="1">
      <c r="A83" s="1"/>
      <c r="B83" s="1" t="s">
        <v>683</v>
      </c>
      <c r="C83" s="117">
        <v>0.6</v>
      </c>
      <c r="D83" s="1"/>
      <c r="E83" s="1"/>
      <c r="F83" s="1"/>
      <c r="G83" s="1"/>
      <c r="H83" s="1"/>
      <c r="I83" s="1"/>
      <c r="J83" s="1"/>
      <c r="K83" s="1"/>
    </row>
    <row r="84" ht="15" customHeight="1">
      <c r="A84" s="1"/>
      <c r="B84" s="1" t="s">
        <v>684</v>
      </c>
      <c r="C84" s="117">
        <v>31645.33</v>
      </c>
      <c r="D84" s="1"/>
      <c r="E84" s="1"/>
      <c r="F84" s="1"/>
      <c r="G84" s="1"/>
      <c r="H84" s="1"/>
      <c r="I84" s="1"/>
      <c r="J84" s="1"/>
      <c r="K84" s="1"/>
    </row>
    <row r="85" ht="15" customHeight="1">
      <c r="A85" s="1"/>
      <c r="B85" s="1" t="s">
        <v>685</v>
      </c>
      <c r="C85" s="1" t="s">
        <v>608</v>
      </c>
      <c r="D85" s="1"/>
      <c r="E85" s="1"/>
      <c r="F85" s="1"/>
      <c r="G85" s="1"/>
      <c r="H85" s="1"/>
      <c r="I85" s="1"/>
      <c r="J85" s="1"/>
      <c r="K85" s="1"/>
    </row>
    <row r="86" ht="15" customHeight="1">
      <c r="A86" s="1"/>
      <c r="B86" s="1" t="s">
        <v>615</v>
      </c>
      <c r="C86" s="1" t="s">
        <v>686</v>
      </c>
      <c r="D86" s="1"/>
      <c r="E86" s="1"/>
      <c r="F86" s="1"/>
      <c r="G86" s="1"/>
      <c r="H86" s="1"/>
      <c r="I86" s="1"/>
      <c r="J86" s="1"/>
      <c r="K86" s="1"/>
    </row>
    <row r="87" ht="15" customHeight="1">
      <c r="A87" s="1"/>
      <c r="B87" s="1" t="s">
        <v>687</v>
      </c>
      <c r="C87" s="1" t="s">
        <v>688</v>
      </c>
      <c r="D87" s="1"/>
      <c r="E87" s="1"/>
      <c r="F87" s="1"/>
      <c r="G87" s="1"/>
      <c r="H87" s="1"/>
      <c r="I87" s="1"/>
      <c r="J87" s="1"/>
      <c r="K87" s="1"/>
    </row>
    <row r="88" ht="15" customHeight="1">
      <c r="A88" s="1"/>
      <c r="B88" s="1" t="s">
        <v>689</v>
      </c>
      <c r="C88" s="1" t="s">
        <v>690</v>
      </c>
      <c r="D88" s="1"/>
      <c r="E88" s="1"/>
      <c r="F88" s="1"/>
      <c r="G88" s="1"/>
      <c r="H88" s="1"/>
      <c r="I88" s="1"/>
      <c r="J88" s="1"/>
      <c r="K88" s="1"/>
    </row>
    <row r="89" ht="15" customHeight="1">
      <c r="A89" s="1"/>
      <c r="B89" s="1"/>
      <c r="C89" s="1"/>
      <c r="D89" s="1"/>
      <c r="E89" s="1"/>
      <c r="F89" s="1"/>
      <c r="G89" s="1"/>
      <c r="H89" s="1"/>
      <c r="I89" s="1"/>
      <c r="J89" s="1"/>
      <c r="K89" s="1"/>
    </row>
    <row r="90" ht="15" customHeight="1">
      <c r="A90" s="1"/>
      <c r="B90" s="3" t="s">
        <v>691</v>
      </c>
      <c r="C90" s="1"/>
      <c r="D90" s="1"/>
      <c r="E90" s="1"/>
      <c r="F90" s="1"/>
      <c r="G90" s="1"/>
      <c r="H90" s="1"/>
      <c r="I90" s="1"/>
      <c r="J90" s="1"/>
      <c r="K90" s="1"/>
    </row>
    <row r="91" ht="15" customHeight="1">
      <c r="A91" s="1"/>
      <c r="B91" s="118" t="s">
        <v>692</v>
      </c>
      <c r="C91" s="118" t="s">
        <v>693</v>
      </c>
      <c r="D91" s="118" t="s">
        <v>694</v>
      </c>
      <c r="E91" s="118" t="s">
        <v>695</v>
      </c>
      <c r="F91" s="118" t="s">
        <v>696</v>
      </c>
      <c r="G91" s="118" t="s">
        <v>697</v>
      </c>
      <c r="H91" s="118" t="s">
        <v>698</v>
      </c>
      <c r="I91" s="118" t="s">
        <v>699</v>
      </c>
      <c r="J91" s="118" t="s">
        <v>700</v>
      </c>
      <c r="K91" s="118" t="s">
        <v>701</v>
      </c>
    </row>
    <row r="92" ht="15" customHeight="1">
      <c r="A92" s="1"/>
      <c r="B92" s="105">
        <v>45747</v>
      </c>
      <c r="C92" s="105">
        <v>45770</v>
      </c>
      <c r="D92" s="119">
        <v>0.51</v>
      </c>
      <c r="E92" s="119">
        <v>0.51</v>
      </c>
      <c r="F92" s="119">
        <v>0.49</v>
      </c>
      <c r="G92" s="119">
        <v>0.61</v>
      </c>
      <c r="H92" s="120">
        <v>30361.99</v>
      </c>
      <c r="I92" s="120">
        <v>30626</v>
      </c>
      <c r="J92" s="121">
        <f t="shared" si="0" ref="J92:J97">IF(E92&gt;D92,1,0)</f>
        <v>0</v>
      </c>
      <c r="K92" s="122">
        <f t="shared" si="1" ref="K92:K97">E92-D92</f>
        <v>0</v>
      </c>
    </row>
    <row r="93" ht="15" customHeight="1">
      <c r="A93" s="1"/>
      <c r="B93" s="105">
        <v>45838</v>
      </c>
      <c r="C93" s="105">
        <v>45861</v>
      </c>
      <c r="D93" s="119">
        <v>0.53</v>
      </c>
      <c r="E93" s="119">
        <v>0.54</v>
      </c>
      <c r="F93" s="119">
        <v>0.53</v>
      </c>
      <c r="G93" s="119">
        <v>0.62</v>
      </c>
      <c r="H93" s="120">
        <v>30475.82</v>
      </c>
      <c r="I93" s="120">
        <v>30847</v>
      </c>
      <c r="J93" s="121">
        <f t="shared" si="0"/>
        <v>1</v>
      </c>
      <c r="K93" s="122">
        <f t="shared" si="1"/>
        <v>0.010000000000000009</v>
      </c>
    </row>
    <row r="94" ht="15" customHeight="1">
      <c r="A94" s="1"/>
      <c r="B94" s="105">
        <v>45930</v>
      </c>
      <c r="C94" s="105">
        <v>45952</v>
      </c>
      <c r="D94" s="119">
        <v>0.54</v>
      </c>
      <c r="E94" s="119">
        <v>0.54</v>
      </c>
      <c r="F94" s="119">
        <v>0.53</v>
      </c>
      <c r="G94" s="119">
        <v>1.29</v>
      </c>
      <c r="H94" s="120">
        <v>30885.46</v>
      </c>
      <c r="I94" s="120">
        <v>30709</v>
      </c>
      <c r="J94" s="121">
        <f t="shared" si="0"/>
        <v>0</v>
      </c>
      <c r="K94" s="122">
        <f t="shared" si="1"/>
        <v>0</v>
      </c>
    </row>
    <row r="95" ht="15" customHeight="1">
      <c r="A95" s="1"/>
      <c r="B95" s="105">
        <v>46022</v>
      </c>
      <c r="C95" s="105">
        <v>46050</v>
      </c>
      <c r="D95" s="119">
        <v>0.47</v>
      </c>
      <c r="E95" s="119">
        <v>0.52</v>
      </c>
      <c r="F95" s="119">
        <v>0.46</v>
      </c>
      <c r="G95" s="119">
        <v>0.53</v>
      </c>
      <c r="H95" s="120">
        <v>32880.99</v>
      </c>
      <c r="I95" s="120">
        <v>33466</v>
      </c>
      <c r="J95" s="121">
        <f t="shared" si="0"/>
        <v>1</v>
      </c>
      <c r="K95" s="122">
        <f t="shared" si="1"/>
        <v>0.050000000000000044</v>
      </c>
    </row>
    <row r="96" ht="15" customHeight="1">
      <c r="A96" s="1"/>
      <c r="B96" s="105">
        <v>46112</v>
      </c>
      <c r="C96" s="105">
        <v>46134</v>
      </c>
      <c r="D96" s="119">
        <v>0.55</v>
      </c>
      <c r="E96" s="119">
        <v>0.57</v>
      </c>
      <c r="F96" s="119">
        <v>0.55</v>
      </c>
      <c r="G96" s="119">
        <v>0.54</v>
      </c>
      <c r="H96" s="120">
        <v>31238.64</v>
      </c>
      <c r="I96" s="120">
        <v>31506</v>
      </c>
      <c r="J96" s="121">
        <f t="shared" si="0"/>
        <v>1</v>
      </c>
      <c r="K96" s="122">
        <f t="shared" si="1"/>
        <v>0.019999999999999907</v>
      </c>
    </row>
    <row r="97" ht="15" customHeight="1">
      <c r="A97" s="1"/>
      <c r="B97" s="105">
        <v>46203</v>
      </c>
      <c r="C97" s="105">
        <v>46225</v>
      </c>
      <c r="D97" s="119">
        <v>0.59</v>
      </c>
      <c r="E97" s="119">
        <v>0.65</v>
      </c>
      <c r="F97" s="119">
        <v>0.59</v>
      </c>
      <c r="G97" s="119">
        <v>0.66</v>
      </c>
      <c r="H97" s="120">
        <v>31809.89</v>
      </c>
      <c r="I97" s="120">
        <v>31558</v>
      </c>
      <c r="J97" s="121">
        <f t="shared" si="0"/>
        <v>1</v>
      </c>
      <c r="K97" s="122">
        <f t="shared" si="1"/>
        <v>0.06000000000000005</v>
      </c>
    </row>
    <row r="98" ht="15" customHeight="1">
      <c r="A98" s="1"/>
      <c r="B98" s="1"/>
      <c r="C98" s="1"/>
      <c r="D98" s="1"/>
      <c r="E98" s="1"/>
      <c r="F98" s="1"/>
      <c r="G98" s="1"/>
      <c r="H98" s="1"/>
      <c r="I98" s="1"/>
      <c r="J98" s="1"/>
      <c r="K98" s="1"/>
    </row>
    <row r="99" ht="15" customHeight="1">
      <c r="A99" s="1"/>
      <c r="B99" s="3" t="s">
        <v>702</v>
      </c>
      <c r="C99" s="1"/>
      <c r="D99" s="1"/>
      <c r="E99" s="1"/>
      <c r="F99" s="1"/>
      <c r="G99" s="1"/>
      <c r="H99" s="1"/>
      <c r="I99" s="1"/>
      <c r="J99" s="1"/>
      <c r="K99" s="1"/>
    </row>
    <row r="100" ht="15" customHeight="1">
      <c r="A100" s="1"/>
      <c r="B100" s="1" t="s">
        <v>703</v>
      </c>
      <c r="C100" s="60">
        <v>160.62</v>
      </c>
      <c r="D100" s="1"/>
      <c r="E100" s="1"/>
      <c r="F100" s="1"/>
      <c r="G100" s="1"/>
      <c r="H100" s="1"/>
      <c r="I100" s="1"/>
      <c r="J100" s="1"/>
      <c r="K100" s="1"/>
    </row>
    <row r="101" ht="15" customHeight="1">
      <c r="A101" s="1"/>
      <c r="B101" s="1" t="s">
        <v>704</v>
      </c>
      <c r="C101" s="123" t="str">
        <f>IF(C100&gt;10,"large",IF(C100&gt;=2,"mid","small"))</f>
        <v>large</v>
      </c>
      <c r="D101" s="1"/>
      <c r="E101" s="1"/>
      <c r="F101" s="1"/>
      <c r="G101" s="1"/>
      <c r="H101" s="1"/>
      <c r="I101" s="1"/>
      <c r="J101" s="1"/>
      <c r="K101" s="1"/>
    </row>
    <row r="102" ht="15" customHeight="1">
      <c r="A102" s="1"/>
      <c r="B102" s="1" t="s">
        <v>706</v>
      </c>
      <c r="C102" s="124" t="s">
        <v>707</v>
      </c>
      <c r="D102" s="1"/>
      <c r="E102" s="1"/>
      <c r="F102" s="1"/>
      <c r="G102" s="1"/>
      <c r="H102" s="1"/>
      <c r="I102" s="1"/>
      <c r="J102" s="1"/>
      <c r="K102" s="1"/>
    </row>
    <row r="103" ht="15" customHeight="1">
      <c r="A103" s="1"/>
      <c r="B103" s="1" t="s">
        <v>708</v>
      </c>
      <c r="C103" s="125">
        <v>0.78</v>
      </c>
      <c r="D103" s="1"/>
      <c r="E103" s="1"/>
      <c r="F103" s="1"/>
      <c r="G103" s="1"/>
      <c r="H103" s="1"/>
      <c r="I103" s="1"/>
      <c r="J103" s="1"/>
      <c r="K103" s="1"/>
    </row>
    <row r="104" ht="15" customHeight="1">
      <c r="A104" s="1"/>
      <c r="B104" s="1" t="s">
        <v>709</v>
      </c>
      <c r="C104" s="126">
        <f>SUM(J92:J97)</f>
        <v>4</v>
      </c>
      <c r="D104" s="1"/>
      <c r="E104" s="1"/>
      <c r="F104" s="1"/>
      <c r="G104" s="1"/>
      <c r="H104" s="1"/>
      <c r="I104" s="1"/>
      <c r="J104" s="1"/>
      <c r="K104" s="1"/>
    </row>
    <row r="105" ht="15" customHeight="1">
      <c r="A105" s="1"/>
      <c r="B105" s="1" t="s">
        <v>710</v>
      </c>
      <c r="C105" s="126">
        <f>COUNT(E92:E97)</f>
        <v>6</v>
      </c>
      <c r="D105" s="1"/>
      <c r="E105" s="1"/>
      <c r="F105" s="1"/>
      <c r="G105" s="1"/>
      <c r="H105" s="1"/>
      <c r="I105" s="1"/>
      <c r="J105" s="1"/>
      <c r="K105" s="1"/>
    </row>
    <row r="106" ht="15" customHeight="1">
      <c r="A106" s="1"/>
      <c r="B106" s="1" t="s">
        <v>711</v>
      </c>
      <c r="C106" s="127">
        <v>8</v>
      </c>
      <c r="D106" s="1"/>
      <c r="E106" s="1"/>
      <c r="F106" s="1"/>
      <c r="G106" s="1"/>
      <c r="H106" s="1"/>
      <c r="I106" s="1"/>
      <c r="J106" s="1"/>
      <c r="K106" s="1"/>
    </row>
    <row r="107" ht="15" customHeight="1">
      <c r="A107" s="1"/>
      <c r="B107" s="1" t="s">
        <v>712</v>
      </c>
      <c r="C107" s="128">
        <f>(C106*C103+C104)/(C106+C105)</f>
        <v>0.7314285714285714</v>
      </c>
      <c r="D107" s="1"/>
      <c r="E107" s="1"/>
      <c r="F107" s="1"/>
      <c r="G107" s="1"/>
      <c r="H107" s="1"/>
      <c r="I107" s="1"/>
      <c r="J107" s="1"/>
      <c r="K107" s="1"/>
    </row>
    <row r="108" ht="15" customHeight="1">
      <c r="A108" s="1"/>
      <c r="B108" s="1" t="s">
        <v>713</v>
      </c>
      <c r="C108" s="20">
        <f>AVERAGE(K92:K97)</f>
        <v>0.023333333333333334</v>
      </c>
      <c r="D108" s="1"/>
      <c r="E108" s="1"/>
      <c r="F108" s="1"/>
      <c r="G108" s="1"/>
      <c r="H108" s="1"/>
      <c r="I108" s="1"/>
      <c r="J108" s="1"/>
      <c r="K108" s="1"/>
    </row>
    <row r="109" ht="15" customHeight="1">
      <c r="A109" s="1"/>
      <c r="B109" s="1" t="s">
        <v>714</v>
      </c>
      <c r="C109" s="20">
        <f>K94</f>
        <v>0</v>
      </c>
      <c r="D109" s="1"/>
      <c r="E109" s="1"/>
      <c r="F109" s="1"/>
      <c r="G109" s="1"/>
      <c r="H109" s="1"/>
      <c r="I109" s="1"/>
      <c r="J109" s="1"/>
      <c r="K109" s="1"/>
    </row>
    <row r="110" ht="15" customHeight="1">
      <c r="A110" s="1"/>
      <c r="B110" s="1" t="s">
        <v>715</v>
      </c>
      <c r="C110" s="19">
        <f>'Income Statement'!H129-C23</f>
        <v>0.02637527689051644</v>
      </c>
      <c r="D110" s="1"/>
      <c r="E110" s="1"/>
      <c r="F110" s="1"/>
      <c r="G110" s="1"/>
      <c r="H110" s="1"/>
      <c r="I110" s="1"/>
      <c r="J110" s="1"/>
      <c r="K110" s="1"/>
    </row>
    <row r="111" ht="15" customHeight="1">
      <c r="A111" s="1"/>
      <c r="B111" s="1" t="s">
        <v>716</v>
      </c>
      <c r="C111" s="129">
        <v>0.02</v>
      </c>
      <c r="D111" s="49" t="s">
        <v>717</v>
      </c>
      <c r="E111" s="1"/>
      <c r="F111" s="1"/>
      <c r="G111" s="1"/>
      <c r="H111" s="1"/>
      <c r="I111" s="1"/>
      <c r="J111" s="1"/>
      <c r="K111" s="1"/>
    </row>
    <row r="112" ht="15" customHeight="1">
      <c r="A112" s="1"/>
      <c r="B112" s="1" t="s">
        <v>718</v>
      </c>
      <c r="C112" s="128">
        <f>ROUND(C107+C111,2)</f>
        <v>0.75</v>
      </c>
      <c r="D112" s="1"/>
      <c r="E112" s="1"/>
      <c r="F112" s="1"/>
      <c r="G112" s="1"/>
      <c r="H112" s="1"/>
      <c r="I112" s="1"/>
      <c r="J112" s="1"/>
      <c r="K112" s="1"/>
    </row>
    <row r="113" ht="15" customHeight="1">
      <c r="A113" s="1"/>
      <c r="B113" s="1" t="s">
        <v>26</v>
      </c>
      <c r="C113" s="124" t="s">
        <v>27</v>
      </c>
      <c r="D113" s="1"/>
      <c r="E113" s="1"/>
      <c r="F113" s="1"/>
      <c r="G113" s="1"/>
      <c r="H113" s="1"/>
      <c r="I113" s="1"/>
      <c r="J113" s="1"/>
      <c r="K113" s="1"/>
    </row>
  </sheetData>
  <printOptions/>
  <pageMargins left="0.7" right="0.7" top="0.75" bottom="0.75" header="0.3" footer="0.3"/>
  <pageSetup paperSize="1" orientation="portrait"/>
  <headerFooter>
    <oddHeader>&amp;L&amp;C&amp;R</oddHeader>
    <oddFooter>&amp;L&amp;C&amp;R</oddFooter>
  </headerFooter>
  <legacyDrawing r:id="rId2"/>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23589-C6B2-6011-3627-1A0546C8FBFE}" mc:Ignorable="x14ac xr xr2 xr3">
  <dimension ref="A1:CV10000"/>
  <sheetViews>
    <sheetView showGridLines="0" topLeftCell="A1" workbookViewId="0">
      <selection activeCell="A1" sqref="A1"/>
    </sheetView>
  </sheetViews>
  <sheetFormatPr defaultRowHeight="15" defaultColWidth="8.421875" customHeight="1"/>
  <cols>
    <col min="1" max="1" width="2.00390625" customWidth="1"/>
    <col min="2" max="2" width="14.00390625" customWidth="1"/>
    <col min="3" max="3" width="16.00390625" customWidth="1"/>
    <col min="4" max="4" width="46.00390625" customWidth="1"/>
    <col min="5" max="5" width="100.00390625" customWidth="1"/>
    <col min="6" max="6" width="110.00390625" customWidth="1"/>
    <col min="7" max="8" width="12.00390625" customWidth="1"/>
  </cols>
  <sheetData>
    <row r="1" ht="15" customHeight="1">
      <c r="A1" s="1"/>
      <c r="B1" s="2" t="s">
        <v>0</v>
      </c>
      <c r="C1" s="1"/>
      <c r="D1" s="1"/>
      <c r="E1" s="1"/>
      <c r="F1" s="1"/>
    </row>
    <row r="2" ht="15" customHeight="1">
      <c r="A2" s="1"/>
      <c r="B2" s="3" t="s">
        <v>719</v>
      </c>
      <c r="C2" s="1"/>
      <c r="D2" s="1"/>
      <c r="E2" s="1"/>
      <c r="F2" s="1"/>
    </row>
    <row r="3" ht="15" customHeight="1">
      <c r="A3" s="1"/>
      <c r="B3" s="4" t="s">
        <v>2</v>
      </c>
      <c r="C3" s="1"/>
      <c r="D3" s="1"/>
      <c r="E3" s="1"/>
      <c r="F3" s="1"/>
    </row>
    <row r="4" ht="15" customHeight="1">
      <c r="A4" s="1"/>
      <c r="B4" s="5" t="s">
        <v>3</v>
      </c>
      <c r="C4" s="6" t="s">
        <v>4</v>
      </c>
      <c r="D4" s="6"/>
      <c r="E4" s="6"/>
      <c r="F4" s="6"/>
    </row>
    <row r="5" ht="15" customHeight="1">
      <c r="A5" s="1"/>
      <c r="B5" s="7" t="s">
        <v>5</v>
      </c>
      <c r="C5" s="8">
        <v>46295</v>
      </c>
      <c r="D5" s="44"/>
      <c r="E5" s="44"/>
      <c r="F5" s="44"/>
    </row>
    <row r="6" ht="15" customHeight="1">
      <c r="A6" s="1"/>
      <c r="B6" s="9" t="s">
        <v>6</v>
      </c>
      <c r="C6" s="10">
        <f>C5-EOMONTH(C5,-3)</f>
        <v>92</v>
      </c>
      <c r="D6" s="10"/>
      <c r="E6" s="10"/>
      <c r="F6" s="10"/>
    </row>
    <row r="7" ht="15" customHeight="1">
      <c r="A7" s="1"/>
      <c r="B7" s="1"/>
      <c r="C7" s="1"/>
      <c r="D7" s="1"/>
      <c r="E7" s="1"/>
      <c r="F7" s="1"/>
    </row>
    <row r="8" ht="15" customHeight="1">
      <c r="A8" s="1"/>
      <c r="B8" s="130" t="s">
        <v>720</v>
      </c>
      <c r="C8" s="104" t="s">
        <v>721</v>
      </c>
      <c r="D8" s="130" t="s">
        <v>722</v>
      </c>
      <c r="E8" s="130" t="s">
        <v>723</v>
      </c>
      <c r="F8" s="130" t="s">
        <v>724</v>
      </c>
    </row>
    <row r="9" ht="15" customHeight="1">
      <c r="A9" s="1"/>
      <c r="B9" s="1" t="s">
        <v>571</v>
      </c>
      <c r="C9" s="105">
        <v>46225</v>
      </c>
      <c r="D9" s="1" t="s">
        <v>725</v>
      </c>
      <c r="E9" s="1" t="s">
        <v>726</v>
      </c>
      <c r="F9" s="1" t="s">
        <v>727</v>
      </c>
    </row>
    <row r="10" ht="15" customHeight="1">
      <c r="A10" s="1"/>
      <c r="B10" s="1" t="s">
        <v>728</v>
      </c>
      <c r="C10" s="105">
        <v>46225</v>
      </c>
      <c r="D10" s="1" t="s">
        <v>729</v>
      </c>
      <c r="E10" s="1" t="s">
        <v>730</v>
      </c>
      <c r="F10" s="1" t="s">
        <v>731</v>
      </c>
    </row>
    <row r="11" ht="15" customHeight="1">
      <c r="A11" s="1"/>
      <c r="B11" s="1" t="s">
        <v>576</v>
      </c>
      <c r="C11" s="105">
        <v>46225</v>
      </c>
      <c r="D11" s="1" t="s">
        <v>732</v>
      </c>
      <c r="E11" s="1" t="s">
        <v>733</v>
      </c>
      <c r="F11" s="1" t="s">
        <v>734</v>
      </c>
    </row>
    <row r="12" ht="15" customHeight="1">
      <c r="A12" s="1"/>
      <c r="B12" s="1" t="s">
        <v>546</v>
      </c>
      <c r="C12" s="105">
        <v>46050</v>
      </c>
      <c r="D12" s="1" t="s">
        <v>735</v>
      </c>
      <c r="E12" s="1" t="s">
        <v>736</v>
      </c>
      <c r="F12" s="1" t="s">
        <v>737</v>
      </c>
    </row>
    <row r="13" ht="15" customHeight="1">
      <c r="A13" s="1"/>
      <c r="B13" s="1" t="s">
        <v>738</v>
      </c>
      <c r="C13" s="105">
        <v>46134</v>
      </c>
      <c r="D13" s="1" t="s">
        <v>739</v>
      </c>
      <c r="E13" s="1" t="s">
        <v>740</v>
      </c>
      <c r="F13" s="1" t="s">
        <v>741</v>
      </c>
    </row>
    <row r="14" ht="15" customHeight="1">
      <c r="A14" s="1"/>
      <c r="B14" s="1" t="s">
        <v>742</v>
      </c>
      <c r="C14" s="105">
        <v>45952</v>
      </c>
      <c r="D14" s="1" t="s">
        <v>725</v>
      </c>
      <c r="E14" s="1" t="s">
        <v>743</v>
      </c>
      <c r="F14" s="1" t="s">
        <v>744</v>
      </c>
    </row>
    <row r="15" ht="15" customHeight="1">
      <c r="A15" s="1"/>
      <c r="B15" s="1" t="s">
        <v>745</v>
      </c>
      <c r="C15" s="105">
        <v>46139</v>
      </c>
      <c r="D15" s="1" t="s">
        <v>729</v>
      </c>
      <c r="E15" s="1" t="s">
        <v>746</v>
      </c>
      <c r="F15" s="1" t="s">
        <v>747</v>
      </c>
    </row>
    <row r="16" ht="15" customHeight="1">
      <c r="A16" s="1"/>
      <c r="B16" s="1" t="s">
        <v>748</v>
      </c>
      <c r="C16" s="105">
        <v>45961</v>
      </c>
      <c r="D16" s="1" t="s">
        <v>729</v>
      </c>
      <c r="E16" s="1" t="s">
        <v>749</v>
      </c>
      <c r="F16" s="1" t="s">
        <v>750</v>
      </c>
    </row>
    <row r="17" ht="15" customHeight="1">
      <c r="A17" s="1"/>
      <c r="B17" s="1" t="s">
        <v>751</v>
      </c>
      <c r="C17" s="105">
        <v>46273</v>
      </c>
      <c r="D17" s="1" t="s">
        <v>752</v>
      </c>
      <c r="E17" s="1" t="s">
        <v>753</v>
      </c>
      <c r="F17" s="1" t="s">
        <v>754</v>
      </c>
    </row>
    <row r="18" ht="15" customHeight="1">
      <c r="A18" s="1"/>
      <c r="B18" s="1" t="s">
        <v>755</v>
      </c>
      <c r="C18" s="105">
        <v>46231</v>
      </c>
      <c r="D18" s="1" t="s">
        <v>756</v>
      </c>
      <c r="E18" s="1" t="s">
        <v>757</v>
      </c>
      <c r="F18" s="1" t="s">
        <v>758</v>
      </c>
    </row>
    <row r="19" ht="15" customHeight="1">
      <c r="A19" s="1"/>
      <c r="B19" s="1" t="s">
        <v>759</v>
      </c>
      <c r="C19" s="105">
        <v>46251</v>
      </c>
      <c r="D19" s="1" t="s">
        <v>760</v>
      </c>
      <c r="E19" s="1" t="s">
        <v>761</v>
      </c>
      <c r="F19" s="1" t="s">
        <v>762</v>
      </c>
    </row>
    <row r="20" ht="15" customHeight="1">
      <c r="A20" s="1"/>
      <c r="B20" s="1" t="s">
        <v>763</v>
      </c>
      <c r="C20" s="105">
        <v>46308</v>
      </c>
      <c r="D20" s="1" t="s">
        <v>752</v>
      </c>
      <c r="E20" s="1" t="s">
        <v>764</v>
      </c>
      <c r="F20" s="1" t="s">
        <v>765</v>
      </c>
    </row>
    <row r="21" ht="15" customHeight="1">
      <c r="A21" s="1"/>
      <c r="B21" s="1" t="s">
        <v>766</v>
      </c>
      <c r="C21" s="105">
        <v>46301</v>
      </c>
      <c r="D21" s="1" t="s">
        <v>752</v>
      </c>
      <c r="E21" s="1" t="s">
        <v>767</v>
      </c>
      <c r="F21" s="1" t="s">
        <v>768</v>
      </c>
    </row>
    <row r="22" ht="15" customHeight="1">
      <c r="A22" s="1"/>
      <c r="B22" s="1" t="s">
        <v>769</v>
      </c>
      <c r="C22" s="105">
        <v>46261</v>
      </c>
      <c r="D22" s="1" t="s">
        <v>752</v>
      </c>
      <c r="E22" s="1" t="s">
        <v>770</v>
      </c>
      <c r="F22" s="1" t="s">
        <v>771</v>
      </c>
    </row>
    <row r="23" ht="15" customHeight="1">
      <c r="A23" s="1"/>
      <c r="B23" s="1" t="s">
        <v>772</v>
      </c>
      <c r="C23" s="105">
        <v>46311</v>
      </c>
      <c r="D23" s="1" t="s">
        <v>773</v>
      </c>
      <c r="E23" s="1" t="s">
        <v>774</v>
      </c>
      <c r="F23" s="1" t="s">
        <v>775</v>
      </c>
    </row>
    <row r="24" ht="15" customHeight="1">
      <c r="A24" s="1"/>
      <c r="B24" s="1" t="s">
        <v>776</v>
      </c>
      <c r="C24" s="105">
        <v>46311</v>
      </c>
      <c r="D24" s="1" t="s">
        <v>777</v>
      </c>
      <c r="E24" s="1" t="s">
        <v>778</v>
      </c>
      <c r="F24" s="1" t="s">
        <v>779</v>
      </c>
    </row>
    <row r="25" ht="15" customHeight="1">
      <c r="A25" s="1"/>
      <c r="B25" s="1" t="s">
        <v>780</v>
      </c>
      <c r="C25" s="105">
        <v>46290</v>
      </c>
      <c r="D25" s="1" t="s">
        <v>781</v>
      </c>
      <c r="E25" s="1" t="s">
        <v>782</v>
      </c>
      <c r="F25" s="1" t="s">
        <v>783</v>
      </c>
    </row>
    <row r="26" ht="15" customHeight="1">
      <c r="A26" s="1"/>
      <c r="B26" s="1" t="s">
        <v>784</v>
      </c>
      <c r="C26" s="105">
        <v>46296</v>
      </c>
      <c r="D26" s="1" t="s">
        <v>785</v>
      </c>
      <c r="E26" s="1" t="s">
        <v>786</v>
      </c>
      <c r="F26" s="1" t="s">
        <v>787</v>
      </c>
    </row>
    <row r="27" ht="15" customHeight="1">
      <c r="A27" s="1"/>
      <c r="B27" s="1" t="s">
        <v>788</v>
      </c>
      <c r="C27" s="105">
        <v>46313</v>
      </c>
      <c r="D27" s="1" t="s">
        <v>789</v>
      </c>
      <c r="E27" s="1" t="s">
        <v>790</v>
      </c>
      <c r="F27" s="1" t="s">
        <v>791</v>
      </c>
    </row>
    <row r="28" ht="15" customHeight="1">
      <c r="A28" s="1"/>
      <c r="B28" s="1" t="s">
        <v>792</v>
      </c>
      <c r="C28" s="105">
        <v>46313</v>
      </c>
      <c r="D28" s="1" t="s">
        <v>789</v>
      </c>
      <c r="E28" s="1" t="s">
        <v>793</v>
      </c>
      <c r="F28" s="1" t="s">
        <v>794</v>
      </c>
    </row>
    <row r="29" ht="15" customHeight="1">
      <c r="A29" s="1"/>
      <c r="B29" s="1" t="s">
        <v>795</v>
      </c>
      <c r="C29" s="105">
        <v>46304</v>
      </c>
      <c r="D29" s="1" t="s">
        <v>796</v>
      </c>
      <c r="E29" s="1" t="s">
        <v>797</v>
      </c>
      <c r="F29" s="1" t="s">
        <v>798</v>
      </c>
    </row>
    <row r="30" ht="15" customHeight="1">
      <c r="A30" s="1"/>
      <c r="B30" s="1" t="s">
        <v>799</v>
      </c>
      <c r="C30" s="105">
        <v>46308</v>
      </c>
      <c r="D30" s="1" t="s">
        <v>796</v>
      </c>
      <c r="E30" s="1" t="s">
        <v>800</v>
      </c>
      <c r="F30" s="1" t="s">
        <v>801</v>
      </c>
    </row>
    <row r="31" ht="15" customHeight="1">
      <c r="A31" s="1"/>
      <c r="B31" s="1" t="s">
        <v>802</v>
      </c>
      <c r="C31" s="105">
        <v>46282</v>
      </c>
      <c r="D31" s="1" t="s">
        <v>803</v>
      </c>
      <c r="E31" s="1" t="s">
        <v>804</v>
      </c>
      <c r="F31" s="1" t="s">
        <v>805</v>
      </c>
    </row>
    <row r="32" ht="15" customHeight="1">
      <c r="A32" s="1"/>
      <c r="B32" s="1"/>
      <c r="C32" s="1"/>
      <c r="D32" s="1"/>
      <c r="E32" s="1"/>
      <c r="F32" s="1"/>
    </row>
    <row r="33" ht="15" customHeight="1">
      <c r="A33" s="1"/>
      <c r="B33" s="1" t="s">
        <v>806</v>
      </c>
      <c r="C33" s="1"/>
      <c r="D33" s="1"/>
      <c r="E33" s="1"/>
      <c r="F33" s="1"/>
    </row>
    <row r="34" ht="15" customHeight="1">
      <c r="A34" s="1"/>
      <c r="B34" s="1" t="s">
        <v>807</v>
      </c>
      <c r="C34" s="1"/>
      <c r="D34" s="1"/>
      <c r="E34" s="1"/>
      <c r="F34" s="1"/>
    </row>
    <row r="35" ht="15" customHeight="1">
      <c r="A35" s="1"/>
      <c r="B35" s="1" t="s">
        <v>808</v>
      </c>
      <c r="C35" s="1"/>
      <c r="D35" s="1"/>
      <c r="E35" s="1"/>
      <c r="F35" s="1"/>
    </row>
  </sheetData>
  <printOptions/>
  <pageMargins left="0.7" right="0.7" top="0.75" bottom="0.75" header="0.3" footer="0.3"/>
  <pageSetup paperSize="1" orientation="portrait"/>
  <headerFooter>
    <oddHeader>&amp;L&amp;C&amp;R</oddHeader>
    <oddFooter>&amp;L&amp;C&amp;R</oddFooter>
  </headerFooter>
  <extLst/>
</worksheet>
</file>

<file path=docProps/app.xml><?xml version="1.0" encoding="utf-8"?>
<Properties xmlns="http://schemas.openxmlformats.org/officeDocument/2006/extended-properties" xmlns:vt="http://schemas.openxmlformats.org/officeDocument/2006/docPropsVTypes">
  <Company>Shortcut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Shortcut</dc:creator>
  <cp:lastModifiedBy>Shortcut</cp:lastModifiedBy>
</cp:coreProperties>
</file>