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Premium" sheetId="3" r:id="rId4"/>
    <sheet name="Segment - Ad-Supported" sheetId="4" r:id="rId5"/>
    <sheet name="Income Statement" sheetId="5" r:id="rId6"/>
    <sheet name="Balance Sheet" sheetId="6" r:id="rId7"/>
    <sheet name="Cash Flow Statement" sheetId="7" r:id="rId8"/>
    <sheet name="Geo" sheetId="8" r:id="rId9"/>
    <sheet name="Share Count" sheetId="9" r:id="rId10"/>
    <sheet name="Guidance" sheetId="10" r:id="rId11"/>
    <sheet name="Sources" sheetId="11" r:id="rId12"/>
    <sheet name="Inputs" sheetId="12" r:id="rId13"/>
  </sheets>
  <calcPr calcId="0"/>
</workbook>
</file>

<file path=xl/sharedStrings.xml><?xml version="1.0" encoding="utf-8"?>
<sst xmlns="http://schemas.openxmlformats.org/spreadsheetml/2006/main" count="1772" uniqueCount="845">
  <si>
    <t>Spotify Technology S.A. (NYSE: SPOT)</t>
  </si>
  <si>
    <t>Cover</t>
  </si>
  <si>
    <t>EUR millions, except per share</t>
  </si>
  <si>
    <t>Forecast period</t>
  </si>
  <si>
    <t>3Q26E</t>
  </si>
  <si>
    <t>Period end</t>
  </si>
  <si>
    <t>Days in period</t>
  </si>
  <si>
    <t>Company Model — built by Shortcut</t>
  </si>
  <si>
    <t>Company</t>
  </si>
  <si>
    <t>Spotify Technology S.A.</t>
  </si>
  <si>
    <t>Ticker / exchange</t>
  </si>
  <si>
    <t>SPOT — New York Stock Exchange (NYSE: SPOT)</t>
  </si>
  <si>
    <t>Fiscal year end</t>
  </si>
  <si>
    <t>31 December (calendar year); target 3Q26 = quarter ended 30-Sep-2026 (supplied label "FQ3 2026 - Sep 2026", end 2026-09-30 — exact)</t>
  </si>
  <si>
    <t>Reporting currency</t>
  </si>
  <si>
    <t>EUR — EPS in EUR per diluted ordinary share; amounts in EUR millions (NYSE price is USD; not used as a conversion factor)</t>
  </si>
  <si>
    <t>EPS basis</t>
  </si>
  <si>
    <t>CapIQ normalized diluted EPS per ordinary share, EUR (= IFRS diluted EPS; issuer reports no non-GAAP EPS)</t>
  </si>
  <si>
    <t>Information cutoff</t>
  </si>
  <si>
    <t>2026-10-18 21:34:46 UTC</t>
  </si>
  <si>
    <t>Expected report date</t>
  </si>
  <si>
    <t>2026-10-22 before market open (issuer, S11); supplied CapIQ date 2026-11-03 (unconfirmed) kept for reference</t>
  </si>
  <si>
    <t>Author</t>
  </si>
  <si>
    <t>Shortcut — this model was built by Shortcut</t>
  </si>
  <si>
    <t>Headline: 3Q26E estimate vs consensus vs guidance</t>
  </si>
  <si>
    <t>Shortcut estimate</t>
  </si>
  <si>
    <t>Consensus at cutoff (CapIQ 2026-10-18)</t>
  </si>
  <si>
    <t>Variance vs consensus</t>
  </si>
  <si>
    <t>Variance %</t>
  </si>
  <si>
    <t>Guidance midpoint</t>
  </si>
  <si>
    <t>Estimate − guidance</t>
  </si>
  <si>
    <t>Revenue (EUR m)</t>
  </si>
  <si>
    <t>Gross margin</t>
  </si>
  <si>
    <t>n.a.</t>
  </si>
  <si>
    <t>Operating income (EUR m)</t>
  </si>
  <si>
    <t>Net income — normalized (EUR m)</t>
  </si>
  <si>
    <t>Net income — IFRS (EUR m)</t>
  </si>
  <si>
    <t>Normalized dil. EPS (EUR, scored)</t>
  </si>
  <si>
    <t>IFRS diluted EPS (EUR)</t>
  </si>
  <si>
    <t>Diluted shares (m; cons. = NI ÷ EPS)</t>
  </si>
  <si>
    <t>Normalized EPS estimates (n)</t>
  </si>
  <si>
    <t>Check: Cover ties to statements</t>
  </si>
  <si>
    <t>Overall model check result</t>
  </si>
  <si>
    <t>P(beat consensus EPS)</t>
  </si>
  <si>
    <t>Confidence</t>
  </si>
  <si>
    <t>Notes: consensus = frozen CapIQ snapshot (S1, 2026-10-18; scoring baseline). Newer/other consensus is recorded separately on Inputs section E.</t>
  </si>
  <si>
    <t>Target-quarter actuals were not available or used (issuer reports 2026-10-22, after the cutoff).</t>
  </si>
  <si>
    <t>Revenue summary</t>
  </si>
  <si>
    <t>Period</t>
  </si>
  <si>
    <t>3Q25A</t>
  </si>
  <si>
    <t>4Q25A</t>
  </si>
  <si>
    <t>1Q26A</t>
  </si>
  <si>
    <t>2Q26A</t>
  </si>
  <si>
    <t>FY25A</t>
  </si>
  <si>
    <t>Notes</t>
  </si>
  <si>
    <t>Revenue by reported segment (EUR m)</t>
  </si>
  <si>
    <t>Premium revenue</t>
  </si>
  <si>
    <t xml:space="preserve">   % Y/Y</t>
  </si>
  <si>
    <t xml:space="preserve">   % Q/Q</t>
  </si>
  <si>
    <t xml:space="preserve">   % of total revenue</t>
  </si>
  <si>
    <t xml:space="preserve">      Organic growth</t>
  </si>
  <si>
    <t>Unavailable: M&amp;A/scope not disclosed</t>
  </si>
  <si>
    <t xml:space="preserve">      M&amp;A / scope impact</t>
  </si>
  <si>
    <t>Not disclosed</t>
  </si>
  <si>
    <t xml:space="preserve">      FX impact</t>
  </si>
  <si>
    <t xml:space="preserve">      Constant-currency growth (FXN)</t>
  </si>
  <si>
    <t>Constant-currency growth (issuer FXN)</t>
  </si>
  <si>
    <t xml:space="preserve">      Total Y/Y</t>
  </si>
  <si>
    <t>Ad-Supported revenue</t>
  </si>
  <si>
    <t>Total revenue</t>
  </si>
  <si>
    <t xml:space="preserve">   FX effect, EUR m (+ = headwind)</t>
  </si>
  <si>
    <t>FX effect at prior-year rates (EUR m; + = headwind)</t>
  </si>
  <si>
    <t xml:space="preserve">   Revenue excl. FX effect (EUR m)</t>
  </si>
  <si>
    <t xml:space="preserve">      FX impact (Y/Y − cc)</t>
  </si>
  <si>
    <t>Check: segments − IS revenue</t>
  </si>
  <si>
    <t>Check: segments sum − reported total revenue (IS)</t>
  </si>
  <si>
    <t>Geography: revenue by country is disclosed (United States, Luxembourg, other countries) — modelled on the Geo tab.</t>
  </si>
  <si>
    <t>Segment - Premium</t>
  </si>
  <si>
    <t>EUR millions, except per share; users in millions; ARPU in EUR per month</t>
  </si>
  <si>
    <t>Premium Subscribers (millions)</t>
  </si>
  <si>
    <t>Opening subscribers</t>
  </si>
  <si>
    <t>Prior period-end; FY opening = 4Q24 (Inputs)</t>
  </si>
  <si>
    <t>Gross additions</t>
  </si>
  <si>
    <t>Not disclosed by Spotify</t>
  </si>
  <si>
    <t>Churned subscribers</t>
  </si>
  <si>
    <t>Net additions</t>
  </si>
  <si>
    <t>3Q26E = guidance 305m less 2Q26 close (Guidance tab; S3)</t>
  </si>
  <si>
    <t xml:space="preserve">   Net adds — Y/Y chg (m)</t>
  </si>
  <si>
    <t xml:space="preserve">   Net adds — Q/Q chg (m)</t>
  </si>
  <si>
    <t>Closing subscribers</t>
  </si>
  <si>
    <t>S7, S6, S5, S3</t>
  </si>
  <si>
    <t xml:space="preserve">   Q/Q chg (m)</t>
  </si>
  <si>
    <t>Average subscribers</t>
  </si>
  <si>
    <t>Simple average of opening/closing; FY = mean of quarterly averages</t>
  </si>
  <si>
    <t>Monthly churn %</t>
  </si>
  <si>
    <t>Premium subs % of total MAUs</t>
  </si>
  <si>
    <t xml:space="preserve">   Y/Y chg (bps)</t>
  </si>
  <si>
    <t xml:space="preserve">   Q/Q chg (bps)</t>
  </si>
  <si>
    <t>Premium ARPU (EUR per month)</t>
  </si>
  <si>
    <t>Months in period</t>
  </si>
  <si>
    <t>Derived ARPU (rev / avg subs / months)</t>
  </si>
  <si>
    <t>Same definition in every column (3Q26E revenue built from cc ARPU + FX below)</t>
  </si>
  <si>
    <t xml:space="preserve">   Q/Q chg (EUR)</t>
  </si>
  <si>
    <t>Constant-currency ARPU Y/Y (derived)</t>
  </si>
  <si>
    <t>Defined as (revenue excl. FX / avg subs / months) ÷ prior-year derived ARPU − 1; 3Q26E assumption: issuer cc ARPU ~7% (S3, S14) less ~0.7pt derived-basis gap. C32:D32 mix pre-2026 FX with 2026-basis revenue (see I47)</t>
  </si>
  <si>
    <t>Premium ARPU — reported (issuer, EUR)</t>
  </si>
  <si>
    <t>3Q25/4Q25/FY25 on pre-2026 segment basis (S7, S6, S9); 3Q26E scaled by 2Q26 reported/derived ratio</t>
  </si>
  <si>
    <t xml:space="preserve">   Reported ARPU % Y/Y (issuer)</t>
  </si>
  <si>
    <t>1Q26 issuer: "roughly flat" (no figure). 3Q26E n.a.: H35 is on the 2026 segment basis but C35 (3Q25) is pre-2026 basis, so Y/Y would mix bases; same-basis derived ARPU Y/Y is row 30</t>
  </si>
  <si>
    <t xml:space="preserve">   Reported ARPU cc % Y/Y (issuer)</t>
  </si>
  <si>
    <t xml:space="preserve">      Q/Q chg (bps)</t>
  </si>
  <si>
    <t>Premium revenue (EUR m)</t>
  </si>
  <si>
    <t>2026 segment basis (S5 appendix, S3); 3Q26E = revenue excl. FX + FX impact × 3Q25 revenue</t>
  </si>
  <si>
    <t xml:space="preserve">   Q/Q chg (EUR m)</t>
  </si>
  <si>
    <t>Issuer FXN reconciliations (S7, S6, S5, S3). 3Q25/4Q25/FY25 FX effects come from pre-2026-segment-basis releases but are applied to 2026-basis (recast) revenue — mixed-recast approximation; restated segment FX not disclosed. FY25 G47 = issuer FY figure (S6); 1Q25/2Q25 components not stored</t>
  </si>
  <si>
    <t>3Q26E = avg subs × 3Q25 derived ARPU × (1 + cc ARPU growth) × 3</t>
  </si>
  <si>
    <t>Constant-currency growth (issuer FXN basis); 3Q25/4Q25/FY25 approximate (mixed recast, see I47)</t>
  </si>
  <si>
    <t xml:space="preserve">      FX impact on Y/Y growth (Y/Y − cc)</t>
  </si>
  <si>
    <t>3Q26E: guidance ~+200 bps at 2Q26-close rates, trimmed for EUR/USD avg ~1.149 vs 1.142 (S3, S13)</t>
  </si>
  <si>
    <t>Not disclosed — unavailable, not zero</t>
  </si>
  <si>
    <t>Unavailable because M&amp;A/scope not disclosed</t>
  </si>
  <si>
    <t xml:space="preserve">      Total Y/Y (reported)</t>
  </si>
  <si>
    <t>Premium gross profit (EUR m)</t>
  </si>
  <si>
    <t>Premium cost of revenue</t>
  </si>
  <si>
    <t>S5 appendix, S4 segment note</t>
  </si>
  <si>
    <t>Premium gross profit</t>
  </si>
  <si>
    <t>Premium gross margin</t>
  </si>
  <si>
    <t>3Q26E: +130 bps Y/Y, below 2Q26 34.9% for Q3 regulatory-fee charge (S10)</t>
  </si>
  <si>
    <t>Segment - Ad-Supported</t>
  </si>
  <si>
    <t>EUR millions, except per share; users in millions</t>
  </si>
  <si>
    <t>Total Monthly Active Users (millions)</t>
  </si>
  <si>
    <t>Opening MAUs</t>
  </si>
  <si>
    <t>Churned users</t>
  </si>
  <si>
    <t>3Q26E = guidance 788m less 2Q26 close (Guidance tab; S3)</t>
  </si>
  <si>
    <t>Closing MAUs</t>
  </si>
  <si>
    <t>Average MAUs</t>
  </si>
  <si>
    <t>Ad-Supported MAUs (millions)</t>
  </si>
  <si>
    <t>Opening Ad-Supported MAUs</t>
  </si>
  <si>
    <t>Churned / converted users</t>
  </si>
  <si>
    <t>Closing Ad-Supported MAUs</t>
  </si>
  <si>
    <t>S7, S6, S5, S3; 3Q26E = MAUs − subs + overlap</t>
  </si>
  <si>
    <t>Average Ad-Supported MAUs</t>
  </si>
  <si>
    <t>Overlap: subs + Ad MAUs − total MAUs</t>
  </si>
  <si>
    <t>3Q26E held at 2Q26 level (assumption)</t>
  </si>
  <si>
    <t xml:space="preserve">   Y/Y chg (m)</t>
  </si>
  <si>
    <t>Ad MAUs % of total MAUs</t>
  </si>
  <si>
    <t>Ad monetization</t>
  </si>
  <si>
    <t>Ad rev per avg Ad MAU (EUR/period)</t>
  </si>
  <si>
    <t>EUR per quarter in C:F and H; FY25 G44 is EUR per year (divide by 4 for a quarterly equivalent) — not comparable to the quarterly columns</t>
  </si>
  <si>
    <t xml:space="preserve">   Assumed cc Y/Y chg, rev per Ad MAU</t>
  </si>
  <si>
    <t>Constant-currency; Ad MAUs +13% Y/Y vs ad revenue cc +3% in 1H26; partial 2H inflection to ~+6% cc (S10, S14, S15)</t>
  </si>
  <si>
    <t>Automated channels % of ad revenue</t>
  </si>
  <si>
    <t>S10 (2Q26 call)</t>
  </si>
  <si>
    <t>Ad-Supported revenue (EUR m)</t>
  </si>
  <si>
    <t>Issuer FXN reconciliations (S7, S6, S5, S3). 3Q25/4Q25/FY25 FX effects come from pre-2026-segment-basis releases but are applied to 2026-basis (recast) revenue — mixed-recast approximation. FY25 G57 = issuer FY figure (S6); 1Q25/2Q25 components not stored</t>
  </si>
  <si>
    <t>3Q26E = avg Ad MAUs × 3Q25 rev per Ad MAU × (1 + cc change)</t>
  </si>
  <si>
    <t>Constant-currency growth (issuer FXN basis); 3Q25/4Q25/FY25 approximate (mixed recast, see I57)</t>
  </si>
  <si>
    <t>3Q26E: same FX assumption as Premium</t>
  </si>
  <si>
    <t>Ad-Supported gross profit (EUR m)</t>
  </si>
  <si>
    <t>Ad-Supported cost of revenue</t>
  </si>
  <si>
    <t>S5 appendix, S4</t>
  </si>
  <si>
    <t>Ad-Supported gross profit</t>
  </si>
  <si>
    <t>Ad-Supported gross margin</t>
  </si>
  <si>
    <t>3Q26E: 2Q26 19.1% with podcast/tax gains (S3)</t>
  </si>
  <si>
    <t>Income Statement (IFRS)</t>
  </si>
  <si>
    <t>EUR millions, except per share; shares in millions</t>
  </si>
  <si>
    <t>Income statement (IFRS)</t>
  </si>
  <si>
    <t>Revenue</t>
  </si>
  <si>
    <t>S7, S6, S5, S3; FY25 = sum of quarters (S9: 17,186)</t>
  </si>
  <si>
    <t>Cost of revenue</t>
  </si>
  <si>
    <t>Gross profit</t>
  </si>
  <si>
    <t>Check: segment GP − gross profit</t>
  </si>
  <si>
    <t>Check: segment gross profit − gross profit</t>
  </si>
  <si>
    <t>Research and development</t>
  </si>
  <si>
    <t xml:space="preserve">   % of revenue</t>
  </si>
  <si>
    <t xml:space="preserve">      Y/Y chg (bps)</t>
  </si>
  <si>
    <t>Sales and marketing</t>
  </si>
  <si>
    <t>General and administrative</t>
  </si>
  <si>
    <t>Total operating expenses</t>
  </si>
  <si>
    <t xml:space="preserve">   Opex % of revenue</t>
  </si>
  <si>
    <t>Operating income</t>
  </si>
  <si>
    <t>Operating margin</t>
  </si>
  <si>
    <t xml:space="preserve">   Memo: OI excl. social charges</t>
  </si>
  <si>
    <t>Memo: operating income excl. social charges</t>
  </si>
  <si>
    <t>Finance income</t>
  </si>
  <si>
    <t>FY25 G47/G48 = sum of quarterly lines, 771 / (745), gross of Exchangeable-Note FV gains/losses that switch line between quarters. Issuer FY25 presentation (S6): 292 / (266); 479 reclassified on each line. Net finance 26, PBT, NI and FY25 EPS identical</t>
  </si>
  <si>
    <t>Finance costs</t>
  </si>
  <si>
    <t>FY25: gross quarter sum (745) vs issuer FY (266) (S6); 479 reclass offsets I47, net unchanged</t>
  </si>
  <si>
    <t>Finance income/(costs) — net</t>
  </si>
  <si>
    <t>Income before tax</t>
  </si>
  <si>
    <t>Income tax expense/(benefit)</t>
  </si>
  <si>
    <t>3Q25: EUR 202m one-off benefit (US R&amp;D deduction, S8); 4Q25 DTA recognition</t>
  </si>
  <si>
    <t>Effective tax rate</t>
  </si>
  <si>
    <t>3Q26E: statutory 23.87% less tax credits/mix (~EUR 25m/qtr) and share-price DTA revaluation benefit (S4 note 5)</t>
  </si>
  <si>
    <t>Net income attributable to parent</t>
  </si>
  <si>
    <t>Net income attributable to owners of the parent</t>
  </si>
  <si>
    <t>Net margin</t>
  </si>
  <si>
    <t>Issuer-defined EBITDA</t>
  </si>
  <si>
    <t>Spotify does not report EBITDA; not relabelled from operating income</t>
  </si>
  <si>
    <t>Per share (EUR)</t>
  </si>
  <si>
    <t>FV gains on dilutive notes</t>
  </si>
  <si>
    <t>S6/S8 EPS notes; FY25 annual calc: notes anti-dilutive (diluted NI = 2,212); notes repaid Mar-2026</t>
  </si>
  <si>
    <t>Net income used for diluted EPS</t>
  </si>
  <si>
    <t>Weighted-average basic shares (m)</t>
  </si>
  <si>
    <t>Weighted-average diluted shares (m)</t>
  </si>
  <si>
    <t>Basic EPS (EUR)</t>
  </si>
  <si>
    <t>Diluted EPS — GAAP/IFRS (EUR)</t>
  </si>
  <si>
    <t>Diluted EPS — reported (issuer, EUR)</t>
  </si>
  <si>
    <t>S7, S6, S5, S3, S9</t>
  </si>
  <si>
    <t>Basic EPS — reported (issuer, EUR)</t>
  </si>
  <si>
    <t>Check: calc. − reported diluted EPS</t>
  </si>
  <si>
    <t>Check: calculated − reported diluted EPS (2 dp)</t>
  </si>
  <si>
    <t>Check: EPS − NI / diluted shares</t>
  </si>
  <si>
    <t>Check: EPS − NI for diluted EPS / diluted shares</t>
  </si>
  <si>
    <t>GAAP (IFRS) to consensus basis — CapIQ normalized diluted EPS (EUR)</t>
  </si>
  <si>
    <t>IFRS net income used for diluted EPS</t>
  </si>
  <si>
    <t xml:space="preserve">   (+) Social charges (not excluded)</t>
  </si>
  <si>
    <t>CapIQ normalized actuals equal IFRS diluted EPS in all six history rows (S2)</t>
  </si>
  <si>
    <t xml:space="preserve">   (+) RE impairment (not excluded)</t>
  </si>
  <si>
    <t>(+) Real-estate impairment — not excluded</t>
  </si>
  <si>
    <t xml:space="preserve">   (+/−) Exchangeable Notes FV (none)</t>
  </si>
  <si>
    <t>Already removed from diluted numerator when dilutive</t>
  </si>
  <si>
    <t xml:space="preserve">   (−) Tax effect of adjustments</t>
  </si>
  <si>
    <t>Normalized net income</t>
  </si>
  <si>
    <t>Normalized diluted EPS (EUR)</t>
  </si>
  <si>
    <t>Normalized diluted EPS (consensus basis, EUR)</t>
  </si>
  <si>
    <t>CapIQ normalized EPS — actual (S2)</t>
  </si>
  <si>
    <t>Check: model − CapIQ actual</t>
  </si>
  <si>
    <t>Check: model − CapIQ normalized actual (2 dp)</t>
  </si>
  <si>
    <t>CapIQ normalized EPS — consensus</t>
  </si>
  <si>
    <t>3Q26E: frozen CapIQ snapshot 2026-10-18 (S1), 19 estimates</t>
  </si>
  <si>
    <t xml:space="preserve">   Surprise / est. vs consensus (EUR)</t>
  </si>
  <si>
    <t>Surprise / estimate vs consensus (EUR)</t>
  </si>
  <si>
    <t>CapIQ GAAP EPS — consensus</t>
  </si>
  <si>
    <t>Forecast drivers — operating expenses and social charges</t>
  </si>
  <si>
    <t>Social charges included in opex (issuer)</t>
  </si>
  <si>
    <t>S7, S6, S5, S3; 3Q26E = guided 9 + sensitivity × price move</t>
  </si>
  <si>
    <t xml:space="preserve">   Social charges embedded in guidance</t>
  </si>
  <si>
    <t>Guidance tab (S7, S6, S5, S3)</t>
  </si>
  <si>
    <t xml:space="preserve">   Social charges vs guidance</t>
  </si>
  <si>
    <t>SPOT share price at quarter-end (USD)</t>
  </si>
  <si>
    <t>Issuer guidance footnotes; 3Q26 close 2026-09-30 (S12)</t>
  </si>
  <si>
    <t xml:space="preserve">   Share-price chg vs prior qtr-end</t>
  </si>
  <si>
    <t>Share-price change vs prior quarter-end</t>
  </si>
  <si>
    <t xml:space="preserve">   SC sensitivity per ref. move (EUR m)</t>
  </si>
  <si>
    <t>S5, S3 (±EUR 21m per 10% at 2Q26 close)</t>
  </si>
  <si>
    <t xml:space="preserve">   Reference share-price move</t>
  </si>
  <si>
    <t>R&amp;D before 3Q SC (2Q base incl. SC)</t>
  </si>
  <si>
    <t>3Q26E bases = 2Q26 reported R&amp;D/S&amp;M/G&amp;A (F21/F26/F31), which include EUR 1m of 2Q26 social charges (F91). Growth judgments H100/H103/H106 retained on this reported base; the full 3Q26E SC forecast (H91) is added on top in rows 21/26/31, so ~EUR 1.01m of prior-quarter SC is carried (H127). Ex-SC-base alternative is a sensitivity only (H129, +0.0037), not applied. Issuer: 3Q opex growth ex-FX/SC ~ in line with 2Q (+19%) (S10)</t>
  </si>
  <si>
    <t xml:space="preserve">   Q/Q growth on 2Q reported R&amp;D</t>
  </si>
  <si>
    <t xml:space="preserve">   SC allocation share — R&amp;D</t>
  </si>
  <si>
    <t>Allocation not disclosed; does not affect operating income</t>
  </si>
  <si>
    <t>S&amp;M before 3Q SC (2Q base incl. SC)</t>
  </si>
  <si>
    <t xml:space="preserve">   Q/Q growth on 2Q reported S&amp;M</t>
  </si>
  <si>
    <t xml:space="preserve">   SC allocation share — S&amp;M</t>
  </si>
  <si>
    <t>Social-charge allocation share — S&amp;M</t>
  </si>
  <si>
    <t>G&amp;A before 3Q SC (2Q base incl. SC)</t>
  </si>
  <si>
    <t xml:space="preserve">   Q/Q growth on 2Q reported G&amp;A</t>
  </si>
  <si>
    <t xml:space="preserve">   SC allocation share — G&amp;A</t>
  </si>
  <si>
    <t>Social-charge allocation share — G&amp;A</t>
  </si>
  <si>
    <t>Total opex excl. current-qtr SC</t>
  </si>
  <si>
    <t>Historical C:G = issuer opex ex-SC (clean). 3Q26E H108 = opex − 3Q26E SC (H91) only; NOT clean ex-SC because the 2Q26 reported growth base still carries ~EUR 1.01m of 2Q26 SC (H127, see I99)</t>
  </si>
  <si>
    <t>3Q26E Y/Y inherits the I108 caveat: H108 carries ~EUR 1.01m of 2Q26 SC vs clean 3Q25 (≈0.13pt)</t>
  </si>
  <si>
    <t>Forecast drivers — finance income and costs</t>
  </si>
  <si>
    <t xml:space="preserve">   FV gains on Exchangeable Notes</t>
  </si>
  <si>
    <t>S8, S4 note 4; 4Q25/FY25 split not extracted (unavailable)</t>
  </si>
  <si>
    <t xml:space="preserve">   Interest income</t>
  </si>
  <si>
    <t>3Q26E: 2Q26 run-rate trending lower (EUR 9.4bn liquidity)</t>
  </si>
  <si>
    <t xml:space="preserve">   Interest on finance lease receivables</t>
  </si>
  <si>
    <t>Interest income on finance lease receivables</t>
  </si>
  <si>
    <t xml:space="preserve">   Dividend income from investments</t>
  </si>
  <si>
    <t>TME dividend booked in 2Q (S4)</t>
  </si>
  <si>
    <t xml:space="preserve">   Other finance income</t>
  </si>
  <si>
    <t>Finance income — components</t>
  </si>
  <si>
    <t>Check: components − finance income</t>
  </si>
  <si>
    <t xml:space="preserve">   FV losses on Exchangeable Notes</t>
  </si>
  <si>
    <t xml:space="preserve">   Interest expense on lease liabilities</t>
  </si>
  <si>
    <t xml:space="preserve">   Other finance costs</t>
  </si>
  <si>
    <t xml:space="preserve">   Foreign exchange gains/(losses)</t>
  </si>
  <si>
    <t>EUR/USD 1.1394 (30-Jun) to 1.1355 (30-Sep) (S13)</t>
  </si>
  <si>
    <t>Finance costs — components</t>
  </si>
  <si>
    <t>Check: components − finance costs</t>
  </si>
  <si>
    <t>Memo: EPS sensitivities to retained approximations (not applied to H83)</t>
  </si>
  <si>
    <t>Disclosed assumptions, not checks; scored EPS remains H83</t>
  </si>
  <si>
    <t>2Q26 SC carried in 3Q26E opex base</t>
  </si>
  <si>
    <t>EUR m; 2Q26 SC (F91) × line share × (1 + line growth), summed over R&amp;D/S&amp;M/G&amp;A</t>
  </si>
  <si>
    <t>Alt. normalized NI — ex-SC opex base</t>
  </si>
  <si>
    <t>EUR m; removes carried 2Q26 SC from opex, taxed at H53</t>
  </si>
  <si>
    <t>Alt. EPS — ex-SC opex base (EUR)</t>
  </si>
  <si>
    <t>F01 alternative (unresolved basis choice): growth rates applied to ex-SC 2Q26 base</t>
  </si>
  <si>
    <t xml:space="preserve">   Δ vs normalized EPS (EUR)</t>
  </si>
  <si>
    <t>Alt. EPS — buyback carry-over (EUR)</t>
  </si>
  <si>
    <t>F02 alternative: adds non-weighted part of 2Q26 buyback (Share Count F28 × (1 − H32)); documented range 2.6107–2.6155 (≈ ±EUR 0.004)</t>
  </si>
  <si>
    <t>Balance Sheet (IFRS)</t>
  </si>
  <si>
    <t>Assets</t>
  </si>
  <si>
    <t>Lease right-of-use assets</t>
  </si>
  <si>
    <t>3Q26E held flat; ROU depreciation is netted in PP&amp;E (H11) — asset-allocation simplification</t>
  </si>
  <si>
    <t>Property and equipment</t>
  </si>
  <si>
    <t>3Q26E: + capex − total D&amp;A (ROU depreciation and intangible amortization netted here while ROU/intangibles are held flat; no non-cash lease addition) — simplification, total assets unaffected</t>
  </si>
  <si>
    <t>Goodwill</t>
  </si>
  <si>
    <t>Intangible assets</t>
  </si>
  <si>
    <t>3Q26E held flat; amortization is netted in PP&amp;E (H11) — asset-allocation simplification</t>
  </si>
  <si>
    <t>Long term investments</t>
  </si>
  <si>
    <t>TME/DistroKid at FV through OCI; not forecast</t>
  </si>
  <si>
    <t>Restricted cash &amp; other NC assets</t>
  </si>
  <si>
    <t>Restricted cash and other non-current assets</t>
  </si>
  <si>
    <t>Finance lease receivables</t>
  </si>
  <si>
    <t>Deferred tax assets</t>
  </si>
  <si>
    <t>Total non-current assets</t>
  </si>
  <si>
    <t>Trade and other receivables</t>
  </si>
  <si>
    <t>Income tax receivable</t>
  </si>
  <si>
    <t>Short term investments</t>
  </si>
  <si>
    <t>Cash and cash equivalents</t>
  </si>
  <si>
    <t>Other current assets</t>
  </si>
  <si>
    <t>Total current assets</t>
  </si>
  <si>
    <t>Total assets</t>
  </si>
  <si>
    <t>Equity</t>
  </si>
  <si>
    <t>Share capital</t>
  </si>
  <si>
    <t>Less than EUR 0.5m (shown as —)</t>
  </si>
  <si>
    <t>Other paid in capital</t>
  </si>
  <si>
    <t>Treasury shares</t>
  </si>
  <si>
    <t>Other reserves</t>
  </si>
  <si>
    <t>3Q26E: + SBC − RSU taxes withheld; OCI not forecast</t>
  </si>
  <si>
    <t>Retained earnings/(accumulated deficit)</t>
  </si>
  <si>
    <t>Equity attributable to parent</t>
  </si>
  <si>
    <t>Equity attributable to owners of the parent</t>
  </si>
  <si>
    <t>Liabilities</t>
  </si>
  <si>
    <t>Exchangeable Notes (non-current)</t>
  </si>
  <si>
    <t>Lease liabilities</t>
  </si>
  <si>
    <t>3Q26E: less lease principal payments only (no new leases) — simplification</t>
  </si>
  <si>
    <t>Accrued exp. &amp; other liabilities (NC)</t>
  </si>
  <si>
    <t>Accrued expenses and other liabilities (non-current)</t>
  </si>
  <si>
    <t>Provisions (non-current)</t>
  </si>
  <si>
    <t>Deferred tax liabilities</t>
  </si>
  <si>
    <t>Total non-current liabilities</t>
  </si>
  <si>
    <t>Trade and other payables</t>
  </si>
  <si>
    <t>Income tax payable</t>
  </si>
  <si>
    <t>3Q26E: + full tax expense (IS H52) − cash tax paid; no deferred-tax movement (DTA/DTL held flat) — simplification</t>
  </si>
  <si>
    <t>Deferred revenue</t>
  </si>
  <si>
    <t>Accrued exp. &amp; other liabilities</t>
  </si>
  <si>
    <t>Accrued expenses and other liabilities</t>
  </si>
  <si>
    <t>Exchangeable Notes (current)</t>
  </si>
  <si>
    <t>Provisions (current)</t>
  </si>
  <si>
    <t>Derivative liabilities</t>
  </si>
  <si>
    <t>Total current liabilities</t>
  </si>
  <si>
    <t>Total liabilities</t>
  </si>
  <si>
    <t>Total equity and liabilities</t>
  </si>
  <si>
    <t>Check: assets − liabilities − equity</t>
  </si>
  <si>
    <t>Memo: cash + short term investments</t>
  </si>
  <si>
    <t>Cash Flow Statement (IFRS)</t>
  </si>
  <si>
    <t>Operating activities</t>
  </si>
  <si>
    <t>Net income</t>
  </si>
  <si>
    <t xml:space="preserve">   Depreciation (PP&amp;E and ROU assets)</t>
  </si>
  <si>
    <t>Depreciation of PP&amp;E and lease ROU assets</t>
  </si>
  <si>
    <t xml:space="preserve">   Amortization of intangible assets</t>
  </si>
  <si>
    <t xml:space="preserve">   Impairment of real estate assets</t>
  </si>
  <si>
    <t>Impairment charge on real estate assets</t>
  </si>
  <si>
    <t xml:space="preserve">   Share-based compensation expense</t>
  </si>
  <si>
    <t xml:space="preserve">   Finance income</t>
  </si>
  <si>
    <t>FY25 G15/G16 = sum of quarters (771) / 745, gross of FV swings (see IS I47); issuer FY25 CF presentation (292) / 266 (S6); net (26) and CFO identical</t>
  </si>
  <si>
    <t xml:space="preserve">   Finance costs</t>
  </si>
  <si>
    <t xml:space="preserve">   Income tax expense/(benefit)</t>
  </si>
  <si>
    <t xml:space="preserve">   Other</t>
  </si>
  <si>
    <t xml:space="preserve">   (Incr.)/decr. in receivables &amp; other</t>
  </si>
  <si>
    <t>(Increase)/decrease in trade receivables and other assets</t>
  </si>
  <si>
    <t xml:space="preserve">   Incr./(decr.) in trade &amp; other liab.</t>
  </si>
  <si>
    <t>Increase/(decrease) in trade and other liabilities</t>
  </si>
  <si>
    <t xml:space="preserve">   Increase in deferred revenue</t>
  </si>
  <si>
    <t xml:space="preserve">   Increase/(decrease) in provisions</t>
  </si>
  <si>
    <t xml:space="preserve">   Interest paid</t>
  </si>
  <si>
    <t>3Q26E simplification: interest paid = all P&amp;L finance costs (−H16), incl. ~EUR 8m non-cash FX loss (IS H122); affects CFO/FCF/cash only (up to EUR 8m), not EPS</t>
  </si>
  <si>
    <t xml:space="preserve">   Interest received</t>
  </si>
  <si>
    <t>3Q26E simplification: interest received = all P&amp;L finance income (−H15), no accrual timing; affects cash only, not EPS</t>
  </si>
  <si>
    <t xml:space="preserve">   Income tax paid</t>
  </si>
  <si>
    <t>3Q26E assumption (2Q26: 85)</t>
  </si>
  <si>
    <t>Net cash flows from operating activities</t>
  </si>
  <si>
    <t>Investing activities</t>
  </si>
  <si>
    <t xml:space="preserve">   Business combinations, net of cash</t>
  </si>
  <si>
    <t>Business combinations, net of cash acquired</t>
  </si>
  <si>
    <t xml:space="preserve">   Deferred consideration paid</t>
  </si>
  <si>
    <t>Payment of deferred consideration (business combinations)</t>
  </si>
  <si>
    <t xml:space="preserve">   Purchases of property and equipment</t>
  </si>
  <si>
    <t xml:space="preserve">   Purchases of ST investments</t>
  </si>
  <si>
    <t>3Q26E: net STI flow assumed nil</t>
  </si>
  <si>
    <t xml:space="preserve">   Sales/maturities of ST investments</t>
  </si>
  <si>
    <t>Sales and maturities of short term investments</t>
  </si>
  <si>
    <t xml:space="preserve">   Change in restricted cash</t>
  </si>
  <si>
    <t xml:space="preserve">   Dividends received</t>
  </si>
  <si>
    <t xml:space="preserve">   Other investing</t>
  </si>
  <si>
    <t>Net cash flows from investing activities</t>
  </si>
  <si>
    <t>Financing activities</t>
  </si>
  <si>
    <t xml:space="preserve">   Proceeds from stock option exercises</t>
  </si>
  <si>
    <t>Proceeds from exercise of stock options</t>
  </si>
  <si>
    <t xml:space="preserve">   Repurchases of ordinary shares</t>
  </si>
  <si>
    <t>3Q26E: program upsized by USD 1.5bn on 2026-08-20 (S3/IR news)</t>
  </si>
  <si>
    <t xml:space="preserve">   Payments of lease liabilities</t>
  </si>
  <si>
    <t xml:space="preserve">   Repayment of Exchangeable Notes</t>
  </si>
  <si>
    <t xml:space="preserve">   Taxes withheld on RSU releases</t>
  </si>
  <si>
    <t>Employee taxes withheld on RSU releases</t>
  </si>
  <si>
    <t>Net cash flows from financing activities</t>
  </si>
  <si>
    <t>Net change in cash and cash equivalents</t>
  </si>
  <si>
    <t>Cash at beginning of period</t>
  </si>
  <si>
    <t>FX gains/(losses) on cash</t>
  </si>
  <si>
    <t>Cash at end of period</t>
  </si>
  <si>
    <t>Check: ending cash − Balance Sheet cash</t>
  </si>
  <si>
    <t>Free cash flow (issuer definition: CFO − capex + change in restricted cash)</t>
  </si>
  <si>
    <t xml:space="preserve">   Capex (issuer FCF definition)</t>
  </si>
  <si>
    <t>S3 FCF reconciliation; 3Q26E = purchases of PP&amp;E</t>
  </si>
  <si>
    <t xml:space="preserve">   Change in restricted cash (FCF def.)</t>
  </si>
  <si>
    <t>Change in restricted cash (issuer FCF table)</t>
  </si>
  <si>
    <t>Free cash flow</t>
  </si>
  <si>
    <t>Free cash flow — reported (issuer)</t>
  </si>
  <si>
    <t>S3, S6</t>
  </si>
  <si>
    <t>Check: calculated − reported FCF</t>
  </si>
  <si>
    <t>FCF margin</t>
  </si>
  <si>
    <t>Revenue by geography</t>
  </si>
  <si>
    <t>Revenue by country (EUR m; issuer: Premium by subscription origin, Ad-Supported by campaign delivery)</t>
  </si>
  <si>
    <t>United States</t>
  </si>
  <si>
    <t>S8, S9, S4; 4Q25 = FY25 − 9M25 and 1Q26 = 1H26 − 2Q26 by formula (Inputs section F)</t>
  </si>
  <si>
    <t>Unavailable: M&amp;A not disclosed</t>
  </si>
  <si>
    <t>FX not disclosed by country</t>
  </si>
  <si>
    <t>Luxembourg</t>
  </si>
  <si>
    <t>Other countries</t>
  </si>
  <si>
    <t>No other single country ≥10% of revenue (issuer)</t>
  </si>
  <si>
    <t>Total revenue by country</t>
  </si>
  <si>
    <t>US share of revenue</t>
  </si>
  <si>
    <t>3Q26E: held at 2Q26 share (USD tailwind offsets faster ex-US growth)</t>
  </si>
  <si>
    <t>Check: geography total − IS revenue</t>
  </si>
  <si>
    <t>Share Count</t>
  </si>
  <si>
    <t>Shares in millions; EUR millions, except per share</t>
  </si>
  <si>
    <t>Weighted-average shares (millions)</t>
  </si>
  <si>
    <t>Weighted-average basic shares</t>
  </si>
  <si>
    <t>Issuer EPS notes (S7, S6, S5, S3); FY25 annual weighted (S6)</t>
  </si>
  <si>
    <t xml:space="preserve">   Dilutive: Exchangeable Notes</t>
  </si>
  <si>
    <t>Notes repaid March 2026</t>
  </si>
  <si>
    <t xml:space="preserve">   Dilutive: stock options</t>
  </si>
  <si>
    <t>3Q26E: higher avg price than 2Q (treasury method)</t>
  </si>
  <si>
    <t xml:space="preserve">   Dilutive: restricted stock units</t>
  </si>
  <si>
    <t xml:space="preserve">   Dilutive: other contingent shares</t>
  </si>
  <si>
    <t>Dilutive: other contingently issuable shares</t>
  </si>
  <si>
    <t>Weighted-average diluted shares</t>
  </si>
  <si>
    <t>Diluted shares — reported (issuer)</t>
  </si>
  <si>
    <t>Check: calc. − reported diluted shares</t>
  </si>
  <si>
    <t>Check: calculated − reported diluted shares</t>
  </si>
  <si>
    <t>Dilutive shares % of basic</t>
  </si>
  <si>
    <t>Buybacks and issuance</t>
  </si>
  <si>
    <t>Share repurchases, cash (EUR m)</t>
  </si>
  <si>
    <t>Share repurchases — cash (EUR m, cash flow)</t>
  </si>
  <si>
    <t>Shares repurchased (m, issuer)</t>
  </si>
  <si>
    <t>1Q26 = 1H26 1,349,216 − 2Q26 575,866 (S4); 2025 quarterly split not disclosed</t>
  </si>
  <si>
    <t>Average repurchase price (EUR per share)</t>
  </si>
  <si>
    <t>Cash basis / shares (approximation)</t>
  </si>
  <si>
    <t xml:space="preserve">   Assumed avg repurchase price (USD)</t>
  </si>
  <si>
    <t>3Q26 trading range ~USD 459-560 (S12)</t>
  </si>
  <si>
    <t xml:space="preserve">   EUR/USD (3Q26 average assumption)</t>
  </si>
  <si>
    <t>ECB month-ends: Jul 1.1485, Aug 1.1596, Sep 1.1355 (S13)</t>
  </si>
  <si>
    <t xml:space="preserve">   Time-weighting of repurchases</t>
  </si>
  <si>
    <t>Time-weighting of repurchases in quarter</t>
  </si>
  <si>
    <t>Weighted reduction from repurchases (m)</t>
  </si>
  <si>
    <t>Approximation (retained): roll starts from 2Q26 weighted avg and omits full-quarter carry-over of 2Q26 buybacks/issuance. EPS sensitivity ≈ ±EUR 0.004 (documented range 2.6107–2.6155; buyback carry-over alternative = IS H131). Not applied</t>
  </si>
  <si>
    <t>Weighted issuance, option/RSU (m)</t>
  </si>
  <si>
    <t>2Q26 basic +0.07m despite ~0.29m weighted buyback (implied ~0.37m)</t>
  </si>
  <si>
    <t>Shares outstanding, period-end (m)</t>
  </si>
  <si>
    <t>20-F cover (S9); other quarter-ends not disclosed in sources used</t>
  </si>
  <si>
    <t>Share count behind forecast EPS</t>
  </si>
  <si>
    <t>Diluted shares used for 3Q26E EPS (m)</t>
  </si>
  <si>
    <t>3Q26E normalized diluted EPS (EUR)</t>
  </si>
  <si>
    <t>Guidance</t>
  </si>
  <si>
    <t>Metric</t>
  </si>
  <si>
    <t>Guidance date</t>
  </si>
  <si>
    <t>Low</t>
  </si>
  <si>
    <t>High</t>
  </si>
  <si>
    <t>Midpoint</t>
  </si>
  <si>
    <t>Actual / Shortcut est.</t>
  </si>
  <si>
    <t>Actual − midpoint</t>
  </si>
  <si>
    <t>Beat / miss (model)</t>
  </si>
  <si>
    <t>Issuer assessment</t>
  </si>
  <si>
    <t>Total MAUs (m)</t>
  </si>
  <si>
    <t>Above</t>
  </si>
  <si>
    <t>Premium subscribers (m)</t>
  </si>
  <si>
    <t>In-Line</t>
  </si>
  <si>
    <t>Revenue (EUR m; guided in EUR bn, 1 dp)</t>
  </si>
  <si>
    <t>Social charges embedded (EUR m)</t>
  </si>
  <si>
    <t>Below (favourable)</t>
  </si>
  <si>
    <t>FX impact on revenue growth (bps)</t>
  </si>
  <si>
    <t>Below</t>
  </si>
  <si>
    <t>Pending — reports 2026-10-22</t>
  </si>
  <si>
    <t>CapIQ revenue_guidance field (S1)</t>
  </si>
  <si>
    <t>Check vs issuer guide = 0</t>
  </si>
  <si>
    <t>Point guidance: issuer gives single values (low = high). Sources: S7, S6, S5, S3 outlook and actual-vs-guidance pages. 3Q26 "actual" column shows the Shortcut estimate (E).</t>
  </si>
  <si>
    <t>Sources</t>
  </si>
  <si>
    <t>EUR millions, except per share (source register)</t>
  </si>
  <si>
    <t>ID / title</t>
  </si>
  <si>
    <t>Pub. date</t>
  </si>
  <si>
    <t>Publisher</t>
  </si>
  <si>
    <t>URL or file</t>
  </si>
  <si>
    <t>What it feeds</t>
  </si>
  <si>
    <t>Retrieved (UTC)</t>
  </si>
  <si>
    <t>S1 CapIQ consensus snapshot</t>
  </si>
  <si>
    <t>S&amp;P Capital IQ</t>
  </si>
  <si>
    <t>SPOT_consensus.json (attached)</t>
  </si>
  <si>
    <t>Inputs A; Cover consensus; IS consensus rows; calibration</t>
  </si>
  <si>
    <t>file</t>
  </si>
  <si>
    <t>S2 CapIQ six-quarter history</t>
  </si>
  <si>
    <t>SPOT_history.csv (attached)</t>
  </si>
  <si>
    <t>Inputs B; IS normalized-EPS check; beat calibration</t>
  </si>
  <si>
    <t>S3 Q2 2026 Update (6-K Ex.99.1)</t>
  </si>
  <si>
    <t>Spotify / SEC</t>
  </si>
  <si>
    <t>https://www.sec.gov/Archives/edgar/data/1639920/000114036126031044/ef20078867_ex99-1.htm</t>
  </si>
  <si>
    <t>All tabs: 2Q26 IS/BS/CF, KPIs, FX, FCF, 3Q26 guidance</t>
  </si>
  <si>
    <t>S4 Q2 2026 6-K interim statements</t>
  </si>
  <si>
    <t>https://www.sec.gov/Archives/edgar/data/1639920/000162828026052543/spot-20260630x6xk.htm</t>
  </si>
  <si>
    <t>Segment GP, finance note, tax note, revenue by country, buybacks</t>
  </si>
  <si>
    <t>S5 Q1 2026 Update (6-K Ex.99.1)</t>
  </si>
  <si>
    <t>https://www.sec.gov/Archives/edgar/data/1639920/000114036126017211/ef20071303_ex99-1.htm</t>
  </si>
  <si>
    <t>1Q26 statements; segment reclassification appendix (2024-25)</t>
  </si>
  <si>
    <t>S6 Q4 2025 Update (6-K Ex.99.1)</t>
  </si>
  <si>
    <t>https://www.sec.gov/Archives/edgar/data/1639920/000114036126004482/ef20065075_ex99-1.htm</t>
  </si>
  <si>
    <t>4Q25 and FY25 statements, EPS, FX, guidance</t>
  </si>
  <si>
    <t>S7 Q3 2025 Update (6-K Ex.99.1)</t>
  </si>
  <si>
    <t>https://www.sec.gov/Archives/edgar/data/1639920/000114036125040271/ef20057592_ex99-1.htm</t>
  </si>
  <si>
    <t>3Q25 statements, BS 30-Sep-25, KPIs, FX, guidance</t>
  </si>
  <si>
    <t>S8 Q3 2025 6-K interim statements</t>
  </si>
  <si>
    <t>https://www.sec.gov/Archives/edgar/data/1639920/000162828025048927/spot-20250930x6xk.htm</t>
  </si>
  <si>
    <t>Finance note, tax note, revenue by country 3Q25</t>
  </si>
  <si>
    <t>S9 20-F FY2025 segment/country note</t>
  </si>
  <si>
    <t>https://www.sec.gov/Archives/edgar/data/1639920/000162828026006874/R30.htm</t>
  </si>
  <si>
    <t>FY25 revenue by country; FY25 ARPU; shares outstanding</t>
  </si>
  <si>
    <t>S10 Q2 2026 earnings call transcript</t>
  </si>
  <si>
    <t>The Motley Fool</t>
  </si>
  <si>
    <t>https://www.fool.com/earnings/call-transcripts/2026/08/11/spotify-spot-q2-2026-earnings-call-transcript/</t>
  </si>
  <si>
    <t>Opex guidance colour, Q3 regulatory fee, ad automation %</t>
  </si>
  <si>
    <t>S11 Q3 2026 results date announcement</t>
  </si>
  <si>
    <t>Business Wire</t>
  </si>
  <si>
    <t>https://www.businesswire.com/news/home/20260924855017/en/Spotify-Technology-S.A.-to-Announce-Results-for-Third-Quarter-2026</t>
  </si>
  <si>
    <t>Expected report date 2026-10-22</t>
  </si>
  <si>
    <t>S12 SPOT close 30-Sep-2026 USD 487.38</t>
  </si>
  <si>
    <t>StatMuse / exa market data</t>
  </si>
  <si>
    <t>https://www.statmuse.com/money/ask/what-was-the-highest-price-for-spotify-technology-last-month</t>
  </si>
  <si>
    <t>Social-charge driver; buyback price</t>
  </si>
  <si>
    <t>S13 ECB EUR/USD 30-Sep-2026</t>
  </si>
  <si>
    <t>Banca d'Italia / ECB</t>
  </si>
  <si>
    <t>https://www.bancaditalia.it/compiti/operazioni-cambi/cambio/cambi_rif_20260930/</t>
  </si>
  <si>
    <t>FX assumptions</t>
  </si>
  <si>
    <t>S14 Inderes Q3'26 preview</t>
  </si>
  <si>
    <t>Inderes</t>
  </si>
  <si>
    <t>https://www.inderes.se/research/spotify-q326-forhandskommentar-uppsidan-mattas-av-i-takt-med-att-aktiekursen-springer-ifran</t>
  </si>
  <si>
    <t>Social charges ~EUR 19-20m; ARPU cc ~7%</t>
  </si>
  <si>
    <t>S15 Earnings Whispers preview</t>
  </si>
  <si>
    <t>Earnings Whispers</t>
  </si>
  <si>
    <t>https://www.earningswhispers.com/article/SPOT/20543</t>
  </si>
  <si>
    <t>Street context, ad inflection expectations</t>
  </si>
  <si>
    <t>S16 Zacks earnings preview</t>
  </si>
  <si>
    <t>Zacks / Yahoo Finance</t>
  </si>
  <si>
    <t>https://finance.yahoo.com/markets/stocks/articles/analysts-estimate-spotify-spot-report-130007377.html</t>
  </si>
  <si>
    <t>Other consensus (USD 3.12; ESP −4.82%)</t>
  </si>
  <si>
    <t>S17 Drillr Q3 2026 preview</t>
  </si>
  <si>
    <t>Drillr</t>
  </si>
  <si>
    <t>https://drillr.ai/article/spot-spotify-q3-2026-earnings-preview-pricing-ads-margins</t>
  </si>
  <si>
    <t>Other consensus (rev EUR 4,999m; NI EUR 592m)</t>
  </si>
  <si>
    <t>S18 Market capitalization</t>
  </si>
  <si>
    <t>StatMuse Money</t>
  </si>
  <si>
    <t>https://www.statmuse.com/money/ask/spotify-market-cap-2026</t>
  </si>
  <si>
    <t>Size bucket (USD 109.1bn)</t>
  </si>
  <si>
    <t>S19 Benelux price increase</t>
  </si>
  <si>
    <t>FWD.nl</t>
  </si>
  <si>
    <t>https://fwd.nl/entertainment/streamingdiensten-entertainment/spotify-verhoogt-de-prijzen-van-premium-in-nederland-en-belgie/</t>
  </si>
  <si>
    <t>ARPU context (Sep-2026 billing)</t>
  </si>
  <si>
    <t>S20 Q2 2024 Update (KPI history)</t>
  </si>
  <si>
    <t>https://www.sec.gov/Archives/edgar/data/1639920/000114036124033792/ef20032688_ex99-1.htm</t>
  </si>
  <si>
    <t>Opening subs/MAUs for 3Q24 and FY24 comparatives</t>
  </si>
  <si>
    <t>S21 Playbook reference rates</t>
  </si>
  <si>
    <t>FactSet / LSEG</t>
  </si>
  <si>
    <t>https://insight.factset.com/sp-500-earnings-season-update-july-31-2026</t>
  </si>
  <si>
    <t>Context only (cohort prior from playbook)</t>
  </si>
  <si>
    <t>S22 3Q26 guidance vs Visible Alpha</t>
  </si>
  <si>
    <t>The Globe and Mail (Reuters)</t>
  </si>
  <si>
    <t>https://www.theglobeandmail.com/business/article-spotify-third-quarter-forecast-user-growth/</t>
  </si>
  <si>
    <t>Pre-guide OI consensus EUR 677.8m</t>
  </si>
  <si>
    <t>S23 Seeking Alpha pre-Q3 downgrade</t>
  </si>
  <si>
    <t>Seeking Alpha</t>
  </si>
  <si>
    <t>https://seekingalpha.com/article/4954722-spotify-why-im-downgrading-before-q3-earnings</t>
  </si>
  <si>
    <t>Estimate-revision direction (lower)</t>
  </si>
  <si>
    <t>S24 S&amp;P 500 eligibility</t>
  </si>
  <si>
    <t>Finexus</t>
  </si>
  <si>
    <t>https://api.finexus.net/api/news/events/dfaa1e7e-d4a1-410f-8cb7-3cc0168ef886/html</t>
  </si>
  <si>
    <t>Not an S&amp;P 500 member (Luxembourg domicile)</t>
  </si>
  <si>
    <t>Tabs omitted: none. Two reported segments (Premium, Ad-Supported) each have a Segment tab; Geo is included because revenue by country (US, Luxembourg, other) is disclosed (S4, S8, S9).</t>
  </si>
  <si>
    <t>Inputs tab (after Sources) embeds the complete CapIQ summary row and all six history rows plus comparative-period filing data.</t>
  </si>
  <si>
    <t>Excluded as post-cutoff (seen in search results, not used): Zacks key-metrics preview 2026-10-19; Bernstein note 2026-10-19; thebenchmark.es 2026-10-19; SPOT price 2026-10-19.</t>
  </si>
  <si>
    <t>Target-quarter (3Q26) actual results were not observed: issuer reports 2026-10-22, after the 2026-10-18 cutoff.</t>
  </si>
  <si>
    <t>Not available in sources (left as n.a., not zero): subscriber gross adds and churn, M&amp;A/scope contribution, FX by country, 4Q25 finance-income components, 2025 quarterly buyback share counts.</t>
  </si>
  <si>
    <t>Retrieval limitation: web sources S3–S24 were retrieved 2026-10-20 (G12:G33), after the 2026-10-18 21:34 UTC cutoff; only content published on/before the cutoff was used (C12:C33). No as-of-cutoff archived snapshots exist for dynamic pages S12/S18; values used are pre-cutoff dated (30-Sep close 487.38; 16-Oct close 530.46 = CapIQ last_close).</t>
  </si>
  <si>
    <t>Inputs (CapIQ files and comparative-period filings data)</t>
  </si>
  <si>
    <t>A. CapIQ consensus snapshot — SPOT_consensus.json (S1); top-level fields then complete summary_row, one field per row; blank source values kept blank</t>
  </si>
  <si>
    <t>Field</t>
  </si>
  <si>
    <t>Value</t>
  </si>
  <si>
    <t>Unit / note</t>
  </si>
  <si>
    <t>source</t>
  </si>
  <si>
    <t>ticker</t>
  </si>
  <si>
    <t>SPOT</t>
  </si>
  <si>
    <t>company</t>
  </si>
  <si>
    <t>fiscal_period</t>
  </si>
  <si>
    <t>FQ3 2026 - Sep 2026</t>
  </si>
  <si>
    <t>period_end_date</t>
  </si>
  <si>
    <t>as_of_date</t>
  </si>
  <si>
    <t>analyst_count</t>
  </si>
  <si>
    <t>consensus_eps</t>
  </si>
  <si>
    <t>EUR per diluted ordinary share</t>
  </si>
  <si>
    <t>eps_basis</t>
  </si>
  <si>
    <t>Normalized diluted EPS per ordinary/common share, EUR; verify issuer adjustments and share identity</t>
  </si>
  <si>
    <t>consensus_revenue_m</t>
  </si>
  <si>
    <t>EUR millions</t>
  </si>
  <si>
    <t>currency</t>
  </si>
  <si>
    <t>EUR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</si>
  <si>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</si>
  <si>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</si>
  <si>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</si>
  <si>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</si>
  <si>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</si>
  <si>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EUR (EPS per share in EUR; revenue and income in EUR millions, CapIQ Company Level EUR) - note the listing is NYSE and the share price is USD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</si>
  <si>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</si>
  <si>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</si>
  <si>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</si>
  <si>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</si>
  <si>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</si>
  <si>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</si>
  <si>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company_name</t>
  </si>
  <si>
    <t>exchange_ticker</t>
  </si>
  <si>
    <t>NYSE:SPOT</t>
  </si>
  <si>
    <t>capiq_company_id</t>
  </si>
  <si>
    <t>currency_basis</t>
  </si>
  <si>
    <t>fiscal_year_end</t>
  </si>
  <si>
    <t>Dec-31</t>
  </si>
  <si>
    <t>fiscal_quarter</t>
  </si>
  <si>
    <t>quarter_end_date</t>
  </si>
  <si>
    <t>expected_report_date</t>
  </si>
  <si>
    <t>normalized diluted and GAAP diluted, as labelled</t>
  </si>
  <si>
    <t>EUR / diluted share</t>
  </si>
  <si>
    <t>eps_normalized_estimates</t>
  </si>
  <si>
    <t>eps_normalized_contributors</t>
  </si>
  <si>
    <t>detail_tab_total_contributors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</si>
  <si>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</si>
  <si>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</si>
  <si>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</si>
  <si>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</si>
  <si>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</si>
  <si>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</si>
  <si>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</si>
  <si>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EUR / diluted share; blank in source = unavailable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</si>
  <si>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</si>
  <si>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</si>
  <si>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</si>
  <si>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</si>
  <si>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</si>
  <si>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</si>
  <si>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</si>
  <si>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</si>
  <si>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</si>
  <si>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</si>
  <si>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</si>
  <si>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</si>
  <si>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EUR m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</si>
  <si>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</si>
  <si>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</si>
  <si>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</si>
  <si>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</si>
  <si>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</si>
  <si>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</si>
  <si>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</si>
  <si>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EUR m; blank in source = unavailable</t>
  </si>
  <si>
    <t>revenue_guidance_high</t>
  </si>
  <si>
    <t>ebitda</t>
  </si>
  <si>
    <t>EUR m (consensus)</t>
  </si>
  <si>
    <t>ebit</t>
  </si>
  <si>
    <t>ebt_excl_excep</t>
  </si>
  <si>
    <t>ebt_gaap</t>
  </si>
  <si>
    <t>net_income_excl_excep</t>
  </si>
  <si>
    <t>net_income_gaap</t>
  </si>
  <si>
    <t>gross_margin_pct</t>
  </si>
  <si>
    <t>blank in source = unavailable</t>
  </si>
  <si>
    <t>effective_tax_rate_pct</t>
  </si>
  <si>
    <t>d_and_a</t>
  </si>
  <si>
    <t>capex</t>
  </si>
  <si>
    <t>EUR m (consensus); blank in source = unavailable</t>
  </si>
  <si>
    <t>cfo</t>
  </si>
  <si>
    <t>fcf</t>
  </si>
  <si>
    <t>interest_expense</t>
  </si>
  <si>
    <t>net_debt</t>
  </si>
  <si>
    <t>nav</t>
  </si>
  <si>
    <t>roe_pct</t>
  </si>
  <si>
    <t>target_price_mean</t>
  </si>
  <si>
    <t>USD (not used in model)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</si>
  <si>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</si>
  <si>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</si>
  <si>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</si>
  <si>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</si>
  <si>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</si>
  <si>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</si>
  <si>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</si>
  <si>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</si>
  <si>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</si>
  <si>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</si>
  <si>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696.95/405.00</t>
  </si>
  <si>
    <t>estimates_captured_at</t>
  </si>
  <si>
    <t>notes</t>
  </si>
  <si>
    <t>Mixed units. EPS, revenue and income are EUR; the NYSE:SPOT price, target price and 52-week range are USD. CapIQ expects the FQ3 2026 release on Nov-03-2026, outside the Oct 19-23 window.</t>
  </si>
  <si>
    <t>B. CapIQ history — SPOT_history.csv (S2), all six rows; EPS EUR per diluted share, revenue EUR m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</si>
  <si>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</si>
  <si>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</si>
  <si>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</si>
  <si>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</si>
  <si>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</si>
  <si>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</si>
  <si>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</si>
  <si>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C. Comparative periods from issuer filings (prior-year quarters for Y/Y; 1Q25-2Q25 for FY25 sums). Cols C-G = 3Q24A, 4Q24A, 1Q25A, 2Q25A, FY24A</t>
  </si>
  <si>
    <t>3Q24A</t>
  </si>
  <si>
    <t>4Q24A</t>
  </si>
  <si>
    <t>1Q25A</t>
  </si>
  <si>
    <t>2Q25A</t>
  </si>
  <si>
    <t>FY24A</t>
  </si>
  <si>
    <t>S7, S6, S5, S3; FY24 S9</t>
  </si>
  <si>
    <t>Premium revenue (2026 basis)</t>
  </si>
  <si>
    <t>S5 reclassification appendix</t>
  </si>
  <si>
    <t>Ad-Supported revenue (2026 basis)</t>
  </si>
  <si>
    <t>Check: segments − revenue</t>
  </si>
  <si>
    <t>S5 appendix</t>
  </si>
  <si>
    <t>R&amp;D % of revenue</t>
  </si>
  <si>
    <t>S&amp;M % of revenue</t>
  </si>
  <si>
    <t>G&amp;A % of revenue</t>
  </si>
  <si>
    <t>Opex % of revenue</t>
  </si>
  <si>
    <t>Social charges included in opex</t>
  </si>
  <si>
    <t>S7/S6/S5/S3 opex commentary; FY24 not extracted (unavailable)</t>
  </si>
  <si>
    <t>Opex excl. social charges</t>
  </si>
  <si>
    <t>FV gains on dilutive Exchangeable Notes (diluted numerator)</t>
  </si>
  <si>
    <t>Diluted EPS — calculated (EUR)</t>
  </si>
  <si>
    <t>Diluted EPS — reported (EUR)</t>
  </si>
  <si>
    <t>Basic EPS — reported (EUR)</t>
  </si>
  <si>
    <t>Free cash flow — reported (issuer FCF table)</t>
  </si>
  <si>
    <t>S3 FCF reconciliation table</t>
  </si>
  <si>
    <t>Premium subscribers, period-end (m)</t>
  </si>
  <si>
    <t>S7/S6/S5/S3; S20</t>
  </si>
  <si>
    <t>Premium subscribers, opening (m)</t>
  </si>
  <si>
    <t>S20 (2Q24 246, 4Q23 236)</t>
  </si>
  <si>
    <t>Premium subscribers, average (m)</t>
  </si>
  <si>
    <t>Premium net additions (m)</t>
  </si>
  <si>
    <t>Derived Premium ARPU (EUR/month)</t>
  </si>
  <si>
    <t>Total MAUs, period-end (m)</t>
  </si>
  <si>
    <t>Total MAUs, opening (m)</t>
  </si>
  <si>
    <t>S20</t>
  </si>
  <si>
    <t>Total MAUs, average (m)</t>
  </si>
  <si>
    <t>Total MAU net additions (m)</t>
  </si>
  <si>
    <t>Ad-Supported MAUs, period-end (m)</t>
  </si>
  <si>
    <t>Ad-Supported MAUs, opening (m)</t>
  </si>
  <si>
    <t>Ad-Supported MAUs, average (m)</t>
  </si>
  <si>
    <t>Ad-Supported MAU net additions (m)</t>
  </si>
  <si>
    <t>Ad rev per avg Ad MAU (EUR/quarter)</t>
  </si>
  <si>
    <t>Overlap: subs + Ad MAUs − total MAUs (m)</t>
  </si>
  <si>
    <t>Revenue — United States</t>
  </si>
  <si>
    <t>S8/S4/S9; 4Q24 = FY24 − 9M24 and 1Q25 = 1H25 − 2Q25 by formula (section F)</t>
  </si>
  <si>
    <t>Revenue — Luxembourg</t>
  </si>
  <si>
    <t>Revenue — Other countries</t>
  </si>
  <si>
    <t>Revenue — total by country</t>
  </si>
  <si>
    <t>Cash flow — 1Q25A and 2Q25A only (feed FY25A sums; S5, S3 comparative columns). Other comparative columns not required.</t>
  </si>
  <si>
    <t>Depreciation (PP&amp;E and ROU assets)</t>
  </si>
  <si>
    <t>Amortization of intangible assets</t>
  </si>
  <si>
    <t>Impairment of real estate assets</t>
  </si>
  <si>
    <t>Share-based compensation expense</t>
  </si>
  <si>
    <t>Other</t>
  </si>
  <si>
    <t>(Incr.)/decr. in receivables &amp; other</t>
  </si>
  <si>
    <t>Incr./(decr.) in trade &amp; other liab.</t>
  </si>
  <si>
    <t>Increase in deferred revenue</t>
  </si>
  <si>
    <t>Increase/(decrease) in provisions</t>
  </si>
  <si>
    <t>Interest paid</t>
  </si>
  <si>
    <t>Interest received</t>
  </si>
  <si>
    <t>Income tax paid</t>
  </si>
  <si>
    <t>Business combinations, net of cash</t>
  </si>
  <si>
    <t>Deferred consideration paid</t>
  </si>
  <si>
    <t>Purchases of property and equipment</t>
  </si>
  <si>
    <t>Purchases of ST investments</t>
  </si>
  <si>
    <t>Purchases of short term investments</t>
  </si>
  <si>
    <t>Sales/maturities of ST investments</t>
  </si>
  <si>
    <t>Change in restricted cash</t>
  </si>
  <si>
    <t>Dividends received</t>
  </si>
  <si>
    <t>Other investing</t>
  </si>
  <si>
    <t>Proceeds from stock option exercises</t>
  </si>
  <si>
    <t>Repurchases of ordinary shares</t>
  </si>
  <si>
    <t>Payments of lease liabilities</t>
  </si>
  <si>
    <t>Repayment of Exchangeable Notes</t>
  </si>
  <si>
    <t>Taxes withheld on RSU releases</t>
  </si>
  <si>
    <t>Capex (issuer FCF definition)</t>
  </si>
  <si>
    <t>Capital expenditures (issuer FCF definition)</t>
  </si>
  <si>
    <t>Change in restricted cash (FCF def.)</t>
  </si>
  <si>
    <t>Change in restricted cash (issuer FCF definition)</t>
  </si>
  <si>
    <t>Free cash flow (issuer definition)</t>
  </si>
  <si>
    <t>D. Beat-probability calibration (playbook v2: size and issuer history) — feeds Cover P(beat)</t>
  </si>
  <si>
    <t>Market cap (USD bn, 2026-10-16)</t>
  </si>
  <si>
    <t>USD bn</t>
  </si>
  <si>
    <t>Market cap (USD bn, 2026-10-16 close $530.46 × 205.62m sh; S18)</t>
  </si>
  <si>
    <t>Size bucket</t>
  </si>
  <si>
    <t>Large (&gt;USD 10bn)</t>
  </si>
  <si>
    <t>S&amp;P 500 member?</t>
  </si>
  <si>
    <t>No — Luxembourg domicile ineligible (S24)</t>
  </si>
  <si>
    <t>Cohort prior (large OR S&amp;P 500)</t>
  </si>
  <si>
    <t>Unchanged cohort prior from frozen forecasting-playbook.md step 7: 0.78 for large OR S&amp;P 500 (applied once); file is labelled v2 experimental</t>
  </si>
  <si>
    <t>b = strict beats (6 CapIQ pairs)</t>
  </si>
  <si>
    <t>b = strict beats in six CapIQ normalized EPS pairs</t>
  </si>
  <si>
    <t>n = valid pairs</t>
  </si>
  <si>
    <t>n = valid pairs (all six on same normalized basis)</t>
  </si>
  <si>
    <t>Pseudo-count (fixed)</t>
  </si>
  <si>
    <t>Starting p = (k × prior + b) / (k + n)</t>
  </si>
  <si>
    <t>Quarter-specific evidence adjustment</t>
  </si>
  <si>
    <t>Quarter-specific evidence adjustment (original judgment, not recalibrated): model EPS 0.24 (~1.2 s.d.) below consensus; 2Q26 below-the-line miss; note FV-gain beat source gone; social charges ~EUR 13m above guide; Zacks ESP −4.82%; upside tails keep p &gt; 0.15 (prior-calibration.json)</t>
  </si>
  <si>
    <t>Final P(beat consensus EPS)</t>
  </si>
  <si>
    <t>medium</t>
  </si>
  <si>
    <t>E. Other consensus observations (recorded separately; NOT the scoring baseline)</t>
  </si>
  <si>
    <t>Zacks consensus EPS, USD (S16)</t>
  </si>
  <si>
    <t>USD per share; Most Accurate Estimate implies ESP −4.82%</t>
  </si>
  <si>
    <t>Zacks consensus EPS, USD (2026-10-15, S16)</t>
  </si>
  <si>
    <t>Drillr NI consensus, EUR m (S17)</t>
  </si>
  <si>
    <t>revenue EUR 4,999m</t>
  </si>
  <si>
    <t>Drillr 16-analyst NI consensus, EUR m (2026-09-27, S17)</t>
  </si>
  <si>
    <t>Visible Alpha OI cons., EUR m (S22)</t>
  </si>
  <si>
    <t>before guidance of EUR 670m</t>
  </si>
  <si>
    <t>Visible Alpha 3Q26 OI consensus pre-guide, EUR m (2026-08-04, S22)</t>
  </si>
  <si>
    <t>F. Reported cumulative figures used to derive quarters by formula (revenue by country, EUR m; buyback shares, m)</t>
  </si>
  <si>
    <t>US revenue 9M24</t>
  </si>
  <si>
    <t>S8</t>
  </si>
  <si>
    <t>Luxembourg revenue 9M24</t>
  </si>
  <si>
    <t>Other countries revenue 9M24</t>
  </si>
  <si>
    <t>US revenue 1H25</t>
  </si>
  <si>
    <t>S4</t>
  </si>
  <si>
    <t>Luxembourg revenue 1H25</t>
  </si>
  <si>
    <t>Other countries revenue 1H25</t>
  </si>
  <si>
    <t>US revenue 9M25</t>
  </si>
  <si>
    <t>Luxembourg revenue 9M25</t>
  </si>
  <si>
    <t>Other countries revenue 9M25</t>
  </si>
  <si>
    <t>US revenue FY25</t>
  </si>
  <si>
    <t>S9</t>
  </si>
  <si>
    <t>Luxembourg revenue FY25</t>
  </si>
  <si>
    <t>Other countries revenue FY25</t>
  </si>
  <si>
    <t>US revenue 1H26</t>
  </si>
  <si>
    <t>Luxembourg revenue 1H26</t>
  </si>
  <si>
    <t>Other countries revenue 1H26</t>
  </si>
  <si>
    <t>Shares repurchased 1H26 (m)</t>
  </si>
</sst>
</file>

<file path=xl/styles.xml><?xml version="1.0" encoding="utf-8"?>
<styleSheet xmlns="http://schemas.openxmlformats.org/spreadsheetml/2006/main">
  <numFmts count="11">
    <numFmt numFmtId="164" formatCode="yyyy-mm-dd"/>
    <numFmt numFmtId="165" formatCode="0.0%_);(0.0%);–_)"/>
    <numFmt numFmtId="166" formatCode="General"/>
    <numFmt numFmtId="167" formatCode="#,##0.0_);(#,##0.0);–_)"/>
    <numFmt numFmtId="168" formatCode="0"/>
    <numFmt numFmtId="169" formatCode="0.00_);(0.00);–_)"/>
    <numFmt numFmtId="170" formatCode="0.0%"/>
    <numFmt numFmtId="171" formatCode="#,##0_);(#,##0);–_)"/>
    <numFmt numFmtId="172" formatCode="#,##0.00_);(#,##0.00);–_)"/>
    <numFmt numFmtId="173" formatCode="#,##0&quot; bps&quot;_);(#,##0&quot; bps&quot;);–_)"/>
    <numFmt numFmtId="174" formatCode="0.0000_);(0.0000);–_)"/>
  </numFmts>
  <fonts count="24">
    <font>
      <sz val="11"/>
      <name val="Calibri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2"/>
      <color rgb="FF0000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595959"/>
      <name val="Arial"/>
    </font>
    <font>
      <b val="0"/>
      <i/>
      <strike val="0"/>
      <sz val="10"/>
      <color rgb="FF0061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FF"/>
      <name val="Arial"/>
    </font>
    <font>
      <b val="0"/>
      <i/>
      <strike val="0"/>
      <sz val="10"/>
      <color rgb="FF0000FF"/>
      <name val="Arial"/>
    </font>
    <font>
      <b/>
      <i val="0"/>
      <strike val="0"/>
      <sz val="14"/>
      <color rgb="FF000000"/>
      <name val="Arial"/>
    </font>
    <font>
      <b val="0"/>
      <i val="0"/>
      <strike val="0"/>
      <sz val="11"/>
      <color rgb="FF000000"/>
      <name val="Calibri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006100"/>
      <name val="Arial"/>
    </font>
    <font>
      <b val="0"/>
      <i/>
      <strike val="0"/>
      <sz val="10"/>
      <color rgb="FF595959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4">
    <border>
      <left/>
      <right/>
      <top/>
      <bottom/>
      <diagonal/>
    </border>
    <border>
      <top style="thin">
        <color rgb="FF808080"/>
      </top>
      <bottom style="thin">
        <color rgb="FF808080"/>
      </bottom>
    </border>
    <border>
      <top style="thin">
        <color rgb="FF808080"/>
      </top>
    </border>
    <border>
      <bottom style="thin">
        <color rgb="FF808080"/>
      </bottom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Fill="1" applyAlignment="1" applyProtection="1">
      <alignment horizontal="left" vertical="bottom"/>
      <protection locked="1" hidden="0"/>
    </xf>
    <xf numFmtId="0" fontId="2" fillId="0" borderId="0" xfId="0" applyFont="1" applyFill="1" applyAlignment="1" applyProtection="1">
      <alignment horizontal="left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164" fontId="2" fillId="0" borderId="0" xfId="0" applyNumberFormat="1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0" fontId="2" fillId="2" borderId="0" xfId="0" applyFont="1" applyFill="1" applyAlignment="1" applyProtection="1">
      <alignment horizontal="right" vertical="bottom"/>
      <protection locked="1" hidden="0"/>
    </xf>
    <xf numFmtId="0" fontId="4" fillId="2" borderId="1" xfId="0" applyFont="1" applyFill="1" applyBorder="1" applyAlignment="1" applyProtection="1">
      <alignment horizontal="left" vertical="bottom" wrapText="1"/>
      <protection locked="1" hidden="0"/>
    </xf>
    <xf numFmtId="0" fontId="4" fillId="2" borderId="2" xfId="0" applyFont="1" applyFill="1" applyBorder="1" applyAlignment="1" applyProtection="1">
      <alignment horizontal="right" vertical="bottom"/>
      <protection locked="1" hidden="0"/>
    </xf>
    <xf numFmtId="0" fontId="2" fillId="2" borderId="3" xfId="0" applyFont="1" applyFill="1" applyBorder="1" applyAlignment="1" applyProtection="1">
      <alignment horizontal="right" vertical="bottom"/>
      <protection locked="1" hidden="0"/>
    </xf>
    <xf numFmtId="0" fontId="2" fillId="2" borderId="3" xfId="0" applyFont="1" applyFill="1" applyBorder="1" applyAlignment="1" applyProtection="1">
      <alignment horizontal="left" vertical="bottom"/>
      <protection locked="1" hidden="0"/>
    </xf>
    <xf numFmtId="165" fontId="1" fillId="0" borderId="0" xfId="0" applyNumberFormat="1" applyFont="1" applyFill="1" applyAlignment="1" applyProtection="1">
      <alignment horizontal="right" vertical="bottom"/>
      <protection locked="1" hidden="0"/>
    </xf>
    <xf numFmtId="166" fontId="4" fillId="2" borderId="2" xfId="0" applyNumberFormat="1" applyFont="1" applyFill="1" applyBorder="1" applyAlignment="1" applyProtection="1">
      <alignment horizontal="right" vertical="bottom"/>
      <protection locked="1" hidden="0"/>
    </xf>
    <xf numFmtId="0" fontId="5" fillId="0" borderId="0" xfId="0" applyFont="1" applyFill="1" applyAlignment="1" applyProtection="1">
      <alignment horizontal="left" vertical="bottom"/>
      <protection locked="1" hidden="0"/>
    </xf>
    <xf numFmtId="165" fontId="6" fillId="0" borderId="0" xfId="0" applyNumberFormat="1" applyFont="1" applyFill="1" applyAlignment="1" applyProtection="1">
      <alignment horizontal="right" vertical="bottom"/>
      <protection locked="1" hidden="0"/>
    </xf>
    <xf numFmtId="166" fontId="2" fillId="0" borderId="0" xfId="0" applyNumberFormat="1" applyFont="1" applyFill="1" applyAlignment="1" applyProtection="1">
      <alignment horizontal="right" vertical="bottom"/>
      <protection locked="1" hidden="0"/>
    </xf>
    <xf numFmtId="167" fontId="2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bottom"/>
      <protection locked="1" hidden="0"/>
    </xf>
    <xf numFmtId="165" fontId="1" fillId="3" borderId="0" xfId="0" applyNumberFormat="1" applyFont="1" applyFill="1" applyAlignment="1" applyProtection="1">
      <alignment horizontal="right" vertical="bottom"/>
      <protection locked="1" hidden="0"/>
    </xf>
    <xf numFmtId="164" fontId="2" fillId="2" borderId="0" xfId="0" applyNumberFormat="1" applyFont="1" applyFill="1" applyAlignment="1" applyProtection="1">
      <alignment horizontal="right" vertical="bottom"/>
      <protection locked="1" hidden="0"/>
    </xf>
    <xf numFmtId="167" fontId="7" fillId="3" borderId="0" xfId="0" applyNumberFormat="1" applyFont="1" applyFill="1" applyAlignment="1" applyProtection="1">
      <alignment horizontal="right" vertical="bottom"/>
      <protection locked="1" hidden="0"/>
    </xf>
    <xf numFmtId="167" fontId="7" fillId="0" borderId="0" xfId="0" applyNumberFormat="1" applyFont="1" applyFill="1" applyAlignment="1" applyProtection="1">
      <alignment horizontal="right" vertical="bottom"/>
      <protection locked="1" hidden="0"/>
    </xf>
    <xf numFmtId="0" fontId="2" fillId="2" borderId="0" xfId="0" applyFont="1" applyFill="1" applyAlignment="1" applyProtection="1">
      <alignment horizontal="left" vertical="bottom"/>
      <protection locked="1" hidden="0"/>
    </xf>
    <xf numFmtId="167" fontId="4" fillId="0" borderId="2" xfId="0" applyNumberFormat="1" applyFont="1" applyFill="1" applyBorder="1" applyAlignment="1" applyProtection="1">
      <alignment horizontal="right" vertical="bottom"/>
      <protection locked="1" hidden="0"/>
    </xf>
    <xf numFmtId="167" fontId="6" fillId="0" borderId="0" xfId="0" applyNumberFormat="1" applyFont="1" applyFill="1" applyAlignment="1" applyProtection="1">
      <alignment horizontal="right" vertical="bottom"/>
      <protection locked="1" hidden="0"/>
    </xf>
    <xf numFmtId="167" fontId="2" fillId="3" borderId="0" xfId="0" applyNumberFormat="1" applyFont="1" applyFill="1" applyAlignment="1" applyProtection="1">
      <alignment horizontal="right" vertical="bottom"/>
      <protection locked="1" hidden="0"/>
    </xf>
    <xf numFmtId="167" fontId="6" fillId="3" borderId="0" xfId="0" applyNumberFormat="1" applyFont="1" applyFill="1" applyAlignment="1" applyProtection="1">
      <alignment horizontal="right" vertical="bottom"/>
      <protection locked="1" hidden="0"/>
    </xf>
    <xf numFmtId="0" fontId="4" fillId="0" borderId="0" xfId="0" applyFont="1" applyFill="1" applyAlignment="1" applyProtection="1">
      <alignment horizontal="left" vertical="bottom"/>
      <protection locked="1" hidden="0"/>
    </xf>
    <xf numFmtId="168" fontId="2" fillId="2" borderId="3" xfId="0" applyNumberFormat="1" applyFont="1" applyFill="1" applyBorder="1" applyAlignment="1" applyProtection="1">
      <alignment horizontal="right" vertical="bottom"/>
      <protection locked="1" hidden="0"/>
    </xf>
    <xf numFmtId="165" fontId="6" fillId="3" borderId="0" xfId="0" applyNumberFormat="1" applyFont="1" applyFill="1" applyAlignment="1" applyProtection="1">
      <alignment horizontal="right" vertical="bottom"/>
      <protection locked="1" hidden="0"/>
    </xf>
    <xf numFmtId="0" fontId="4" fillId="0" borderId="0" xfId="0" applyFont="1" applyFill="1" applyAlignment="1" applyProtection="1">
      <alignment horizontal="general" vertical="bottom"/>
      <protection locked="1" hidden="0"/>
    </xf>
    <xf numFmtId="0" fontId="4" fillId="2" borderId="2" xfId="0" applyFont="1" applyFill="1" applyBorder="1" applyAlignment="1" applyProtection="1">
      <alignment horizontal="left" vertical="bottom"/>
      <protection locked="1" hidden="0"/>
    </xf>
    <xf numFmtId="165" fontId="2" fillId="0" borderId="0" xfId="0" applyNumberFormat="1" applyFont="1" applyFill="1" applyAlignment="1" applyProtection="1">
      <alignment horizontal="right" vertical="bottom"/>
      <protection locked="1" hidden="0"/>
    </xf>
    <xf numFmtId="169" fontId="4" fillId="0" borderId="2" xfId="0" applyNumberFormat="1" applyFont="1" applyFill="1" applyBorder="1" applyAlignment="1" applyProtection="1">
      <alignment horizontal="right" vertical="bottom"/>
      <protection locked="1" hidden="0"/>
    </xf>
    <xf numFmtId="0" fontId="4" fillId="2" borderId="1" xfId="0" applyFont="1" applyFill="1" applyBorder="1" applyAlignment="1" applyProtection="1">
      <alignment horizontal="right" vertical="bottom" wrapText="1"/>
      <protection locked="1" hidden="0"/>
    </xf>
    <xf numFmtId="167" fontId="8" fillId="0" borderId="2" xfId="0" applyNumberFormat="1" applyFont="1" applyFill="1" applyBorder="1" applyAlignment="1" applyProtection="1">
      <alignment horizontal="right" vertical="bottom"/>
      <protection locked="1" hidden="0"/>
    </xf>
    <xf numFmtId="169" fontId="2" fillId="0" borderId="0" xfId="0" applyNumberFormat="1" applyFont="1" applyFill="1" applyAlignment="1" applyProtection="1">
      <alignment horizontal="right" vertical="bottom"/>
      <protection locked="1" hidden="0"/>
    </xf>
    <xf numFmtId="165" fontId="4" fillId="0" borderId="2" xfId="0" applyNumberFormat="1" applyFont="1" applyFill="1" applyBorder="1" applyAlignment="1" applyProtection="1">
      <alignment horizontal="right" vertical="bottom"/>
      <protection locked="1" hidden="0"/>
    </xf>
    <xf numFmtId="167" fontId="4" fillId="3" borderId="2" xfId="0" applyNumberFormat="1" applyFont="1" applyFill="1" applyBorder="1" applyAlignment="1" applyProtection="1">
      <alignment horizontal="right" vertical="bottom"/>
      <protection locked="1" hidden="0"/>
    </xf>
    <xf numFmtId="169" fontId="8" fillId="0" borderId="2" xfId="0" applyNumberFormat="1" applyFont="1" applyFill="1" applyBorder="1" applyAlignment="1" applyProtection="1">
      <alignment horizontal="right" vertical="bottom"/>
      <protection locked="1" hidden="0"/>
    </xf>
    <xf numFmtId="170" fontId="8" fillId="0" borderId="0" xfId="0" applyNumberFormat="1" applyFont="1" applyFill="1" applyAlignment="1" applyProtection="1">
      <alignment horizontal="right" vertical="bottom"/>
      <protection locked="1" hidden="0"/>
    </xf>
    <xf numFmtId="167" fontId="8" fillId="3" borderId="2" xfId="0" applyNumberFormat="1" applyFont="1" applyFill="1" applyBorder="1" applyAlignment="1" applyProtection="1">
      <alignment horizontal="right" vertical="bottom"/>
      <protection locked="1" hidden="0"/>
    </xf>
    <xf numFmtId="171" fontId="2" fillId="3" borderId="0" xfId="0" applyNumberFormat="1" applyFont="1" applyFill="1" applyAlignment="1" applyProtection="1">
      <alignment horizontal="right" vertical="bottom"/>
      <protection locked="1" hidden="0"/>
    </xf>
    <xf numFmtId="169" fontId="7" fillId="0" borderId="0" xfId="0" applyNumberFormat="1" applyFont="1" applyFill="1" applyAlignment="1" applyProtection="1">
      <alignment horizontal="right" vertical="bottom"/>
      <protection locked="1" hidden="0"/>
    </xf>
    <xf numFmtId="167" fontId="9" fillId="0" borderId="0" xfId="0" applyNumberFormat="1" applyFont="1" applyFill="1" applyAlignment="1" applyProtection="1">
      <alignment horizontal="right" vertical="bottom"/>
      <protection locked="1" hidden="0"/>
    </xf>
    <xf numFmtId="167" fontId="9" fillId="3" borderId="0" xfId="0" applyNumberFormat="1" applyFont="1" applyFill="1" applyAlignment="1" applyProtection="1">
      <alignment horizontal="right" vertical="bottom"/>
      <protection locked="1" hidden="0"/>
    </xf>
    <xf numFmtId="167" fontId="1" fillId="0" borderId="0" xfId="0" applyNumberFormat="1" applyFont="1" applyFill="1" applyAlignment="1" applyProtection="1">
      <alignment horizontal="right" vertical="bottom"/>
      <protection locked="1" hidden="0"/>
    </xf>
    <xf numFmtId="167" fontId="10" fillId="0" borderId="2" xfId="0" applyNumberFormat="1" applyFont="1" applyFill="1" applyBorder="1" applyAlignment="1" applyProtection="1">
      <alignment horizontal="right" vertical="bottom"/>
      <protection locked="1" hidden="0"/>
    </xf>
    <xf numFmtId="171" fontId="7" fillId="0" borderId="0" xfId="0" applyNumberFormat="1" applyFont="1" applyFill="1" applyAlignment="1" applyProtection="1">
      <alignment horizontal="right" vertical="bottom"/>
      <protection locked="1" hidden="0"/>
    </xf>
    <xf numFmtId="171" fontId="9" fillId="0" borderId="0" xfId="0" applyNumberFormat="1" applyFont="1" applyFill="1" applyAlignment="1" applyProtection="1">
      <alignment horizontal="right" vertical="bottom"/>
      <protection locked="1" hidden="0"/>
    </xf>
    <xf numFmtId="164" fontId="9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right" vertical="bottom"/>
      <protection locked="1" hidden="0"/>
    </xf>
    <xf numFmtId="171" fontId="2" fillId="0" borderId="0" xfId="0" applyNumberFormat="1" applyFont="1" applyFill="1" applyAlignment="1" applyProtection="1">
      <alignment horizontal="right" vertical="bottom"/>
      <protection locked="1" hidden="0"/>
    </xf>
    <xf numFmtId="169" fontId="8" fillId="3" borderId="2" xfId="0" applyNumberFormat="1" applyFont="1" applyFill="1" applyBorder="1" applyAlignment="1" applyProtection="1">
      <alignment horizontal="right" vertical="bottom"/>
      <protection locked="1" hidden="0"/>
    </xf>
    <xf numFmtId="164" fontId="11" fillId="0" borderId="0" xfId="0" applyNumberFormat="1" applyFont="1" applyFill="1" applyAlignment="1" applyProtection="1">
      <alignment horizontal="right" vertical="bottom"/>
      <protection locked="1" hidden="0"/>
    </xf>
    <xf numFmtId="165" fontId="11" fillId="0" borderId="0" xfId="0" applyNumberFormat="1" applyFont="1" applyFill="1" applyAlignment="1" applyProtection="1">
      <alignment horizontal="right" vertical="bottom"/>
      <protection locked="1" hidden="0"/>
    </xf>
    <xf numFmtId="169" fontId="7" fillId="3" borderId="0" xfId="0" applyNumberFormat="1" applyFont="1" applyFill="1" applyAlignment="1" applyProtection="1">
      <alignment horizontal="right" vertical="bottom"/>
      <protection locked="1" hidden="0"/>
    </xf>
    <xf numFmtId="0" fontId="12" fillId="0" borderId="0" xfId="0" applyFont="1" applyFill="1" applyAlignment="1" applyProtection="1">
      <alignment horizontal="left" vertical="bottom"/>
      <protection locked="1" hidden="0"/>
    </xf>
    <xf numFmtId="0" fontId="8" fillId="0" borderId="0" xfId="0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right" vertical="bottom"/>
      <protection locked="1" hidden="0"/>
    </xf>
    <xf numFmtId="0" fontId="7" fillId="0" borderId="0" xfId="0" applyFont="1" applyFill="1" applyAlignment="1" applyProtection="1">
      <alignment horizontal="right" vertical="bottom"/>
      <protection locked="1" hidden="0"/>
    </xf>
    <xf numFmtId="171" fontId="7" fillId="3" borderId="0" xfId="0" applyNumberFormat="1" applyFont="1" applyFill="1" applyAlignment="1" applyProtection="1">
      <alignment horizontal="right" vertical="bottom"/>
      <protection locked="1" hidden="0"/>
    </xf>
    <xf numFmtId="165" fontId="11" fillId="3" borderId="0" xfId="0" applyNumberFormat="1" applyFont="1" applyFill="1" applyAlignment="1" applyProtection="1">
      <alignment horizontal="right" vertical="bottom"/>
      <protection locked="1" hidden="0"/>
    </xf>
    <xf numFmtId="169" fontId="9" fillId="3" borderId="0" xfId="0" applyNumberFormat="1" applyFont="1" applyFill="1" applyAlignment="1" applyProtection="1">
      <alignment horizontal="right" vertical="bottom"/>
      <protection locked="1" hidden="0"/>
    </xf>
    <xf numFmtId="169" fontId="2" fillId="3" borderId="0" xfId="0" applyNumberFormat="1" applyFont="1" applyFill="1" applyAlignment="1" applyProtection="1">
      <alignment horizontal="right" vertical="bottom"/>
      <protection locked="1" hidden="0"/>
    </xf>
    <xf numFmtId="167" fontId="1" fillId="3" borderId="0" xfId="0" applyNumberFormat="1" applyFont="1" applyFill="1" applyAlignment="1" applyProtection="1">
      <alignment horizontal="right" vertical="bottom"/>
      <protection locked="1" hidden="0"/>
    </xf>
    <xf numFmtId="166" fontId="9" fillId="0" borderId="0" xfId="0" applyNumberFormat="1" applyFont="1" applyFill="1" applyAlignment="1" applyProtection="1">
      <alignment horizontal="right" vertical="bottom"/>
      <protection locked="1" hidden="0"/>
    </xf>
    <xf numFmtId="169" fontId="9" fillId="0" borderId="0" xfId="0" applyNumberFormat="1" applyFont="1" applyFill="1" applyAlignment="1" applyProtection="1">
      <alignment horizontal="right" vertical="bottom"/>
      <protection locked="1" hidden="0"/>
    </xf>
    <xf numFmtId="166" fontId="9" fillId="3" borderId="0" xfId="0" applyNumberFormat="1" applyFont="1" applyFill="1" applyAlignment="1" applyProtection="1">
      <alignment horizontal="right" vertical="bottom"/>
      <protection locked="1" hidden="0"/>
    </xf>
    <xf numFmtId="169" fontId="1" fillId="0" borderId="0" xfId="0" applyNumberFormat="1" applyFont="1" applyFill="1" applyAlignment="1" applyProtection="1">
      <alignment horizontal="right" vertical="bottom"/>
      <protection locked="1" hidden="0"/>
    </xf>
    <xf numFmtId="169" fontId="1" fillId="3" borderId="0" xfId="0" applyNumberFormat="1" applyFont="1" applyFill="1" applyAlignment="1" applyProtection="1">
      <alignment horizontal="right" vertical="bottom"/>
      <protection locked="1" hidden="0"/>
    </xf>
    <xf numFmtId="169" fontId="4" fillId="3" borderId="2" xfId="0" applyNumberFormat="1" applyFont="1" applyFill="1" applyBorder="1" applyAlignment="1" applyProtection="1">
      <alignment horizontal="right" vertical="bottom"/>
      <protection locked="1" hidden="0"/>
    </xf>
    <xf numFmtId="166" fontId="9" fillId="0" borderId="0" xfId="0" applyNumberFormat="1" applyFont="1" applyFill="1" applyAlignment="1" applyProtection="1">
      <alignment horizontal="left" vertical="bottom"/>
      <protection locked="1" hidden="0"/>
    </xf>
    <xf numFmtId="166" fontId="2" fillId="0" borderId="0" xfId="0" applyNumberFormat="1" applyFont="1" applyFill="1" applyAlignment="1" applyProtection="1">
      <alignment horizontal="left" vertical="bottom"/>
      <protection locked="1" hidden="0"/>
    </xf>
    <xf numFmtId="167" fontId="2" fillId="0" borderId="0" xfId="0" applyNumberFormat="1" applyFont="1" applyFill="1" applyAlignment="1" applyProtection="1">
      <alignment horizontal="left" vertical="bottom"/>
      <protection locked="1" hidden="0"/>
    </xf>
    <xf numFmtId="172" fontId="9" fillId="0" borderId="0" xfId="0" applyNumberFormat="1" applyFont="1" applyFill="1" applyAlignment="1" applyProtection="1">
      <alignment horizontal="right" vertical="bottom"/>
      <protection locked="1" hidden="0"/>
    </xf>
    <xf numFmtId="166" fontId="4" fillId="2" borderId="3" xfId="0" applyNumberFormat="1" applyFont="1" applyFill="1" applyBorder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left" vertical="bottom"/>
      <protection locked="1" hidden="0"/>
    </xf>
    <xf numFmtId="169" fontId="2" fillId="0" borderId="0" xfId="0" applyNumberFormat="1" applyFont="1" applyFill="1" applyAlignment="1" applyProtection="1">
      <alignment horizontal="left" vertical="bottom"/>
      <protection locked="1" hidden="0"/>
    </xf>
    <xf numFmtId="164" fontId="4" fillId="2" borderId="3" xfId="0" applyNumberFormat="1" applyFont="1" applyFill="1" applyBorder="1" applyAlignment="1" applyProtection="1">
      <alignment horizontal="right" vertical="bottom"/>
      <protection locked="1" hidden="0"/>
    </xf>
    <xf numFmtId="164" fontId="2" fillId="0" borderId="0" xfId="0" applyNumberFormat="1" applyFont="1" applyFill="1" applyAlignment="1" applyProtection="1">
      <alignment horizontal="left" vertical="bottom"/>
      <protection locked="1" hidden="0"/>
    </xf>
    <xf numFmtId="0" fontId="13" fillId="0" borderId="0" xfId="0" applyFont="1" applyFill="1" applyAlignment="1" applyProtection="1">
      <alignment horizontal="left" vertical="bottom"/>
      <protection locked="1" hidden="0"/>
    </xf>
    <xf numFmtId="166" fontId="2" fillId="0" borderId="0" xfId="0" applyNumberFormat="1" applyFont="1" applyFill="1" applyAlignment="1" applyProtection="1">
      <alignment horizontal="left" vertical="top" wrapText="1"/>
      <protection locked="1" hidden="0"/>
    </xf>
    <xf numFmtId="165" fontId="4" fillId="0" borderId="2" xfId="0" applyNumberFormat="1" applyFont="1" applyFill="1" applyBorder="1" applyAlignment="1" applyProtection="1">
      <alignment horizontal="left" vertical="bottom"/>
      <protection locked="1" hidden="0"/>
    </xf>
    <xf numFmtId="164" fontId="9" fillId="0" borderId="0" xfId="0" applyNumberFormat="1" applyFont="1" applyFill="1" applyAlignment="1" applyProtection="1">
      <alignment horizontal="left" vertical="bottom"/>
      <protection locked="1" hidden="0"/>
    </xf>
    <xf numFmtId="165" fontId="2" fillId="0" borderId="0" xfId="0" applyNumberFormat="1" applyFont="1" applyFill="1" applyAlignment="1" applyProtection="1">
      <alignment horizontal="left" vertical="bottom"/>
      <protection locked="1" hidden="0"/>
    </xf>
    <xf numFmtId="166" fontId="4" fillId="2" borderId="1" xfId="0" applyNumberFormat="1" applyFont="1" applyFill="1" applyBorder="1" applyAlignment="1" applyProtection="1">
      <alignment horizontal="right" vertical="bottom" wrapText="1"/>
      <protection locked="1" hidden="0"/>
    </xf>
    <xf numFmtId="167" fontId="4" fillId="0" borderId="2" xfId="0" applyNumberFormat="1" applyFont="1" applyFill="1" applyBorder="1" applyAlignment="1" applyProtection="1">
      <alignment horizontal="left" vertical="bottom"/>
      <protection locked="1" hidden="0"/>
    </xf>
    <xf numFmtId="164" fontId="10" fillId="2" borderId="3" xfId="0" applyNumberFormat="1" applyFont="1" applyFill="1" applyBorder="1" applyAlignment="1" applyProtection="1">
      <alignment horizontal="right" vertical="bottom"/>
      <protection locked="1" hidden="0"/>
    </xf>
    <xf numFmtId="165" fontId="9" fillId="0" borderId="0" xfId="0" applyNumberFormat="1" applyFont="1" applyFill="1" applyAlignment="1" applyProtection="1">
      <alignment horizontal="right" vertical="bottom"/>
      <protection locked="1" hidden="0"/>
    </xf>
    <xf numFmtId="166" fontId="7" fillId="0" borderId="0" xfId="0" applyNumberFormat="1" applyFont="1" applyFill="1" applyAlignment="1" applyProtection="1">
      <alignment horizontal="left" vertical="bottom"/>
      <protection locked="1" hidden="0"/>
    </xf>
    <xf numFmtId="164" fontId="4" fillId="2" borderId="3" xfId="0" applyNumberFormat="1" applyFont="1" applyFill="1" applyBorder="1" applyAlignment="1" applyProtection="1">
      <alignment horizontal="left" vertical="bottom"/>
      <protection locked="1" hidden="0"/>
    </xf>
    <xf numFmtId="166" fontId="4" fillId="2" borderId="3" xfId="0" applyNumberFormat="1" applyFont="1" applyFill="1" applyBorder="1" applyAlignment="1" applyProtection="1">
      <alignment horizontal="left" vertical="bottom"/>
      <protection locked="1" hidden="0"/>
    </xf>
    <xf numFmtId="173" fontId="1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4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6" fontId="15" fillId="0" borderId="0" xfId="0" applyNumberFormat="1" applyFont="1" applyFill="1" applyAlignment="1" applyProtection="1">
      <alignment horizontal="center" vertical="bottom" textRotation="0" indent="0" readingOrder="0"/>
      <protection locked="1" hidden="0"/>
    </xf>
    <xf numFmtId="167" fontId="15" fillId="0" borderId="0" xfId="0" applyNumberFormat="1" applyFont="1" applyFill="1" applyAlignment="1" applyProtection="1">
      <alignment horizontal="center" vertical="bottom" textRotation="0" indent="0" readingOrder="0"/>
      <protection locked="1" hidden="0"/>
    </xf>
    <xf numFmtId="166" fontId="16" fillId="2" borderId="1" xfId="0" applyNumberFormat="1" applyFont="1" applyFill="1" applyBorder="1" applyAlignment="1" applyProtection="1">
      <alignment horizontal="center" vertical="bottom" textRotation="0" wrapText="1" indent="0" readingOrder="0"/>
      <protection locked="1" hidden="0"/>
    </xf>
    <xf numFmtId="164" fontId="15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15" fillId="2" borderId="3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6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6" fillId="2" borderId="3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66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9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6" fontId="20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7" fontId="20" fillId="0" borderId="0" xfId="0" applyNumberFormat="1" applyFont="1" applyFill="1" applyAlignment="1" applyProtection="1">
      <alignment horizontal="right" vertical="bottom"/>
      <protection locked="1" hidden="0"/>
    </xf>
    <xf numFmtId="166" fontId="19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0" fontId="19" fillId="0" borderId="0" xfId="0" applyFont="1" applyFill="1" applyAlignment="1" applyProtection="1">
      <alignment horizontal="left" vertical="bottom"/>
      <protection locked="1" hidden="0"/>
    </xf>
    <xf numFmtId="172" fontId="20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2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0" fontId="21" fillId="0" borderId="0" xfId="0" applyFont="1" applyFill="1" applyAlignment="1" applyProtection="1">
      <alignment horizontal="left" vertical="bottom"/>
      <protection locked="1" hidden="0"/>
    </xf>
    <xf numFmtId="166" fontId="22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0" fontId="20" fillId="0" borderId="0" xfId="0" applyFont="1" applyFill="1" applyAlignment="1" applyProtection="1">
      <alignment horizontal="left" vertical="bottom"/>
      <protection locked="1" hidden="0"/>
    </xf>
    <xf numFmtId="0" fontId="19" fillId="0" borderId="0" xfId="0" applyFont="1" applyFill="1" applyAlignment="1" applyProtection="1">
      <alignment horizontal="left" vertical="bottom" wrapText="1"/>
      <protection locked="1" hidden="0"/>
    </xf>
    <xf numFmtId="174" fontId="21" fillId="3" borderId="0" xfId="0" applyNumberFormat="1" applyFont="1" applyFill="1" applyAlignment="1" applyProtection="1">
      <alignment horizontal="right" vertical="bottom"/>
      <protection locked="1" hidden="0"/>
    </xf>
    <xf numFmtId="166" fontId="20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4" fontId="23" fillId="3" borderId="0" xfId="0" applyNumberFormat="1" applyFont="1" applyFill="1" applyAlignment="1" applyProtection="1">
      <alignment horizontal="right" vertical="bottom"/>
      <protection locked="1" hidden="0"/>
    </xf>
    <xf numFmtId="174" fontId="20" fillId="3" borderId="0" xfId="0" applyNumberFormat="1" applyFont="1" applyFill="1" applyAlignment="1" applyProtection="1">
      <alignment horizontal="right" vertical="bottom"/>
      <protection locked="1" hidden="0"/>
    </xf>
    <xf numFmtId="167" fontId="20" fillId="3" borderId="0" xfId="0" applyNumberFormat="1" applyFont="1" applyFill="1" applyAlignment="1" applyProtection="1">
      <alignment horizontal="right" vertical="bottom"/>
      <protection locked="1" hidden="0"/>
    </xf>
    <xf numFmtId="164" fontId="2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2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theme" Target="theme/theme1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showGridLines="0" tabSelected="1" workbookViewId="0"/>
  </sheetViews>
  <sheetFormatPr defaultRowHeight="15"/>
  <cols>
    <col min="1" max="1" width="10" customWidth="1"/>
    <col min="2" max="2" width="36" customWidth="1"/>
    <col min="3" max="9" width="12" customWidth="1"/>
  </cols>
  <sheetData>
    <row r="1" ht="13.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3.5">
      <c r="A2" s="3"/>
      <c r="B2" s="5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3.5">
      <c r="A3" s="3"/>
      <c r="B3" s="30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13.5">
      <c r="A4" s="3"/>
      <c r="B4" s="17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3"/>
      <c r="B5" s="31" t="s">
        <v>3</v>
      </c>
      <c r="C5" s="8" t="s">
        <v>4</v>
      </c>
      <c r="D5" s="8"/>
      <c r="E5" s="8"/>
      <c r="F5" s="8"/>
      <c r="G5" s="8"/>
      <c r="H5" s="8"/>
      <c r="I5" s="3"/>
      <c r="J5" s="3"/>
      <c r="K5" s="3"/>
      <c r="L5" s="3"/>
      <c r="M5" s="3"/>
    </row>
    <row r="6">
      <c r="A6" s="3"/>
      <c r="B6" s="22" t="s">
        <v>5</v>
      </c>
      <c r="C6" s="19">
        <v>46295</v>
      </c>
      <c r="D6" s="19"/>
      <c r="E6" s="19"/>
      <c r="F6" s="19"/>
      <c r="G6" s="19"/>
      <c r="H6" s="19"/>
      <c r="I6" s="3"/>
      <c r="J6" s="3"/>
      <c r="K6" s="3"/>
      <c r="L6" s="3"/>
      <c r="M6" s="3"/>
    </row>
    <row r="7">
      <c r="A7" s="3"/>
      <c r="B7" s="10" t="s">
        <v>6</v>
      </c>
      <c r="C7" s="28">
        <f>C6-EOMONTH(C6,-3)</f>
        <v>92</v>
      </c>
      <c r="D7" s="28"/>
      <c r="E7" s="28"/>
      <c r="F7" s="28"/>
      <c r="G7" s="28"/>
      <c r="H7" s="28"/>
      <c r="I7" s="3"/>
      <c r="J7" s="3"/>
      <c r="K7" s="3"/>
      <c r="L7" s="3"/>
      <c r="M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>
      <c r="A9" s="3"/>
      <c r="B9" s="57" t="s">
        <v>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>
      <c r="A11" s="3"/>
      <c r="B11" s="27" t="s">
        <v>8</v>
      </c>
      <c r="C11" s="2" t="s">
        <v>9</v>
      </c>
      <c r="D11" s="3"/>
      <c r="E11" s="3"/>
      <c r="F11" s="3"/>
      <c r="G11" s="3"/>
      <c r="H11" s="3"/>
      <c r="I11" s="3"/>
      <c r="J11" s="3"/>
      <c r="K11" s="3"/>
      <c r="L11" s="3"/>
      <c r="M11" s="3"/>
    </row>
    <row r="12">
      <c r="A12" s="3"/>
      <c r="B12" s="27" t="s">
        <v>10</v>
      </c>
      <c r="C12" s="2" t="s">
        <v>11</v>
      </c>
      <c r="D12" s="3"/>
      <c r="E12" s="3"/>
      <c r="F12" s="3"/>
      <c r="G12" s="3"/>
      <c r="H12" s="3"/>
      <c r="I12" s="3"/>
      <c r="J12" s="3"/>
      <c r="K12" s="3"/>
      <c r="L12" s="3"/>
      <c r="M12" s="3"/>
    </row>
    <row r="13">
      <c r="A13" s="3"/>
      <c r="B13" s="27" t="s">
        <v>12</v>
      </c>
      <c r="C13" s="2" t="s">
        <v>13</v>
      </c>
      <c r="D13" s="3"/>
      <c r="E13" s="3"/>
      <c r="F13" s="3"/>
      <c r="G13" s="3"/>
      <c r="H13" s="3"/>
      <c r="I13" s="3"/>
      <c r="J13" s="3"/>
      <c r="K13" s="3"/>
      <c r="L13" s="3"/>
      <c r="M13" s="3"/>
    </row>
    <row r="14">
      <c r="A14" s="3"/>
      <c r="B14" s="27" t="s">
        <v>14</v>
      </c>
      <c r="C14" s="2" t="s">
        <v>15</v>
      </c>
      <c r="D14" s="3"/>
      <c r="E14" s="3"/>
      <c r="F14" s="3"/>
      <c r="G14" s="3"/>
      <c r="H14" s="3"/>
      <c r="I14" s="3"/>
      <c r="J14" s="3"/>
      <c r="K14" s="3"/>
      <c r="L14" s="3"/>
      <c r="M14" s="3"/>
    </row>
    <row r="15">
      <c r="A15" s="3"/>
      <c r="B15" s="27" t="s">
        <v>16</v>
      </c>
      <c r="C15" s="2" t="s">
        <v>17</v>
      </c>
      <c r="D15" s="3"/>
      <c r="E15" s="3"/>
      <c r="F15" s="3"/>
      <c r="G15" s="3"/>
      <c r="H15" s="3"/>
      <c r="I15" s="3"/>
      <c r="J15" s="3"/>
      <c r="K15" s="3"/>
      <c r="L15" s="3"/>
      <c r="M15" s="3"/>
    </row>
    <row r="16">
      <c r="A16" s="3"/>
      <c r="B16" s="27" t="s">
        <v>18</v>
      </c>
      <c r="C16" s="2" t="s">
        <v>19</v>
      </c>
      <c r="D16" s="3"/>
      <c r="E16" s="3"/>
      <c r="F16" s="3"/>
      <c r="G16" s="3"/>
      <c r="H16" s="3"/>
      <c r="I16" s="3"/>
      <c r="J16" s="3"/>
      <c r="K16" s="3"/>
      <c r="L16" s="3"/>
      <c r="M16" s="3"/>
    </row>
    <row r="17">
      <c r="A17" s="3"/>
      <c r="B17" s="27" t="s">
        <v>20</v>
      </c>
      <c r="C17" s="2" t="s">
        <v>21</v>
      </c>
      <c r="D17" s="3"/>
      <c r="E17" s="3"/>
      <c r="F17" s="3"/>
      <c r="G17" s="3"/>
      <c r="H17" s="3"/>
      <c r="I17" s="3"/>
      <c r="J17" s="3"/>
      <c r="K17" s="3"/>
      <c r="L17" s="3"/>
      <c r="M17" s="3"/>
    </row>
    <row r="18">
      <c r="A18" s="3"/>
      <c r="B18" s="27" t="s">
        <v>22</v>
      </c>
      <c r="C18" s="2" t="s">
        <v>23</v>
      </c>
      <c r="D18" s="3"/>
      <c r="E18" s="3"/>
      <c r="F18" s="3"/>
      <c r="G18" s="3"/>
      <c r="H18" s="3"/>
      <c r="I18" s="3"/>
      <c r="J18" s="3"/>
      <c r="K18" s="3"/>
      <c r="L18" s="3"/>
      <c r="M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ht="46.5">
      <c r="A20" s="3"/>
      <c r="B20" s="7" t="s">
        <v>24</v>
      </c>
      <c r="C20" s="34" t="s">
        <v>25</v>
      </c>
      <c r="D20" s="34" t="s">
        <v>26</v>
      </c>
      <c r="E20" s="34" t="s">
        <v>27</v>
      </c>
      <c r="F20" s="34" t="s">
        <v>28</v>
      </c>
      <c r="G20" s="34" t="s">
        <v>29</v>
      </c>
      <c r="H20" s="34" t="s">
        <v>30</v>
      </c>
      <c r="I20" s="3"/>
      <c r="J20" s="3"/>
      <c r="K20" s="3"/>
      <c r="L20" s="3"/>
      <c r="M20" s="3"/>
    </row>
    <row r="21">
      <c r="A21" s="3"/>
      <c r="B21" s="2" t="s">
        <v>31</v>
      </c>
      <c r="C21" s="41">
        <f>'Income Statement'!H10</f>
        <v>4968.834653703102</v>
      </c>
      <c r="D21" s="35">
        <f>Inputs!C20</f>
        <v>4978.38</v>
      </c>
      <c r="E21" s="23">
        <f>C21-D21</f>
        <v>-9.54534629689806</v>
      </c>
      <c r="F21" s="37">
        <f>IFERROR(C21/D21-1,"n.a.")</f>
        <v>-0.0019173599236896877</v>
      </c>
      <c r="G21" s="35">
        <f>Guidance!G44</f>
        <v>5000</v>
      </c>
      <c r="H21" s="23">
        <f>C21-G21</f>
        <v>-31.16534629689795</v>
      </c>
      <c r="I21" s="3"/>
      <c r="J21" s="3"/>
      <c r="K21" s="3"/>
      <c r="L21" s="3"/>
      <c r="M21" s="3"/>
    </row>
    <row r="22">
      <c r="A22" s="3"/>
      <c r="B22" s="2" t="s">
        <v>32</v>
      </c>
      <c r="C22" s="29">
        <f>'Income Statement'!H17</f>
        <v>0.33027952059410653</v>
      </c>
      <c r="D22" s="11" t="s">
        <v>33</v>
      </c>
      <c r="E22" s="11" t="s">
        <v>33</v>
      </c>
      <c r="F22" s="11" t="s">
        <v>33</v>
      </c>
      <c r="G22" s="14">
        <f>Guidance!G45</f>
        <v>0.329</v>
      </c>
      <c r="H22" s="93">
        <f>(C22-G22)*10000</f>
        <v>12.795205941065202</v>
      </c>
      <c r="I22" s="3"/>
      <c r="J22" s="3"/>
      <c r="K22" s="3"/>
      <c r="L22" s="3"/>
      <c r="M22" s="3"/>
    </row>
    <row r="23">
      <c r="A23" s="3"/>
      <c r="B23" s="2" t="s">
        <v>34</v>
      </c>
      <c r="C23" s="20">
        <f>'Income Statement'!H41</f>
        <v>668.3031503277537</v>
      </c>
      <c r="D23" s="21">
        <f>Inputs!C70</f>
        <v>672.01</v>
      </c>
      <c r="E23" s="16">
        <f>C23-D23</f>
        <v>-3.706849672246335</v>
      </c>
      <c r="F23" s="32">
        <f>IFERROR(C23/D23-1,"n.a.")</f>
        <v>-0.005516063261329918</v>
      </c>
      <c r="G23" s="21">
        <f>Guidance!G46</f>
        <v>670</v>
      </c>
      <c r="H23" s="16">
        <f>C23-G23</f>
        <v>-1.6968496722463442</v>
      </c>
      <c r="I23" s="3"/>
      <c r="J23" s="3"/>
      <c r="K23" s="3"/>
      <c r="L23" s="3"/>
      <c r="M23" s="3"/>
    </row>
    <row r="24">
      <c r="A24" s="3"/>
      <c r="B24" s="2" t="s">
        <v>35</v>
      </c>
      <c r="C24" s="41">
        <f>'Income Statement'!H82</f>
        <v>545.8349415040091</v>
      </c>
      <c r="D24" s="35">
        <f>Inputs!C73</f>
        <v>598.47</v>
      </c>
      <c r="E24" s="23">
        <f>C24-D24</f>
        <v>-52.63505849599096</v>
      </c>
      <c r="F24" s="37">
        <f>IFERROR(C24/D24-1,"n.a.")</f>
        <v>-0.08794936838269418</v>
      </c>
      <c r="G24" s="23" t="s">
        <v>33</v>
      </c>
      <c r="H24" s="23" t="s">
        <v>33</v>
      </c>
      <c r="I24" s="3"/>
      <c r="J24" s="3"/>
      <c r="K24" s="3"/>
      <c r="L24" s="3"/>
      <c r="M24" s="3"/>
    </row>
    <row r="25">
      <c r="A25" s="3"/>
      <c r="B25" s="2" t="s">
        <v>36</v>
      </c>
      <c r="C25" s="20">
        <f>'Income Statement'!H56</f>
        <v>545.8349415040091</v>
      </c>
      <c r="D25" s="21">
        <f>Inputs!C74</f>
        <v>591.71</v>
      </c>
      <c r="E25" s="16">
        <f>C25-D25</f>
        <v>-45.87505849599097</v>
      </c>
      <c r="F25" s="32">
        <f>IFERROR(C25/D25-1,"n.a.")</f>
        <v>-0.07752963190750695</v>
      </c>
      <c r="G25" s="16" t="s">
        <v>33</v>
      </c>
      <c r="H25" s="16" t="s">
        <v>33</v>
      </c>
      <c r="I25" s="3"/>
      <c r="J25" s="3"/>
      <c r="K25" s="3"/>
      <c r="L25" s="3"/>
      <c r="M25" s="3"/>
    </row>
    <row r="26">
      <c r="A26" s="3"/>
      <c r="B26" s="2" t="s">
        <v>37</v>
      </c>
      <c r="C26" s="53">
        <f>'Income Statement'!H83</f>
        <v>2.611823115860833</v>
      </c>
      <c r="D26" s="39">
        <f>Inputs!C18</f>
        <v>2.85</v>
      </c>
      <c r="E26" s="33">
        <f>C26-D26</f>
        <v>-0.23817688413916693</v>
      </c>
      <c r="F26" s="37">
        <f>IFERROR(C26/D26-1,"n.a.")</f>
        <v>-0.08357083654005859</v>
      </c>
      <c r="G26" s="33" t="s">
        <v>33</v>
      </c>
      <c r="H26" s="33" t="s">
        <v>33</v>
      </c>
      <c r="I26" s="3"/>
      <c r="J26" s="3"/>
      <c r="K26" s="3"/>
      <c r="L26" s="3"/>
      <c r="M26" s="3"/>
    </row>
    <row r="27">
      <c r="A27" s="3"/>
      <c r="B27" s="2" t="s">
        <v>38</v>
      </c>
      <c r="C27" s="56">
        <f>'Income Statement'!H69</f>
        <v>2.611823115860833</v>
      </c>
      <c r="D27" s="43">
        <f>Inputs!C51</f>
        <v>2.81</v>
      </c>
      <c r="E27" s="36">
        <f>C27-D27</f>
        <v>-0.1981768841391669</v>
      </c>
      <c r="F27" s="32">
        <f>IFERROR(C27/D27-1,"n.a.")</f>
        <v>-0.07052558154418753</v>
      </c>
      <c r="G27" s="36" t="s">
        <v>33</v>
      </c>
      <c r="H27" s="36" t="s">
        <v>33</v>
      </c>
      <c r="I27" s="3"/>
      <c r="J27" s="3"/>
      <c r="K27" s="3"/>
      <c r="L27" s="3"/>
      <c r="M27" s="3"/>
    </row>
    <row r="28">
      <c r="A28" s="3"/>
      <c r="B28" s="2" t="s">
        <v>39</v>
      </c>
      <c r="C28" s="20">
        <f>'Income Statement'!H67</f>
        <v>208.98618217647058</v>
      </c>
      <c r="D28" s="16">
        <f>D24/D26</f>
        <v>209.98947368421054</v>
      </c>
      <c r="E28" s="16">
        <f>C28-D28</f>
        <v>-1.0032915077399593</v>
      </c>
      <c r="F28" s="32">
        <f>IFERROR(C28/D28-1,"n.a.")</f>
        <v>-0.0047778180979144436</v>
      </c>
      <c r="G28" s="16" t="s">
        <v>33</v>
      </c>
      <c r="H28" s="16" t="s">
        <v>33</v>
      </c>
      <c r="I28" s="3"/>
      <c r="J28" s="3"/>
      <c r="K28" s="3"/>
      <c r="L28" s="3"/>
      <c r="M28" s="3"/>
    </row>
    <row r="29">
      <c r="A29" s="3"/>
      <c r="B29" s="2" t="s">
        <v>40</v>
      </c>
      <c r="C29" s="3"/>
      <c r="D29" s="60">
        <f>Inputs!C47</f>
        <v>19</v>
      </c>
      <c r="E29" s="3"/>
      <c r="F29" s="3"/>
      <c r="G29" s="3"/>
      <c r="H29" s="3"/>
      <c r="I29" s="3"/>
      <c r="J29" s="3"/>
      <c r="K29" s="3"/>
      <c r="L29" s="3"/>
      <c r="M29" s="3"/>
    </row>
    <row r="30">
      <c r="A30" s="3"/>
      <c r="B30" s="2" t="s">
        <v>41</v>
      </c>
      <c r="C30" s="24">
        <f>ROUND(C21-'Income Statement'!H10,6)+ROUND(C24-'Income Statement'!H82,6)+ROUND(C26-'Income Statement'!H83,9)+ROUND(C27-'Income Statement'!H69,9)</f>
        <v>0</v>
      </c>
      <c r="D30" s="3"/>
      <c r="E30" s="3"/>
      <c r="F30" s="3"/>
      <c r="G30" s="3"/>
      <c r="H30" s="3"/>
      <c r="I30" s="3"/>
      <c r="J30" s="3"/>
      <c r="K30" s="3"/>
      <c r="L30" s="3"/>
      <c r="M30" s="3"/>
    </row>
    <row r="31">
      <c r="A31" s="3"/>
      <c r="B31" s="27" t="s">
        <v>42</v>
      </c>
      <c r="C31" s="58" t="str">
        <f>IF(AND(MAX('Revenue summary'!C40:H40)=0,MIN('Revenue summary'!C40:H40)=0,MAX('Income Statement'!C20:H20)=0,MIN('Income Statement'!C20:H20)=0,MAX('Income Statement'!C73:G73)=0,MIN('Income Statement'!C73:G73)=0,MAX('Income Statement'!C74:H74)=0,MIN('Income Statement'!C74:H74)=0,MAX('Income Statement'!C85:F85)=0,MIN('Income Statement'!C85:F85)=0,MAX('Income Statement'!C118:H118)=0,MIN('Income Statement'!C118:H118)=0,MAX('Income Statement'!C124:H124)=0,MIN('Income Statement'!C124:H124)=0,MAX('Balance Sheet'!C53:H53)=0,MIN('Balance Sheet'!C53:H53)=0,MAX('Cash Flow Statement'!C51:H51)=0,MIN('Cash Flow Statement'!C51:H51)=0,MAX('Cash Flow Statement'!C59:G59)=0,MIN('Cash Flow Statement'!C59:G59)=0,MAX(Geo!C40:H40)=0,MIN(Geo!C40:H40)=0,MAX('Share Count'!C21:G21)=0,MIN('Share Count'!C21:G21)=0,C30=0),"PASS","FAIL")</f>
        <v>PASS</v>
      </c>
      <c r="D31" s="3"/>
      <c r="E31" s="3"/>
      <c r="F31" s="3"/>
      <c r="G31" s="3"/>
      <c r="H31" s="3"/>
      <c r="I31" s="3"/>
      <c r="J31" s="3"/>
      <c r="K31" s="3"/>
      <c r="L31" s="3"/>
      <c r="M31" s="3"/>
    </row>
    <row r="32">
      <c r="A32" s="3"/>
      <c r="B32" s="3"/>
      <c r="C32" s="51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>
      <c r="A33" s="3"/>
      <c r="B33" s="27" t="s">
        <v>43</v>
      </c>
      <c r="C33" s="40">
        <f>Inputs!C220</f>
        <v>0.22</v>
      </c>
      <c r="D33" s="3"/>
      <c r="E33" s="3"/>
      <c r="F33" s="3"/>
      <c r="G33" s="3"/>
      <c r="H33" s="3"/>
      <c r="I33" s="3"/>
      <c r="J33" s="3"/>
      <c r="K33" s="3"/>
      <c r="L33" s="3"/>
      <c r="M33" s="3"/>
    </row>
    <row r="34">
      <c r="A34" s="3"/>
      <c r="B34" s="27" t="s">
        <v>44</v>
      </c>
      <c r="C34" s="58" t="str">
        <f>Inputs!C221</f>
        <v>medium</v>
      </c>
      <c r="D34" s="3"/>
      <c r="E34" s="3"/>
      <c r="F34" s="3"/>
      <c r="G34" s="3"/>
      <c r="H34" s="3"/>
      <c r="I34" s="3"/>
      <c r="J34" s="3"/>
      <c r="K34" s="3"/>
      <c r="L34" s="3"/>
      <c r="M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>
      <c r="A36" s="3"/>
      <c r="B36" s="1" t="s">
        <v>45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>
      <c r="A37" s="3"/>
      <c r="B37" s="1" t="s">
        <v>46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5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6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>
      <c r="A2" s="3"/>
      <c r="B2" s="5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>
      <c r="A3" s="3"/>
      <c r="B3" s="30" t="s">
        <v>47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>
      <c r="A4" s="3"/>
      <c r="B4" s="17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>
      <c r="A5" s="3"/>
      <c r="B5" s="31" t="s">
        <v>48</v>
      </c>
      <c r="C5" s="12" t="s">
        <v>49</v>
      </c>
      <c r="D5" s="12" t="s">
        <v>50</v>
      </c>
      <c r="E5" s="12" t="s">
        <v>51</v>
      </c>
      <c r="F5" s="12" t="s">
        <v>52</v>
      </c>
      <c r="G5" s="12" t="s">
        <v>53</v>
      </c>
      <c r="H5" s="12" t="s">
        <v>4</v>
      </c>
      <c r="I5" s="31" t="s">
        <v>54</v>
      </c>
      <c r="J5" s="3"/>
      <c r="K5" s="3"/>
      <c r="L5" s="3"/>
    </row>
    <row r="6">
      <c r="A6" s="3"/>
      <c r="B6" s="22" t="s">
        <v>5</v>
      </c>
      <c r="C6" s="19">
        <v>45930</v>
      </c>
      <c r="D6" s="19">
        <v>46022</v>
      </c>
      <c r="E6" s="19">
        <v>46112</v>
      </c>
      <c r="F6" s="19">
        <v>46203</v>
      </c>
      <c r="G6" s="19">
        <v>46022</v>
      </c>
      <c r="H6" s="19">
        <v>46295</v>
      </c>
      <c r="I6" s="22"/>
      <c r="J6" s="3"/>
      <c r="K6" s="3"/>
      <c r="L6" s="3"/>
    </row>
    <row r="7">
      <c r="A7" s="3"/>
      <c r="B7" s="10" t="s">
        <v>6</v>
      </c>
      <c r="C7" s="28">
        <f>C6-EOMONTH(C6,-3)</f>
        <v>92</v>
      </c>
      <c r="D7" s="28">
        <f>D6-EOMONTH(D6,-3)</f>
        <v>92</v>
      </c>
      <c r="E7" s="28">
        <f>E6-EOMONTH(E6,-3)</f>
        <v>90</v>
      </c>
      <c r="F7" s="28">
        <f>F6-EOMONTH(F6,-3)</f>
        <v>91</v>
      </c>
      <c r="G7" s="28">
        <f>G6-DATE(YEAR(G6)-1,12,31)</f>
        <v>365</v>
      </c>
      <c r="H7" s="28">
        <f>H6-EOMONTH(H6,-3)</f>
        <v>92</v>
      </c>
      <c r="I7" s="10"/>
      <c r="J7" s="3"/>
      <c r="K7" s="3"/>
      <c r="L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>
      <c r="A9" s="3"/>
      <c r="B9" s="27" t="s">
        <v>55</v>
      </c>
      <c r="C9" s="15"/>
      <c r="D9" s="15"/>
      <c r="E9" s="15"/>
      <c r="F9" s="15"/>
      <c r="G9" s="15"/>
      <c r="H9" s="15"/>
      <c r="I9" s="13"/>
      <c r="J9" s="3"/>
      <c r="K9" s="3"/>
      <c r="L9" s="3"/>
    </row>
    <row r="10">
      <c r="A10" s="3"/>
      <c r="B10" s="2" t="s">
        <v>56</v>
      </c>
      <c r="C10" s="21">
        <f>'Segment - Premium'!C42</f>
        <v>3835</v>
      </c>
      <c r="D10" s="21">
        <f>'Segment - Premium'!D42</f>
        <v>4020</v>
      </c>
      <c r="E10" s="21">
        <f>'Segment - Premium'!E42</f>
        <v>4148</v>
      </c>
      <c r="F10" s="21">
        <f>'Segment - Premium'!F42</f>
        <v>4331</v>
      </c>
      <c r="G10" s="21">
        <f>'Segment - Premium'!G42</f>
        <v>15391</v>
      </c>
      <c r="H10" s="20">
        <f>'Segment - Premium'!H42</f>
        <v>4496.940278276481</v>
      </c>
      <c r="I10" s="13"/>
      <c r="J10" s="3"/>
      <c r="K10" s="3"/>
      <c r="L10" s="3"/>
    </row>
    <row r="11">
      <c r="A11" s="3"/>
      <c r="B11" s="1" t="s">
        <v>57</v>
      </c>
      <c r="C11" s="14">
        <f>IFERROR(IF(Inputs!C111&lt;=0,"n.m.",C10/Inputs!C111-1),"n.a.")</f>
        <v>0.08640226628895187</v>
      </c>
      <c r="D11" s="14">
        <f>IFERROR(IF(Inputs!D111&lt;=0,"n.m.",D10/Inputs!D111-1),"n.a.")</f>
        <v>0.0803547433485623</v>
      </c>
      <c r="E11" s="14">
        <f>IFERROR(IF(Inputs!E111&lt;=0,"n.m.",E10/Inputs!E111-1),"n.a.")</f>
        <v>0.0964842717420038</v>
      </c>
      <c r="F11" s="14">
        <f>IFERROR(IF(Inputs!F111&lt;=0,"n.m.",F10/Inputs!F111-1),"n.a.")</f>
        <v>0.15401012523314672</v>
      </c>
      <c r="G11" s="14">
        <f>IFERROR(IF(Inputs!G111&lt;=0,"n.m.",G10/Inputs!G111-1),"n.a.")</f>
        <v>0.10926126126126134</v>
      </c>
      <c r="H11" s="18">
        <f>IFERROR(IF(C10&lt;=0,"n.m.",H10/C10-1),"n.a.")</f>
        <v>0.17260502692998192</v>
      </c>
      <c r="I11" s="13"/>
      <c r="J11" s="3"/>
      <c r="K11" s="3"/>
      <c r="L11" s="3"/>
    </row>
    <row r="12">
      <c r="A12" s="3"/>
      <c r="B12" s="1" t="s">
        <v>58</v>
      </c>
      <c r="C12" s="14">
        <f>IFERROR(IF(Inputs!F111&lt;=0,"n.m.",C10/Inputs!F111-1),"n.a.")</f>
        <v>0.02184918731681318</v>
      </c>
      <c r="D12" s="11">
        <f>IFERROR(IF(C10&lt;=0,"n.m.",D10/C10-1),"n.a.")</f>
        <v>0.04823989569752274</v>
      </c>
      <c r="E12" s="11">
        <f>IFERROR(IF(D10&lt;=0,"n.m.",E10/D10-1),"n.a.")</f>
        <v>0.03184079601990053</v>
      </c>
      <c r="F12" s="11">
        <f>IFERROR(IF(E10&lt;=0,"n.m.",F10/E10-1),"n.a.")</f>
        <v>0.044117647058823595</v>
      </c>
      <c r="G12" s="11" t="s">
        <v>33</v>
      </c>
      <c r="H12" s="18">
        <f>IFERROR(IF(F10&lt;=0,"n.m.",H10/F10-1),"n.a.")</f>
        <v>0.03831454127833789</v>
      </c>
      <c r="I12" s="13"/>
      <c r="J12" s="3"/>
      <c r="K12" s="3"/>
      <c r="L12" s="3"/>
    </row>
    <row r="13">
      <c r="A13" s="3"/>
      <c r="B13" s="1" t="s">
        <v>59</v>
      </c>
      <c r="C13" s="11">
        <f>C10/C28</f>
        <v>0.8977059925093633</v>
      </c>
      <c r="D13" s="11">
        <f>D10/D28</f>
        <v>0.8872213639373207</v>
      </c>
      <c r="E13" s="11">
        <f>E10/E28</f>
        <v>0.9150672843591441</v>
      </c>
      <c r="F13" s="11">
        <f>F10/F28</f>
        <v>0.9066359639941386</v>
      </c>
      <c r="G13" s="11">
        <f>G10/G28</f>
        <v>0.8955545211218433</v>
      </c>
      <c r="H13" s="18">
        <f>H10/H28</f>
        <v>0.905029165123268</v>
      </c>
      <c r="I13" s="13"/>
      <c r="J13" s="3"/>
      <c r="K13" s="3"/>
      <c r="L13" s="3"/>
    </row>
    <row r="14">
      <c r="A14" s="3"/>
      <c r="B14" s="1" t="s">
        <v>60</v>
      </c>
      <c r="C14" s="11" t="s">
        <v>33</v>
      </c>
      <c r="D14" s="11" t="s">
        <v>33</v>
      </c>
      <c r="E14" s="11" t="s">
        <v>33</v>
      </c>
      <c r="F14" s="11" t="s">
        <v>33</v>
      </c>
      <c r="G14" s="11" t="s">
        <v>33</v>
      </c>
      <c r="H14" s="18" t="s">
        <v>33</v>
      </c>
      <c r="I14" s="13" t="s">
        <v>61</v>
      </c>
      <c r="J14" s="3"/>
      <c r="K14" s="3"/>
      <c r="L14" s="3"/>
    </row>
    <row r="15">
      <c r="A15" s="3"/>
      <c r="B15" s="1" t="s">
        <v>62</v>
      </c>
      <c r="C15" s="11" t="s">
        <v>33</v>
      </c>
      <c r="D15" s="11" t="s">
        <v>33</v>
      </c>
      <c r="E15" s="11" t="s">
        <v>33</v>
      </c>
      <c r="F15" s="11" t="s">
        <v>33</v>
      </c>
      <c r="G15" s="11" t="s">
        <v>33</v>
      </c>
      <c r="H15" s="18" t="s">
        <v>33</v>
      </c>
      <c r="I15" s="13" t="s">
        <v>63</v>
      </c>
      <c r="J15" s="3"/>
      <c r="K15" s="3"/>
      <c r="L15" s="3"/>
    </row>
    <row r="16">
      <c r="A16" s="3"/>
      <c r="B16" s="1" t="s">
        <v>64</v>
      </c>
      <c r="C16" s="14">
        <f>'Segment - Premium'!C50</f>
        <v>-0.043059490084985885</v>
      </c>
      <c r="D16" s="14">
        <f>'Segment - Premium'!D50</f>
        <v>-0.055361461972587955</v>
      </c>
      <c r="E16" s="14">
        <f>'Segment - Premium'!E50</f>
        <v>-0.05656886069257183</v>
      </c>
      <c r="F16" s="14">
        <f>'Segment - Premium'!F50</f>
        <v>-0.005861977084998804</v>
      </c>
      <c r="G16" s="14">
        <f>'Segment - Premium'!G50</f>
        <v>-0.03618018018017999</v>
      </c>
      <c r="H16" s="29">
        <f>'Segment - Premium'!H50</f>
        <v>0.018</v>
      </c>
      <c r="I16" s="13"/>
      <c r="J16" s="3"/>
      <c r="K16" s="3"/>
      <c r="L16" s="3"/>
    </row>
    <row r="17">
      <c r="A17" s="3"/>
      <c r="B17" s="1" t="s">
        <v>65</v>
      </c>
      <c r="C17" s="14">
        <f>'Segment - Premium'!C49</f>
        <v>0.12946175637393775</v>
      </c>
      <c r="D17" s="14">
        <f>'Segment - Premium'!D49</f>
        <v>0.13571620532115025</v>
      </c>
      <c r="E17" s="14">
        <f>'Segment - Premium'!E49</f>
        <v>0.15305313243457563</v>
      </c>
      <c r="F17" s="14">
        <f>'Segment - Premium'!F49</f>
        <v>0.15987210231814553</v>
      </c>
      <c r="G17" s="14">
        <f>'Segment - Premium'!G49</f>
        <v>0.14544144144144133</v>
      </c>
      <c r="H17" s="29">
        <f>'Segment - Premium'!H49</f>
        <v>0.15460502692998213</v>
      </c>
      <c r="I17" s="13" t="s">
        <v>66</v>
      </c>
      <c r="J17" s="3"/>
      <c r="K17" s="3"/>
      <c r="L17" s="3"/>
    </row>
    <row r="18">
      <c r="A18" s="3"/>
      <c r="B18" s="1" t="s">
        <v>67</v>
      </c>
      <c r="C18" s="14">
        <f>C10/Inputs!C111-1</f>
        <v>0.08640226628895187</v>
      </c>
      <c r="D18" s="14">
        <f>D10/Inputs!D111-1</f>
        <v>0.0803547433485623</v>
      </c>
      <c r="E18" s="14">
        <f>E10/Inputs!E111-1</f>
        <v>0.0964842717420038</v>
      </c>
      <c r="F18" s="14">
        <f>F10/Inputs!F111-1</f>
        <v>0.15401012523314672</v>
      </c>
      <c r="G18" s="14">
        <f>G10/Inputs!G111-1</f>
        <v>0.10926126126126134</v>
      </c>
      <c r="H18" s="18">
        <f>H10/C10-1</f>
        <v>0.17260502692998192</v>
      </c>
      <c r="I18" s="13"/>
      <c r="J18" s="3"/>
      <c r="K18" s="3"/>
      <c r="L18" s="3"/>
    </row>
    <row r="19">
      <c r="A19" s="3"/>
      <c r="B19" s="2" t="s">
        <v>68</v>
      </c>
      <c r="C19" s="21">
        <f>'Segment - Ad-Supported'!C52</f>
        <v>437</v>
      </c>
      <c r="D19" s="21">
        <f>'Segment - Ad-Supported'!D52</f>
        <v>511</v>
      </c>
      <c r="E19" s="21">
        <f>'Segment - Ad-Supported'!E52</f>
        <v>385</v>
      </c>
      <c r="F19" s="21">
        <f>'Segment - Ad-Supported'!F52</f>
        <v>446</v>
      </c>
      <c r="G19" s="21">
        <f>'Segment - Ad-Supported'!G52</f>
        <v>1795</v>
      </c>
      <c r="H19" s="20">
        <f>'Segment - Ad-Supported'!H52</f>
        <v>471.89437542662114</v>
      </c>
      <c r="I19" s="13"/>
      <c r="J19" s="3"/>
      <c r="K19" s="3"/>
      <c r="L19" s="3"/>
    </row>
    <row r="20">
      <c r="A20" s="3"/>
      <c r="B20" s="1" t="s">
        <v>57</v>
      </c>
      <c r="C20" s="14">
        <f>IFERROR(IF(Inputs!C112&lt;=0,"n.m.",C19/Inputs!C112-1),"n.a.")</f>
        <v>-0.04585152838427953</v>
      </c>
      <c r="D20" s="14">
        <f>IFERROR(IF(Inputs!D112&lt;=0,"n.m.",D19/Inputs!D112-1),"n.a.")</f>
        <v>-0.019193857965451033</v>
      </c>
      <c r="E20" s="14">
        <f>IFERROR(IF(Inputs!E112&lt;=0,"n.m.",E19/Inputs!E112-1),"n.a.")</f>
        <v>-0.05405405405405406</v>
      </c>
      <c r="F20" s="14">
        <f>IFERROR(IF(Inputs!F112&lt;=0,"n.m.",F19/Inputs!F112-1),"n.a.")</f>
        <v>0.013636363636363669</v>
      </c>
      <c r="G20" s="14">
        <f>IFERROR(IF(Inputs!G112&lt;=0,"n.m.",G19/Inputs!G112-1),"n.a.")</f>
        <v>-0.0016685205784204848</v>
      </c>
      <c r="H20" s="18">
        <f>IFERROR(IF(C19&lt;=0,"n.m.",H19/C19-1),"n.a.")</f>
        <v>0.07984982935153573</v>
      </c>
      <c r="I20" s="13"/>
      <c r="J20" s="3"/>
      <c r="K20" s="3"/>
      <c r="L20" s="3"/>
    </row>
    <row r="21">
      <c r="A21" s="3"/>
      <c r="B21" s="1" t="s">
        <v>58</v>
      </c>
      <c r="C21" s="14">
        <f>IFERROR(IF(Inputs!F112&lt;=0,"n.m.",C19/Inputs!F112-1),"n.a.")</f>
        <v>-0.006818181818181834</v>
      </c>
      <c r="D21" s="11">
        <f>IFERROR(IF(C19&lt;=0,"n.m.",D19/C19-1),"n.a.")</f>
        <v>0.16933638443935917</v>
      </c>
      <c r="E21" s="11">
        <f>IFERROR(IF(D19&lt;=0,"n.m.",E19/D19-1),"n.a.")</f>
        <v>-0.2465753424657534</v>
      </c>
      <c r="F21" s="11">
        <f>IFERROR(IF(E19&lt;=0,"n.m.",F19/E19-1),"n.a.")</f>
        <v>0.15844155844155838</v>
      </c>
      <c r="G21" s="11" t="s">
        <v>33</v>
      </c>
      <c r="H21" s="18">
        <f>IFERROR(IF(F19&lt;=0,"n.m.",H19/F19-1),"n.a.")</f>
        <v>0.058059137727850096</v>
      </c>
      <c r="I21" s="13"/>
      <c r="J21" s="3"/>
      <c r="K21" s="3"/>
      <c r="L21" s="3"/>
    </row>
    <row r="22">
      <c r="A22" s="3"/>
      <c r="B22" s="1" t="s">
        <v>59</v>
      </c>
      <c r="C22" s="11">
        <f>C19/C28</f>
        <v>0.1022940074906367</v>
      </c>
      <c r="D22" s="11">
        <f>D19/D28</f>
        <v>0.11277863606267932</v>
      </c>
      <c r="E22" s="11">
        <f>E19/E28</f>
        <v>0.08493271564085594</v>
      </c>
      <c r="F22" s="11">
        <f>F19/F28</f>
        <v>0.09336403600586142</v>
      </c>
      <c r="G22" s="11">
        <f>G19/G28</f>
        <v>0.10444547887815664</v>
      </c>
      <c r="H22" s="18">
        <f>H19/H28</f>
        <v>0.094970834876732</v>
      </c>
      <c r="I22" s="13"/>
      <c r="J22" s="3"/>
      <c r="K22" s="3"/>
      <c r="L22" s="3"/>
    </row>
    <row r="23">
      <c r="A23" s="3"/>
      <c r="B23" s="1" t="s">
        <v>60</v>
      </c>
      <c r="C23" s="11" t="s">
        <v>33</v>
      </c>
      <c r="D23" s="11" t="s">
        <v>33</v>
      </c>
      <c r="E23" s="11" t="s">
        <v>33</v>
      </c>
      <c r="F23" s="11" t="s">
        <v>33</v>
      </c>
      <c r="G23" s="11" t="s">
        <v>33</v>
      </c>
      <c r="H23" s="18" t="s">
        <v>33</v>
      </c>
      <c r="I23" s="13" t="s">
        <v>61</v>
      </c>
      <c r="J23" s="3"/>
      <c r="K23" s="3"/>
      <c r="L23" s="3"/>
    </row>
    <row r="24">
      <c r="A24" s="3"/>
      <c r="B24" s="1" t="s">
        <v>62</v>
      </c>
      <c r="C24" s="11" t="s">
        <v>33</v>
      </c>
      <c r="D24" s="11" t="s">
        <v>33</v>
      </c>
      <c r="E24" s="11" t="s">
        <v>33</v>
      </c>
      <c r="F24" s="11" t="s">
        <v>33</v>
      </c>
      <c r="G24" s="11" t="s">
        <v>33</v>
      </c>
      <c r="H24" s="18" t="s">
        <v>33</v>
      </c>
      <c r="I24" s="13" t="s">
        <v>63</v>
      </c>
      <c r="J24" s="3"/>
      <c r="K24" s="3"/>
      <c r="L24" s="3"/>
    </row>
    <row r="25">
      <c r="A25" s="3"/>
      <c r="B25" s="1" t="s">
        <v>64</v>
      </c>
      <c r="C25" s="14">
        <f>'Segment - Ad-Supported'!C60</f>
        <v>-0.05676855895196509</v>
      </c>
      <c r="D25" s="14">
        <f>'Segment - Ad-Supported'!D60</f>
        <v>-0.08061420345489434</v>
      </c>
      <c r="E25" s="14">
        <f>'Segment - Ad-Supported'!E60</f>
        <v>-0.0884520884520884</v>
      </c>
      <c r="F25" s="14">
        <f>'Segment - Ad-Supported'!F60</f>
        <v>-0.018181818181818077</v>
      </c>
      <c r="G25" s="14">
        <f>'Segment - Ad-Supported'!G60</f>
        <v>-0.046162402669632896</v>
      </c>
      <c r="H25" s="29">
        <f>'Segment - Ad-Supported'!H60</f>
        <v>0.018</v>
      </c>
      <c r="I25" s="13"/>
      <c r="J25" s="3"/>
      <c r="K25" s="3"/>
      <c r="L25" s="3"/>
    </row>
    <row r="26">
      <c r="A26" s="3"/>
      <c r="B26" s="1" t="s">
        <v>65</v>
      </c>
      <c r="C26" s="14">
        <f>'Segment - Ad-Supported'!C59</f>
        <v>0.01091703056768556</v>
      </c>
      <c r="D26" s="14">
        <f>'Segment - Ad-Supported'!D59</f>
        <v>0.061420345489443307</v>
      </c>
      <c r="E26" s="14">
        <f>'Segment - Ad-Supported'!E59</f>
        <v>0.03439803439803435</v>
      </c>
      <c r="F26" s="14">
        <f>'Segment - Ad-Supported'!F59</f>
        <v>0.031818181818181746</v>
      </c>
      <c r="G26" s="14">
        <f>'Segment - Ad-Supported'!G59</f>
        <v>0.04449388209121241</v>
      </c>
      <c r="H26" s="29">
        <f>'Segment - Ad-Supported'!H59</f>
        <v>0.06184982935153571</v>
      </c>
      <c r="I26" s="13" t="s">
        <v>66</v>
      </c>
      <c r="J26" s="3"/>
      <c r="K26" s="3"/>
      <c r="L26" s="3"/>
    </row>
    <row r="27">
      <c r="A27" s="3"/>
      <c r="B27" s="1" t="s">
        <v>67</v>
      </c>
      <c r="C27" s="14">
        <f>C19/Inputs!C112-1</f>
        <v>-0.04585152838427953</v>
      </c>
      <c r="D27" s="14">
        <f>D19/Inputs!D112-1</f>
        <v>-0.019193857965451033</v>
      </c>
      <c r="E27" s="14">
        <f>E19/Inputs!E112-1</f>
        <v>-0.05405405405405406</v>
      </c>
      <c r="F27" s="14">
        <f>F19/Inputs!F112-1</f>
        <v>0.013636363636363669</v>
      </c>
      <c r="G27" s="14">
        <f>G19/Inputs!G112-1</f>
        <v>-0.0016685205784204848</v>
      </c>
      <c r="H27" s="18">
        <f>H19/C19-1</f>
        <v>0.07984982935153573</v>
      </c>
      <c r="I27" s="13"/>
      <c r="J27" s="3"/>
      <c r="K27" s="3"/>
      <c r="L27" s="3"/>
    </row>
    <row r="28">
      <c r="A28" s="3"/>
      <c r="B28" s="27" t="s">
        <v>69</v>
      </c>
      <c r="C28" s="23">
        <f>C10+C19</f>
        <v>4272</v>
      </c>
      <c r="D28" s="23">
        <f>D10+D19</f>
        <v>4531</v>
      </c>
      <c r="E28" s="23">
        <f>E10+E19</f>
        <v>4533</v>
      </c>
      <c r="F28" s="23">
        <f>F10+F19</f>
        <v>4777</v>
      </c>
      <c r="G28" s="23">
        <f>G10+G19</f>
        <v>17186</v>
      </c>
      <c r="H28" s="38">
        <f>H10+H19</f>
        <v>4968.834653703102</v>
      </c>
      <c r="I28" s="13"/>
      <c r="J28" s="3"/>
      <c r="K28" s="3"/>
      <c r="L28" s="3"/>
    </row>
    <row r="29">
      <c r="A29" s="3"/>
      <c r="B29" s="1" t="s">
        <v>57</v>
      </c>
      <c r="C29" s="14">
        <f>IFERROR(IF(Inputs!C110&lt;=0,"n.m.",C28/Inputs!C110-1),"n.a.")</f>
        <v>0.07121364092276838</v>
      </c>
      <c r="D29" s="14">
        <f>IFERROR(IF(Inputs!D110&lt;=0,"n.m.",D28/Inputs!D110-1),"n.a.")</f>
        <v>0.06812824139556817</v>
      </c>
      <c r="E29" s="14">
        <f>IFERROR(IF(Inputs!E110&lt;=0,"n.m.",E28/Inputs!E110-1),"n.a.")</f>
        <v>0.0818615751789975</v>
      </c>
      <c r="F29" s="14">
        <f>IFERROR(IF(Inputs!F110&lt;=0,"n.m.",F28/Inputs!F110-1),"n.a.")</f>
        <v>0.13927975196756504</v>
      </c>
      <c r="G29" s="14">
        <f>IFERROR(IF(Inputs!G110&lt;=0,"n.m.",G28/Inputs!G110-1),"n.a.")</f>
        <v>0.0965354431187393</v>
      </c>
      <c r="H29" s="18">
        <f>IFERROR(IF(C28&lt;=0,"n.m.",H28/C28-1),"n.a.")</f>
        <v>0.16311672605409688</v>
      </c>
      <c r="I29" s="13"/>
      <c r="J29" s="3"/>
      <c r="K29" s="3"/>
      <c r="L29" s="3"/>
    </row>
    <row r="30">
      <c r="A30" s="3"/>
      <c r="B30" s="1" t="s">
        <v>58</v>
      </c>
      <c r="C30" s="14">
        <f>IFERROR(IF(Inputs!F110&lt;=0,"n.m.",C28/Inputs!F110-1),"n.a.")</f>
        <v>0.018840925351776727</v>
      </c>
      <c r="D30" s="11">
        <f>IFERROR(IF(C28&lt;=0,"n.m.",D28/C28-1),"n.a.")</f>
        <v>0.060627340823970144</v>
      </c>
      <c r="E30" s="11">
        <f>IFERROR(IF(D28&lt;=0,"n.m.",E28/D28-1),"n.a.")</f>
        <v>0.0004414036636504193</v>
      </c>
      <c r="F30" s="11">
        <f>IFERROR(IF(E28&lt;=0,"n.m.",F28/E28-1),"n.a.")</f>
        <v>0.05382748731524378</v>
      </c>
      <c r="G30" s="11" t="s">
        <v>33</v>
      </c>
      <c r="H30" s="18">
        <f>IFERROR(IF(F28&lt;=0,"n.m.",H28/F28-1),"n.a.")</f>
        <v>0.04015797649217134</v>
      </c>
      <c r="I30" s="13"/>
      <c r="J30" s="3"/>
      <c r="K30" s="3"/>
      <c r="L30" s="3"/>
    </row>
    <row r="31">
      <c r="A31" s="3"/>
      <c r="B31" s="1" t="s">
        <v>59</v>
      </c>
      <c r="C31" s="11">
        <f>C28/C28</f>
        <v>1</v>
      </c>
      <c r="D31" s="11">
        <f>D28/D28</f>
        <v>1</v>
      </c>
      <c r="E31" s="11">
        <f>E28/E28</f>
        <v>1</v>
      </c>
      <c r="F31" s="11">
        <f>F28/F28</f>
        <v>1</v>
      </c>
      <c r="G31" s="11">
        <f>G28/G28</f>
        <v>1</v>
      </c>
      <c r="H31" s="18">
        <f>H28/H28</f>
        <v>1</v>
      </c>
      <c r="I31" s="13"/>
      <c r="J31" s="3"/>
      <c r="K31" s="3"/>
      <c r="L31" s="3"/>
    </row>
    <row r="32" ht="23.24853515625">
      <c r="A32" s="3"/>
      <c r="B32" s="2" t="s">
        <v>70</v>
      </c>
      <c r="C32" s="21">
        <f>'Segment - Premium'!C47+'Segment - Ad-Supported'!C57</f>
        <v>178</v>
      </c>
      <c r="D32" s="21">
        <f>'Segment - Premium'!D47+'Segment - Ad-Supported'!D57</f>
        <v>248</v>
      </c>
      <c r="E32" s="21">
        <f>'Segment - Premium'!E47+'Segment - Ad-Supported'!E57</f>
        <v>250</v>
      </c>
      <c r="F32" s="21">
        <f>'Segment - Premium'!F47+'Segment - Ad-Supported'!F57</f>
        <v>30</v>
      </c>
      <c r="G32" s="21">
        <f>'Segment - Premium'!G47+'Segment - Ad-Supported'!G57</f>
        <v>585</v>
      </c>
      <c r="H32" s="20">
        <f>'Segment - Premium'!H47+'Segment - Ad-Supported'!H57</f>
        <v>-76.89599999999973</v>
      </c>
      <c r="I32" s="13" t="s">
        <v>71</v>
      </c>
      <c r="J32" s="3"/>
      <c r="K32" s="3"/>
      <c r="L32" s="3"/>
    </row>
    <row r="33">
      <c r="A33" s="3"/>
      <c r="B33" s="2" t="s">
        <v>72</v>
      </c>
      <c r="C33" s="16">
        <f>C28+C32</f>
        <v>4450</v>
      </c>
      <c r="D33" s="16">
        <f>D28+D32</f>
        <v>4779</v>
      </c>
      <c r="E33" s="16">
        <f>E28+E32</f>
        <v>4783</v>
      </c>
      <c r="F33" s="16">
        <f>F28+F32</f>
        <v>4807</v>
      </c>
      <c r="G33" s="16">
        <f>G28+G32</f>
        <v>17771</v>
      </c>
      <c r="H33" s="25">
        <f>H28+H32</f>
        <v>4891.938653703102</v>
      </c>
      <c r="I33" s="13"/>
      <c r="J33" s="3"/>
      <c r="K33" s="3"/>
      <c r="L33" s="3"/>
    </row>
    <row r="34">
      <c r="A34" s="3"/>
      <c r="B34" s="1" t="s">
        <v>60</v>
      </c>
      <c r="C34" s="11" t="s">
        <v>33</v>
      </c>
      <c r="D34" s="11" t="s">
        <v>33</v>
      </c>
      <c r="E34" s="11" t="s">
        <v>33</v>
      </c>
      <c r="F34" s="11" t="s">
        <v>33</v>
      </c>
      <c r="G34" s="11" t="s">
        <v>33</v>
      </c>
      <c r="H34" s="18" t="s">
        <v>33</v>
      </c>
      <c r="I34" s="13" t="s">
        <v>61</v>
      </c>
      <c r="J34" s="3"/>
      <c r="K34" s="3"/>
      <c r="L34" s="3"/>
    </row>
    <row r="35">
      <c r="A35" s="3"/>
      <c r="B35" s="1" t="s">
        <v>62</v>
      </c>
      <c r="C35" s="11" t="s">
        <v>33</v>
      </c>
      <c r="D35" s="11" t="s">
        <v>33</v>
      </c>
      <c r="E35" s="11" t="s">
        <v>33</v>
      </c>
      <c r="F35" s="11" t="s">
        <v>33</v>
      </c>
      <c r="G35" s="11" t="s">
        <v>33</v>
      </c>
      <c r="H35" s="18" t="s">
        <v>33</v>
      </c>
      <c r="I35" s="13" t="s">
        <v>63</v>
      </c>
      <c r="J35" s="3"/>
      <c r="K35" s="3"/>
      <c r="L35" s="3"/>
    </row>
    <row r="36">
      <c r="A36" s="3"/>
      <c r="B36" s="1" t="s">
        <v>65</v>
      </c>
      <c r="C36" s="14">
        <f>C33/Inputs!C110-1</f>
        <v>0.11584754262788355</v>
      </c>
      <c r="D36" s="14">
        <f>D33/Inputs!D110-1</f>
        <v>0.12659123055162658</v>
      </c>
      <c r="E36" s="14">
        <f>E33/Inputs!E110-1</f>
        <v>0.1415274463007159</v>
      </c>
      <c r="F36" s="14">
        <f>F33/Inputs!F110-1</f>
        <v>0.14643453374672077</v>
      </c>
      <c r="G36" s="14">
        <f>G33/Inputs!G110-1</f>
        <v>0.13386077968480836</v>
      </c>
      <c r="H36" s="18">
        <f>H33/C28-1</f>
        <v>0.1451167260540971</v>
      </c>
      <c r="I36" s="13" t="s">
        <v>66</v>
      </c>
      <c r="J36" s="3"/>
      <c r="K36" s="3"/>
      <c r="L36" s="3"/>
    </row>
    <row r="37">
      <c r="A37" s="3"/>
      <c r="B37" s="1" t="s">
        <v>73</v>
      </c>
      <c r="C37" s="11">
        <f>C29-C36</f>
        <v>-0.044633901705115164</v>
      </c>
      <c r="D37" s="11">
        <f>D29-D36</f>
        <v>-0.05846298915605841</v>
      </c>
      <c r="E37" s="11">
        <f>E29-E36</f>
        <v>-0.059665871121718395</v>
      </c>
      <c r="F37" s="11">
        <f>F29-F36</f>
        <v>-0.007154781779155739</v>
      </c>
      <c r="G37" s="11">
        <f>G29-G36</f>
        <v>-0.03732533656606907</v>
      </c>
      <c r="H37" s="18">
        <f>H29-H36</f>
        <v>0.017999999999999794</v>
      </c>
      <c r="I37" s="13"/>
      <c r="J37" s="3"/>
      <c r="K37" s="3"/>
      <c r="L37" s="3"/>
    </row>
    <row r="38">
      <c r="A38" s="3"/>
      <c r="B38" s="1" t="s">
        <v>67</v>
      </c>
      <c r="C38" s="14">
        <f>C28/Inputs!C110-1</f>
        <v>0.07121364092276838</v>
      </c>
      <c r="D38" s="14">
        <f>D28/Inputs!D110-1</f>
        <v>0.06812824139556817</v>
      </c>
      <c r="E38" s="14">
        <f>E28/Inputs!E110-1</f>
        <v>0.0818615751789975</v>
      </c>
      <c r="F38" s="14">
        <f>F28/Inputs!F110-1</f>
        <v>0.13927975196756504</v>
      </c>
      <c r="G38" s="14">
        <f>G28/Inputs!G110-1</f>
        <v>0.0965354431187393</v>
      </c>
      <c r="H38" s="18">
        <f>H28/C28-1</f>
        <v>0.16311672605409688</v>
      </c>
      <c r="I38" s="13"/>
      <c r="J38" s="3"/>
      <c r="K38" s="3"/>
      <c r="L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14.624267578125">
      <c r="A40" s="3"/>
      <c r="B40" s="1" t="s">
        <v>74</v>
      </c>
      <c r="C40" s="24">
        <f>ROUND(C28-'Income Statement'!C10,6)</f>
        <v>0</v>
      </c>
      <c r="D40" s="24">
        <f>ROUND(D28-'Income Statement'!D10,6)</f>
        <v>0</v>
      </c>
      <c r="E40" s="24">
        <f>ROUND(E28-'Income Statement'!E10,6)</f>
        <v>0</v>
      </c>
      <c r="F40" s="24">
        <f>ROUND(F28-'Income Statement'!F10,6)</f>
        <v>0</v>
      </c>
      <c r="G40" s="24">
        <f>ROUND(G28-'Income Statement'!G10,6)</f>
        <v>0</v>
      </c>
      <c r="H40" s="26">
        <f>ROUND(H28-'Income Statement'!H10,6)</f>
        <v>0</v>
      </c>
      <c r="I40" s="13" t="s">
        <v>75</v>
      </c>
      <c r="J40" s="3"/>
      <c r="K40" s="3"/>
      <c r="L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31.872802734375">
      <c r="A42" s="3"/>
      <c r="B42" s="2" t="s">
        <v>76</v>
      </c>
      <c r="C42" s="15"/>
      <c r="D42" s="15"/>
      <c r="E42" s="15"/>
      <c r="F42" s="15"/>
      <c r="G42" s="15"/>
      <c r="H42" s="15"/>
      <c r="I42" s="13"/>
      <c r="J42" s="3"/>
      <c r="K42" s="3"/>
      <c r="L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L65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6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>
      <c r="A2" s="3"/>
      <c r="B2" s="5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>
      <c r="A3" s="3"/>
      <c r="B3" s="30" t="s">
        <v>77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>
      <c r="A4" s="3"/>
      <c r="B4" s="17" t="s">
        <v>78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>
      <c r="A5" s="3"/>
      <c r="B5" s="31" t="s">
        <v>48</v>
      </c>
      <c r="C5" s="12" t="s">
        <v>49</v>
      </c>
      <c r="D5" s="12" t="s">
        <v>50</v>
      </c>
      <c r="E5" s="12" t="s">
        <v>51</v>
      </c>
      <c r="F5" s="12" t="s">
        <v>52</v>
      </c>
      <c r="G5" s="12" t="s">
        <v>53</v>
      </c>
      <c r="H5" s="12" t="s">
        <v>4</v>
      </c>
      <c r="I5" s="31" t="s">
        <v>54</v>
      </c>
      <c r="J5" s="3"/>
      <c r="K5" s="3"/>
      <c r="L5" s="3"/>
    </row>
    <row r="6">
      <c r="A6" s="3"/>
      <c r="B6" s="22" t="s">
        <v>5</v>
      </c>
      <c r="C6" s="19">
        <v>45930</v>
      </c>
      <c r="D6" s="19">
        <v>46022</v>
      </c>
      <c r="E6" s="19">
        <v>46112</v>
      </c>
      <c r="F6" s="19">
        <v>46203</v>
      </c>
      <c r="G6" s="19">
        <v>46022</v>
      </c>
      <c r="H6" s="19">
        <v>46295</v>
      </c>
      <c r="I6" s="22"/>
      <c r="J6" s="3"/>
      <c r="K6" s="3"/>
      <c r="L6" s="3"/>
    </row>
    <row r="7">
      <c r="A7" s="3"/>
      <c r="B7" s="10" t="s">
        <v>6</v>
      </c>
      <c r="C7" s="28">
        <f>C6-EOMONTH(C6,-3)</f>
        <v>92</v>
      </c>
      <c r="D7" s="28">
        <f>D6-EOMONTH(D6,-3)</f>
        <v>92</v>
      </c>
      <c r="E7" s="28">
        <f>E6-EOMONTH(E6,-3)</f>
        <v>90</v>
      </c>
      <c r="F7" s="28">
        <f>F6-EOMONTH(F6,-3)</f>
        <v>91</v>
      </c>
      <c r="G7" s="28">
        <f>G6-DATE(YEAR(G6)-1,12,31)</f>
        <v>365</v>
      </c>
      <c r="H7" s="28">
        <f>H6-EOMONTH(H6,-3)</f>
        <v>92</v>
      </c>
      <c r="I7" s="10"/>
      <c r="J7" s="3"/>
      <c r="K7" s="3"/>
      <c r="L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>
      <c r="A9" s="3"/>
      <c r="B9" s="27" t="s">
        <v>79</v>
      </c>
      <c r="C9" s="15"/>
      <c r="D9" s="15"/>
      <c r="E9" s="15"/>
      <c r="F9" s="15"/>
      <c r="G9" s="15"/>
      <c r="H9" s="15"/>
      <c r="I9" s="13"/>
      <c r="J9" s="3"/>
      <c r="K9" s="3"/>
      <c r="L9" s="3"/>
    </row>
    <row r="10">
      <c r="A10" s="3"/>
      <c r="B10" s="2" t="s">
        <v>80</v>
      </c>
      <c r="C10" s="21">
        <f>Inputs!F151</f>
        <v>276</v>
      </c>
      <c r="D10" s="16">
        <f>C16</f>
        <v>281</v>
      </c>
      <c r="E10" s="16">
        <f>D16</f>
        <v>290</v>
      </c>
      <c r="F10" s="16">
        <f>E16</f>
        <v>293</v>
      </c>
      <c r="G10" s="21">
        <f>Inputs!D151</f>
        <v>263</v>
      </c>
      <c r="H10" s="25">
        <f>F16</f>
        <v>300</v>
      </c>
      <c r="I10" s="13" t="s">
        <v>81</v>
      </c>
      <c r="J10" s="3"/>
      <c r="K10" s="3"/>
      <c r="L10" s="3"/>
    </row>
    <row r="11">
      <c r="A11" s="3"/>
      <c r="B11" s="2" t="s">
        <v>82</v>
      </c>
      <c r="C11" s="16" t="s">
        <v>33</v>
      </c>
      <c r="D11" s="16" t="s">
        <v>33</v>
      </c>
      <c r="E11" s="16" t="s">
        <v>33</v>
      </c>
      <c r="F11" s="16" t="s">
        <v>33</v>
      </c>
      <c r="G11" s="16" t="s">
        <v>33</v>
      </c>
      <c r="H11" s="25" t="s">
        <v>33</v>
      </c>
      <c r="I11" s="13" t="s">
        <v>83</v>
      </c>
      <c r="J11" s="3"/>
      <c r="K11" s="3"/>
      <c r="L11" s="3"/>
    </row>
    <row r="12">
      <c r="A12" s="3"/>
      <c r="B12" s="2" t="s">
        <v>84</v>
      </c>
      <c r="C12" s="16" t="s">
        <v>33</v>
      </c>
      <c r="D12" s="16" t="s">
        <v>33</v>
      </c>
      <c r="E12" s="16" t="s">
        <v>33</v>
      </c>
      <c r="F12" s="16" t="s">
        <v>33</v>
      </c>
      <c r="G12" s="16" t="s">
        <v>33</v>
      </c>
      <c r="H12" s="25" t="s">
        <v>33</v>
      </c>
      <c r="I12" s="13" t="s">
        <v>83</v>
      </c>
      <c r="J12" s="3"/>
      <c r="K12" s="3"/>
      <c r="L12" s="3"/>
    </row>
    <row r="13">
      <c r="A13" s="3"/>
      <c r="B13" s="2" t="s">
        <v>85</v>
      </c>
      <c r="C13" s="16">
        <f>C16-C10</f>
        <v>5</v>
      </c>
      <c r="D13" s="16">
        <f>D16-D10</f>
        <v>9</v>
      </c>
      <c r="E13" s="16">
        <f>E16-E10</f>
        <v>3</v>
      </c>
      <c r="F13" s="16">
        <f>F16-F10</f>
        <v>7</v>
      </c>
      <c r="G13" s="16">
        <f>G16-G10</f>
        <v>27</v>
      </c>
      <c r="H13" s="20">
        <f>Guidance!G43-F16</f>
        <v>5</v>
      </c>
      <c r="I13" s="13" t="s">
        <v>86</v>
      </c>
      <c r="J13" s="3"/>
      <c r="K13" s="3"/>
      <c r="L13" s="3"/>
    </row>
    <row r="14">
      <c r="A14" s="3"/>
      <c r="B14" s="2" t="s">
        <v>87</v>
      </c>
      <c r="C14" s="21">
        <f>C13-Inputs!C154</f>
        <v>-1</v>
      </c>
      <c r="D14" s="21">
        <f>D13-Inputs!D154</f>
        <v>-2</v>
      </c>
      <c r="E14" s="21">
        <f>E13-Inputs!E154</f>
        <v>-2</v>
      </c>
      <c r="F14" s="21">
        <f>F13-Inputs!F154</f>
        <v>-1</v>
      </c>
      <c r="G14" s="21">
        <f>G13-Inputs!G154</f>
        <v>0</v>
      </c>
      <c r="H14" s="25">
        <f>H13-C13</f>
        <v>0</v>
      </c>
      <c r="I14" s="13"/>
      <c r="J14" s="3"/>
      <c r="K14" s="3"/>
      <c r="L14" s="3"/>
    </row>
    <row r="15">
      <c r="A15" s="3"/>
      <c r="B15" s="2" t="s">
        <v>88</v>
      </c>
      <c r="C15" s="21">
        <f>C13-Inputs!F154</f>
        <v>-3</v>
      </c>
      <c r="D15" s="16">
        <f>D13-C13</f>
        <v>4</v>
      </c>
      <c r="E15" s="16">
        <f>E13-D13</f>
        <v>-6</v>
      </c>
      <c r="F15" s="16">
        <f>F13-E13</f>
        <v>4</v>
      </c>
      <c r="G15" s="16" t="s">
        <v>33</v>
      </c>
      <c r="H15" s="25">
        <f>H13-F13</f>
        <v>-2</v>
      </c>
      <c r="I15" s="13"/>
      <c r="J15" s="3"/>
      <c r="K15" s="3"/>
      <c r="L15" s="3"/>
    </row>
    <row r="16">
      <c r="A16" s="3"/>
      <c r="B16" s="27" t="s">
        <v>89</v>
      </c>
      <c r="C16" s="47">
        <v>281</v>
      </c>
      <c r="D16" s="47">
        <v>290</v>
      </c>
      <c r="E16" s="47">
        <v>293</v>
      </c>
      <c r="F16" s="47">
        <v>300</v>
      </c>
      <c r="G16" s="23">
        <f>D16</f>
        <v>290</v>
      </c>
      <c r="H16" s="38">
        <f>H10+H13</f>
        <v>305</v>
      </c>
      <c r="I16" s="13" t="s">
        <v>90</v>
      </c>
      <c r="J16" s="3"/>
      <c r="K16" s="3"/>
      <c r="L16" s="3"/>
    </row>
    <row r="17">
      <c r="A17" s="3"/>
      <c r="B17" s="1" t="s">
        <v>57</v>
      </c>
      <c r="C17" s="14">
        <f>IFERROR(IF(Inputs!C151&lt;=0,"n.m.",C16/Inputs!C151-1),"n.a.")</f>
        <v>0.11507936507936511</v>
      </c>
      <c r="D17" s="14">
        <f>IFERROR(IF(Inputs!D151&lt;=0,"n.m.",D16/Inputs!D151-1),"n.a.")</f>
        <v>0.102661596958175</v>
      </c>
      <c r="E17" s="14">
        <f>IFERROR(IF(Inputs!E151&lt;=0,"n.m.",E16/Inputs!E151-1),"n.a.")</f>
        <v>0.09328358208955234</v>
      </c>
      <c r="F17" s="14">
        <f>IFERROR(IF(Inputs!F151&lt;=0,"n.m.",F16/Inputs!F151-1),"n.a.")</f>
        <v>0.08695652173913038</v>
      </c>
      <c r="G17" s="14">
        <f>IFERROR(IF(Inputs!G151&lt;=0,"n.m.",G16/Inputs!G151-1),"n.a.")</f>
        <v>0.102661596958175</v>
      </c>
      <c r="H17" s="18">
        <f>IFERROR(IF(C16&lt;=0,"n.m.",H16/C16-1),"n.a.")</f>
        <v>0.08540925266903909</v>
      </c>
      <c r="I17" s="13"/>
      <c r="J17" s="3"/>
      <c r="K17" s="3"/>
      <c r="L17" s="3"/>
    </row>
    <row r="18">
      <c r="A18" s="3"/>
      <c r="B18" s="2" t="s">
        <v>91</v>
      </c>
      <c r="C18" s="21">
        <f>C16-Inputs!F151</f>
        <v>5</v>
      </c>
      <c r="D18" s="16">
        <f>D16-C16</f>
        <v>9</v>
      </c>
      <c r="E18" s="16">
        <f>E16-D16</f>
        <v>3</v>
      </c>
      <c r="F18" s="16">
        <f>F16-E16</f>
        <v>7</v>
      </c>
      <c r="G18" s="16" t="s">
        <v>33</v>
      </c>
      <c r="H18" s="25">
        <f>H16-F16</f>
        <v>5</v>
      </c>
      <c r="I18" s="13"/>
      <c r="J18" s="3"/>
      <c r="K18" s="3"/>
      <c r="L18" s="3"/>
    </row>
    <row r="19" ht="26.25">
      <c r="A19" s="3"/>
      <c r="B19" s="2" t="s">
        <v>92</v>
      </c>
      <c r="C19" s="16">
        <f>(C10+C16)/2</f>
        <v>278.5</v>
      </c>
      <c r="D19" s="16">
        <f>(D10+D16)/2</f>
        <v>285.5</v>
      </c>
      <c r="E19" s="16">
        <f>(E10+E16)/2</f>
        <v>291.5</v>
      </c>
      <c r="F19" s="16">
        <f>(F10+F16)/2</f>
        <v>296.5</v>
      </c>
      <c r="G19" s="21">
        <f>(Inputs!D151+2*Inputs!E151+2*Inputs!F151+2*C16+D16)/8</f>
        <v>275.375</v>
      </c>
      <c r="H19" s="25">
        <f>(H10+H16)/2</f>
        <v>302.5</v>
      </c>
      <c r="I19" s="104" t="s">
        <v>93</v>
      </c>
      <c r="J19" s="3"/>
      <c r="K19" s="3"/>
      <c r="L19" s="3"/>
    </row>
    <row r="20">
      <c r="A20" s="3"/>
      <c r="B20" s="1" t="s">
        <v>57</v>
      </c>
      <c r="C20" s="14">
        <f>IFERROR(IF(Inputs!C153&lt;=0,"n.m.",C19/Inputs!C153-1),"n.a.")</f>
        <v>0.11847389558232924</v>
      </c>
      <c r="D20" s="14">
        <f>IFERROR(IF(Inputs!D153&lt;=0,"n.m.",D19/Inputs!D153-1),"n.a.")</f>
        <v>0.10873786407766994</v>
      </c>
      <c r="E20" s="14">
        <f>IFERROR(IF(Inputs!E153&lt;=0,"n.m.",E19/Inputs!E153-1),"n.a.")</f>
        <v>0.09792843691148767</v>
      </c>
      <c r="F20" s="14">
        <f>IFERROR(IF(Inputs!F153&lt;=0,"n.m.",F19/Inputs!F153-1),"n.a.")</f>
        <v>0.09007352941176472</v>
      </c>
      <c r="G20" s="11" t="s">
        <v>33</v>
      </c>
      <c r="H20" s="18">
        <f>IFERROR(IF(C19&lt;=0,"n.m.",H19/C19-1),"n.a.")</f>
        <v>0.08617594254937155</v>
      </c>
      <c r="I20" s="13"/>
      <c r="J20" s="3"/>
      <c r="K20" s="3"/>
      <c r="L20" s="3"/>
    </row>
    <row r="21">
      <c r="A21" s="3"/>
      <c r="B21" s="2" t="s">
        <v>91</v>
      </c>
      <c r="C21" s="21">
        <f>C19-Inputs!F153</f>
        <v>6.5</v>
      </c>
      <c r="D21" s="16">
        <f>D19-C19</f>
        <v>7</v>
      </c>
      <c r="E21" s="16">
        <f>E19-D19</f>
        <v>6</v>
      </c>
      <c r="F21" s="16">
        <f>F19-E19</f>
        <v>5</v>
      </c>
      <c r="G21" s="16" t="s">
        <v>33</v>
      </c>
      <c r="H21" s="25">
        <f>H19-F19</f>
        <v>6</v>
      </c>
      <c r="I21" s="13"/>
      <c r="J21" s="3"/>
      <c r="K21" s="3"/>
      <c r="L21" s="3"/>
    </row>
    <row r="22">
      <c r="A22" s="3"/>
      <c r="B22" s="1" t="s">
        <v>94</v>
      </c>
      <c r="C22" s="11" t="s">
        <v>33</v>
      </c>
      <c r="D22" s="11" t="s">
        <v>33</v>
      </c>
      <c r="E22" s="11" t="s">
        <v>33</v>
      </c>
      <c r="F22" s="11" t="s">
        <v>33</v>
      </c>
      <c r="G22" s="11" t="s">
        <v>33</v>
      </c>
      <c r="H22" s="18" t="s">
        <v>33</v>
      </c>
      <c r="I22" s="13" t="s">
        <v>63</v>
      </c>
      <c r="J22" s="3"/>
      <c r="K22" s="3"/>
      <c r="L22" s="3"/>
    </row>
    <row r="23">
      <c r="A23" s="3"/>
      <c r="B23" s="1" t="s">
        <v>95</v>
      </c>
      <c r="C23" s="14">
        <f>C16/'Segment - Ad-Supported'!C16</f>
        <v>0.394109396914446</v>
      </c>
      <c r="D23" s="14">
        <f>D16/'Segment - Ad-Supported'!D16</f>
        <v>0.38615179760319573</v>
      </c>
      <c r="E23" s="14">
        <f>E16/'Segment - Ad-Supported'!E16</f>
        <v>0.38501971090670173</v>
      </c>
      <c r="F23" s="14">
        <f>F16/'Segment - Ad-Supported'!F16</f>
        <v>0.3861003861003861</v>
      </c>
      <c r="G23" s="14">
        <f>G16/'Segment - Ad-Supported'!G16</f>
        <v>0.38615179760319573</v>
      </c>
      <c r="H23" s="29">
        <f>H16/'Segment - Ad-Supported'!H16</f>
        <v>0.3870558375634518</v>
      </c>
      <c r="I23" s="13"/>
      <c r="J23" s="3"/>
      <c r="K23" s="3"/>
      <c r="L23" s="3"/>
    </row>
    <row r="24">
      <c r="A24" s="3"/>
      <c r="B24" s="2" t="s">
        <v>96</v>
      </c>
      <c r="C24" s="48">
        <f>IFERROR((C23-Inputs!C166)*10000,"n.a.")</f>
        <v>3.5939691444603072</v>
      </c>
      <c r="D24" s="48">
        <f>IFERROR((D23-Inputs!D166)*10000,"n.a.")</f>
        <v>-34.77832026433869</v>
      </c>
      <c r="E24" s="48">
        <f>IFERROR((E23-Inputs!E166)*10000,"n.a.")</f>
        <v>-102.60525081498884</v>
      </c>
      <c r="F24" s="48">
        <f>IFERROR((F23-Inputs!F166)*10000,"n.a.")</f>
        <v>-104.51338037544944</v>
      </c>
      <c r="G24" s="48">
        <f>IFERROR((G23-Inputs!G166)*10000,"n.a.")</f>
        <v>-34.77832026433869</v>
      </c>
      <c r="H24" s="42">
        <f>IFERROR((H23-C23)*10000,"n.a.")</f>
        <v>-70.5355935099422</v>
      </c>
      <c r="I24" s="13"/>
      <c r="J24" s="3"/>
      <c r="K24" s="3"/>
      <c r="L24" s="3"/>
    </row>
    <row r="25">
      <c r="A25" s="3"/>
      <c r="B25" s="2" t="s">
        <v>97</v>
      </c>
      <c r="C25" s="48">
        <f>IFERROR((C23-Inputs!F166)*10000,"n.a.")</f>
        <v>-24.4232722348503</v>
      </c>
      <c r="D25" s="52">
        <f>IFERROR((D23-C23)*10000,"n.a.")</f>
        <v>-79.57599311250286</v>
      </c>
      <c r="E25" s="52">
        <f>IFERROR((E23-D23)*10000,"n.a.")</f>
        <v>-11.320866964940057</v>
      </c>
      <c r="F25" s="52">
        <f>IFERROR((F23-E23)*10000,"n.a.")</f>
        <v>10.806751936843773</v>
      </c>
      <c r="G25" s="52" t="s">
        <v>33</v>
      </c>
      <c r="H25" s="42">
        <f>IFERROR((H23-F23)*10000,"n.a.")</f>
        <v>9.554514630656929</v>
      </c>
      <c r="I25" s="13"/>
      <c r="J25" s="3"/>
      <c r="K25" s="3"/>
      <c r="L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>
      <c r="A27" s="3"/>
      <c r="B27" s="27" t="s">
        <v>98</v>
      </c>
      <c r="C27" s="15"/>
      <c r="D27" s="15"/>
      <c r="E27" s="15"/>
      <c r="F27" s="15"/>
      <c r="G27" s="15"/>
      <c r="H27" s="15"/>
      <c r="I27" s="13"/>
      <c r="J27" s="3"/>
      <c r="K27" s="3"/>
      <c r="L27" s="3"/>
    </row>
    <row r="28">
      <c r="A28" s="3"/>
      <c r="B28" s="2" t="s">
        <v>99</v>
      </c>
      <c r="C28" s="66">
        <v>3</v>
      </c>
      <c r="D28" s="66">
        <v>3</v>
      </c>
      <c r="E28" s="66">
        <v>3</v>
      </c>
      <c r="F28" s="66">
        <v>3</v>
      </c>
      <c r="G28" s="66">
        <v>12</v>
      </c>
      <c r="H28" s="68">
        <v>3</v>
      </c>
      <c r="I28" s="13"/>
      <c r="J28" s="3"/>
      <c r="K28" s="3"/>
      <c r="L28" s="3"/>
    </row>
    <row r="29" ht="26.25">
      <c r="A29" s="3"/>
      <c r="B29" s="2" t="s">
        <v>100</v>
      </c>
      <c r="C29" s="36">
        <f>C42/C19/C28</f>
        <v>4.590065828845003</v>
      </c>
      <c r="D29" s="36">
        <f>D42/D19/D28</f>
        <v>4.693520140105079</v>
      </c>
      <c r="E29" s="36">
        <f>E42/E19/E28</f>
        <v>4.743281875357347</v>
      </c>
      <c r="F29" s="36">
        <f>F42/F19/F28</f>
        <v>4.8690275435638</v>
      </c>
      <c r="G29" s="36">
        <f>G42/G19/G28</f>
        <v>4.65758813738841</v>
      </c>
      <c r="H29" s="64">
        <f>H42/H19/H28</f>
        <v>4.955306091764718</v>
      </c>
      <c r="I29" s="104" t="s">
        <v>101</v>
      </c>
      <c r="J29" s="3"/>
      <c r="K29" s="3"/>
      <c r="L29" s="3"/>
    </row>
    <row r="30">
      <c r="A30" s="3"/>
      <c r="B30" s="1" t="s">
        <v>57</v>
      </c>
      <c r="C30" s="14">
        <f>IFERROR(IF(Inputs!C155&lt;=0,"n.m.",C29/Inputs!C155-1),"n.a.")</f>
        <v>-0.02867445491580245</v>
      </c>
      <c r="D30" s="14">
        <f>IFERROR(IF(Inputs!D155&lt;=0,"n.m.",D29/Inputs!D155-1),"n.a.")</f>
        <v>-0.025599487172487723</v>
      </c>
      <c r="E30" s="14">
        <f>IFERROR(IF(Inputs!E155&lt;=0,"n.m.",E29/Inputs!E155-1),"n.a.")</f>
        <v>-0.0013153545540240952</v>
      </c>
      <c r="F30" s="14">
        <f>IFERROR(IF(Inputs!F155&lt;=0,"n.m.",F29/Inputs!F155-1),"n.a.")</f>
        <v>0.05865347070292071</v>
      </c>
      <c r="G30" s="11" t="s">
        <v>33</v>
      </c>
      <c r="H30" s="18">
        <f>IFERROR(IF(C29&lt;=0,"n.m.",H29/C29-1),"n.a.")</f>
        <v>0.07957190082644616</v>
      </c>
      <c r="I30" s="13"/>
      <c r="J30" s="3"/>
      <c r="K30" s="3"/>
      <c r="L30" s="3"/>
    </row>
    <row r="31">
      <c r="A31" s="3"/>
      <c r="B31" s="2" t="s">
        <v>102</v>
      </c>
      <c r="C31" s="43">
        <f>C29-Inputs!F155</f>
        <v>-0.009198877037349007</v>
      </c>
      <c r="D31" s="36">
        <f>D29-C29</f>
        <v>0.10345431126007565</v>
      </c>
      <c r="E31" s="36">
        <f>E29-D29</f>
        <v>0.049761735252268124</v>
      </c>
      <c r="F31" s="36">
        <f>F29-E29</f>
        <v>0.12574566820645305</v>
      </c>
      <c r="G31" s="36" t="s">
        <v>33</v>
      </c>
      <c r="H31" s="64">
        <f>H29-F29</f>
        <v>0.08627854820091763</v>
      </c>
      <c r="I31" s="13"/>
      <c r="J31" s="3"/>
      <c r="K31" s="3"/>
      <c r="L31" s="3"/>
    </row>
    <row r="32" ht="60">
      <c r="A32" s="3"/>
      <c r="B32" s="1" t="s">
        <v>103</v>
      </c>
      <c r="C32" s="14">
        <f>IFERROR((C48/C19/C28)/Inputs!C155-1,"n.a.")</f>
        <v>0.009823976075800545</v>
      </c>
      <c r="D32" s="14">
        <f>IFERROR((D48/D19/D28)/Inputs!D155-1,"n.a.")</f>
        <v>0.024332479405240637</v>
      </c>
      <c r="E32" s="14">
        <f>IFERROR((E48/E19/E28)/Inputs!E155-1,"n.a.")</f>
        <v>0.05020791307505945</v>
      </c>
      <c r="F32" s="14">
        <f>IFERROR((F48/F19/F28)/Inputs!F155-1,"n.a.")</f>
        <v>0.0640310685684169</v>
      </c>
      <c r="G32" s="11" t="s">
        <v>33</v>
      </c>
      <c r="H32" s="62">
        <v>0.063</v>
      </c>
      <c r="I32" s="104" t="s">
        <v>104</v>
      </c>
      <c r="J32" s="3"/>
      <c r="K32" s="3"/>
      <c r="L32" s="3"/>
    </row>
    <row r="33">
      <c r="A33" s="3"/>
      <c r="B33" s="2" t="s">
        <v>96</v>
      </c>
      <c r="C33" s="52" t="s">
        <v>33</v>
      </c>
      <c r="D33" s="52" t="s">
        <v>33</v>
      </c>
      <c r="E33" s="52" t="s">
        <v>33</v>
      </c>
      <c r="F33" s="52" t="s">
        <v>33</v>
      </c>
      <c r="G33" s="52" t="s">
        <v>33</v>
      </c>
      <c r="H33" s="42">
        <f>IFERROR((H32-C32)*10000,"n.a.")</f>
        <v>531.7602392419946</v>
      </c>
      <c r="I33" s="13"/>
      <c r="J33" s="3"/>
      <c r="K33" s="3"/>
      <c r="L33" s="3"/>
    </row>
    <row r="34">
      <c r="A34" s="3"/>
      <c r="B34" s="2" t="s">
        <v>97</v>
      </c>
      <c r="C34" s="52" t="s">
        <v>33</v>
      </c>
      <c r="D34" s="52">
        <f>IFERROR((D32-C32)*10000,"n.a.")</f>
        <v>145.08503329440092</v>
      </c>
      <c r="E34" s="52">
        <f>IFERROR((E32-D32)*10000,"n.a.")</f>
        <v>258.7543366981881</v>
      </c>
      <c r="F34" s="52">
        <f>IFERROR((F32-E32)*10000,"n.a.")</f>
        <v>138.23155493357442</v>
      </c>
      <c r="G34" s="52" t="s">
        <v>33</v>
      </c>
      <c r="H34" s="42">
        <f>IFERROR((H32-F32)*10000,"n.a.")</f>
        <v>-10.31068568416893</v>
      </c>
      <c r="I34" s="13"/>
      <c r="J34" s="3"/>
      <c r="K34" s="3"/>
      <c r="L34" s="3"/>
    </row>
    <row r="35" ht="26.25">
      <c r="A35" s="3"/>
      <c r="B35" s="2" t="s">
        <v>105</v>
      </c>
      <c r="C35" s="67">
        <v>4.53</v>
      </c>
      <c r="D35" s="67">
        <v>4.7</v>
      </c>
      <c r="E35" s="67">
        <v>4.76</v>
      </c>
      <c r="F35" s="67">
        <v>4.89</v>
      </c>
      <c r="G35" s="67">
        <v>4.63</v>
      </c>
      <c r="H35" s="64">
        <f>H29*F35/F29</f>
        <v>4.976650177458984</v>
      </c>
      <c r="I35" s="104" t="s">
        <v>106</v>
      </c>
      <c r="J35" s="3"/>
      <c r="K35" s="3"/>
      <c r="L35" s="3"/>
    </row>
    <row r="36">
      <c r="A36" s="3"/>
      <c r="B36" s="2" t="s">
        <v>102</v>
      </c>
      <c r="C36" s="36" t="s">
        <v>33</v>
      </c>
      <c r="D36" s="36">
        <f>D35-C35</f>
        <v>0.16999999999999993</v>
      </c>
      <c r="E36" s="36">
        <f>E35-D35</f>
        <v>0.05999999999999961</v>
      </c>
      <c r="F36" s="36">
        <f>F35-E35</f>
        <v>0.1299999999999999</v>
      </c>
      <c r="G36" s="36" t="s">
        <v>33</v>
      </c>
      <c r="H36" s="64">
        <f>H35-F35</f>
        <v>0.08665017745898407</v>
      </c>
      <c r="I36" s="13"/>
      <c r="J36" s="3"/>
      <c r="K36" s="3"/>
      <c r="L36" s="3"/>
    </row>
    <row r="37" ht="48.75">
      <c r="A37" s="3"/>
      <c r="B37" s="1" t="s">
        <v>107</v>
      </c>
      <c r="C37" s="55">
        <v>-0.04</v>
      </c>
      <c r="D37" s="55">
        <v>-0.03</v>
      </c>
      <c r="E37" s="11" t="s">
        <v>33</v>
      </c>
      <c r="F37" s="55">
        <v>0.07</v>
      </c>
      <c r="G37" s="55">
        <v>-0.01</v>
      </c>
      <c r="H37" s="18" t="s">
        <v>33</v>
      </c>
      <c r="I37" s="104" t="s">
        <v>108</v>
      </c>
      <c r="J37" s="3"/>
      <c r="K37" s="3"/>
      <c r="L37" s="3"/>
    </row>
    <row r="38">
      <c r="A38" s="3"/>
      <c r="B38" s="1" t="s">
        <v>109</v>
      </c>
      <c r="C38" s="55">
        <v>0</v>
      </c>
      <c r="D38" s="55">
        <v>0.02</v>
      </c>
      <c r="E38" s="55">
        <v>0.057</v>
      </c>
      <c r="F38" s="55">
        <v>0.074</v>
      </c>
      <c r="G38" s="11" t="s">
        <v>33</v>
      </c>
      <c r="H38" s="18" t="s">
        <v>33</v>
      </c>
      <c r="I38" s="13" t="s">
        <v>90</v>
      </c>
      <c r="J38" s="3"/>
      <c r="K38" s="3"/>
      <c r="L38" s="3"/>
    </row>
    <row r="39">
      <c r="A39" s="3"/>
      <c r="B39" s="2" t="s">
        <v>110</v>
      </c>
      <c r="C39" s="52" t="s">
        <v>33</v>
      </c>
      <c r="D39" s="52">
        <f>IFERROR((D38-C38)*10000,"n.a.")</f>
        <v>200</v>
      </c>
      <c r="E39" s="52">
        <f>IFERROR((E38-D38)*10000,"n.a.")</f>
        <v>370.00000000000006</v>
      </c>
      <c r="F39" s="52">
        <f>IFERROR((F38-E38)*10000,"n.a.")</f>
        <v>169.99999999999994</v>
      </c>
      <c r="G39" s="52" t="s">
        <v>33</v>
      </c>
      <c r="H39" s="42" t="str">
        <f>IFERROR((H38-F38)*10000,"n.a.")</f>
        <v>n.a.</v>
      </c>
      <c r="I39" s="13"/>
      <c r="J39" s="3"/>
      <c r="K39" s="3"/>
      <c r="L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>
      <c r="A41" s="3"/>
      <c r="B41" s="27" t="s">
        <v>111</v>
      </c>
      <c r="C41" s="15"/>
      <c r="D41" s="15"/>
      <c r="E41" s="15"/>
      <c r="F41" s="15"/>
      <c r="G41" s="15"/>
      <c r="H41" s="15"/>
      <c r="I41" s="13"/>
      <c r="J41" s="3"/>
      <c r="K41" s="3"/>
      <c r="L41" s="3"/>
    </row>
    <row r="42" ht="26.25">
      <c r="A42" s="3"/>
      <c r="B42" s="27" t="s">
        <v>56</v>
      </c>
      <c r="C42" s="47">
        <v>3835</v>
      </c>
      <c r="D42" s="47">
        <v>4020</v>
      </c>
      <c r="E42" s="47">
        <v>4148</v>
      </c>
      <c r="F42" s="47">
        <v>4331</v>
      </c>
      <c r="G42" s="35">
        <f>Inputs!E111+Inputs!F111+C42+D42</f>
        <v>15391</v>
      </c>
      <c r="H42" s="38">
        <f>H48+H50*C42</f>
        <v>4496.940278276481</v>
      </c>
      <c r="I42" s="104" t="s">
        <v>112</v>
      </c>
      <c r="J42" s="3"/>
      <c r="K42" s="3"/>
      <c r="L42" s="3"/>
    </row>
    <row r="43">
      <c r="A43" s="3"/>
      <c r="B43" s="1" t="s">
        <v>57</v>
      </c>
      <c r="C43" s="14">
        <f>IFERROR(IF(Inputs!C111&lt;=0,"n.m.",C42/Inputs!C111-1),"n.a.")</f>
        <v>0.08640226628895187</v>
      </c>
      <c r="D43" s="14">
        <f>IFERROR(IF(Inputs!D111&lt;=0,"n.m.",D42/Inputs!D111-1),"n.a.")</f>
        <v>0.0803547433485623</v>
      </c>
      <c r="E43" s="14">
        <f>IFERROR(IF(Inputs!E111&lt;=0,"n.m.",E42/Inputs!E111-1),"n.a.")</f>
        <v>0.0964842717420038</v>
      </c>
      <c r="F43" s="14">
        <f>IFERROR(IF(Inputs!F111&lt;=0,"n.m.",F42/Inputs!F111-1),"n.a.")</f>
        <v>0.15401012523314672</v>
      </c>
      <c r="G43" s="14">
        <f>IFERROR(IF(Inputs!G111&lt;=0,"n.m.",G42/Inputs!G111-1),"n.a.")</f>
        <v>0.10926126126126134</v>
      </c>
      <c r="H43" s="18">
        <f>IFERROR(IF(C42&lt;=0,"n.m.",H42/C42-1),"n.a.")</f>
        <v>0.17260502692998192</v>
      </c>
      <c r="I43" s="13"/>
      <c r="J43" s="3"/>
      <c r="K43" s="3"/>
      <c r="L43" s="3"/>
    </row>
    <row r="44" ht="23.24853515625">
      <c r="A44" s="3"/>
      <c r="B44" s="2" t="s">
        <v>113</v>
      </c>
      <c r="C44" s="21">
        <f>C42-Inputs!F111</f>
        <v>82</v>
      </c>
      <c r="D44" s="16">
        <f>D42-C42</f>
        <v>185</v>
      </c>
      <c r="E44" s="16">
        <f>E42-D42</f>
        <v>128</v>
      </c>
      <c r="F44" s="16">
        <f>F42-E42</f>
        <v>183</v>
      </c>
      <c r="G44" s="16" t="s">
        <v>33</v>
      </c>
      <c r="H44" s="25">
        <f>H42-F42</f>
        <v>165.94027827648097</v>
      </c>
      <c r="I44" s="13"/>
      <c r="J44" s="3"/>
      <c r="K44" s="3"/>
      <c r="L44" s="3"/>
    </row>
    <row r="45">
      <c r="A45" s="3"/>
      <c r="B45" s="1" t="s">
        <v>58</v>
      </c>
      <c r="C45" s="14">
        <f>IFERROR(IF(Inputs!F111&lt;=0,"n.m.",C42/Inputs!F111-1),"n.a.")</f>
        <v>0.02184918731681318</v>
      </c>
      <c r="D45" s="11">
        <f>IFERROR(IF(C42&lt;=0,"n.m.",D42/C42-1),"n.a.")</f>
        <v>0.04823989569752274</v>
      </c>
      <c r="E45" s="11">
        <f>IFERROR(IF(D42&lt;=0,"n.m.",E42/D42-1),"n.a.")</f>
        <v>0.03184079601990053</v>
      </c>
      <c r="F45" s="11">
        <f>IFERROR(IF(E42&lt;=0,"n.m.",F42/E42-1),"n.a.")</f>
        <v>0.044117647058823595</v>
      </c>
      <c r="G45" s="11" t="s">
        <v>33</v>
      </c>
      <c r="H45" s="18">
        <f>IFERROR(IF(F42&lt;=0,"n.m.",H42/F42-1),"n.a.")</f>
        <v>0.03831454127833789</v>
      </c>
      <c r="I45" s="13"/>
      <c r="J45" s="3"/>
      <c r="K45" s="3"/>
      <c r="L45" s="3"/>
    </row>
    <row r="46" ht="14.624267578125">
      <c r="A46" s="3"/>
      <c r="B46" s="1" t="s">
        <v>59</v>
      </c>
      <c r="C46" s="14">
        <f>C42/'Revenue summary'!C28</f>
        <v>0.8977059925093633</v>
      </c>
      <c r="D46" s="14">
        <f>D42/'Revenue summary'!D28</f>
        <v>0.8872213639373207</v>
      </c>
      <c r="E46" s="14">
        <f>E42/'Revenue summary'!E28</f>
        <v>0.9150672843591441</v>
      </c>
      <c r="F46" s="14">
        <f>F42/'Revenue summary'!F28</f>
        <v>0.9066359639941386</v>
      </c>
      <c r="G46" s="14">
        <f>G42/'Revenue summary'!G28</f>
        <v>0.8955545211218433</v>
      </c>
      <c r="H46" s="29">
        <f>H42/'Revenue summary'!H28</f>
        <v>0.905029165123268</v>
      </c>
      <c r="I46" s="13"/>
      <c r="J46" s="3"/>
      <c r="K46" s="3"/>
      <c r="L46" s="3"/>
    </row>
    <row r="47" ht="71.25">
      <c r="A47" s="3"/>
      <c r="B47" s="2" t="s">
        <v>70</v>
      </c>
      <c r="C47" s="44">
        <v>152</v>
      </c>
      <c r="D47" s="44">
        <v>206</v>
      </c>
      <c r="E47" s="44">
        <v>214</v>
      </c>
      <c r="F47" s="44">
        <v>22</v>
      </c>
      <c r="G47" s="44">
        <v>502</v>
      </c>
      <c r="H47" s="25">
        <f>H48-H42</f>
        <v>-69.02999999999975</v>
      </c>
      <c r="I47" s="104" t="s">
        <v>114</v>
      </c>
      <c r="J47" s="3"/>
      <c r="K47" s="3"/>
      <c r="L47" s="3"/>
    </row>
    <row r="48" ht="26.25">
      <c r="A48" s="3"/>
      <c r="B48" s="2" t="s">
        <v>72</v>
      </c>
      <c r="C48" s="16">
        <f>C42+C47</f>
        <v>3987</v>
      </c>
      <c r="D48" s="16">
        <f>D42+D47</f>
        <v>4226</v>
      </c>
      <c r="E48" s="16">
        <f>E42+E47</f>
        <v>4362</v>
      </c>
      <c r="F48" s="16">
        <f>F42+F47</f>
        <v>4353</v>
      </c>
      <c r="G48" s="16">
        <f>G42+G47</f>
        <v>15893</v>
      </c>
      <c r="H48" s="25">
        <f>H19*C29*(1+H32)*H28</f>
        <v>4427.910278276481</v>
      </c>
      <c r="I48" s="104" t="s">
        <v>115</v>
      </c>
      <c r="J48" s="3"/>
      <c r="K48" s="3"/>
      <c r="L48" s="3"/>
    </row>
    <row r="49" ht="26.25">
      <c r="A49" s="3"/>
      <c r="B49" s="1" t="s">
        <v>65</v>
      </c>
      <c r="C49" s="14">
        <f>C48/Inputs!C111-1</f>
        <v>0.12946175637393775</v>
      </c>
      <c r="D49" s="14">
        <f>D48/Inputs!D111-1</f>
        <v>0.13571620532115025</v>
      </c>
      <c r="E49" s="14">
        <f>E48/Inputs!E111-1</f>
        <v>0.15305313243457563</v>
      </c>
      <c r="F49" s="14">
        <f>F48/Inputs!F111-1</f>
        <v>0.15987210231814553</v>
      </c>
      <c r="G49" s="14">
        <f>G48/Inputs!G111-1</f>
        <v>0.14544144144144133</v>
      </c>
      <c r="H49" s="18">
        <f>H48/C42-1</f>
        <v>0.15460502692998213</v>
      </c>
      <c r="I49" s="104" t="s">
        <v>116</v>
      </c>
      <c r="J49" s="3"/>
      <c r="K49" s="3"/>
      <c r="L49" s="3"/>
    </row>
    <row r="50" ht="26.25">
      <c r="A50" s="3"/>
      <c r="B50" s="1" t="s">
        <v>117</v>
      </c>
      <c r="C50" s="11">
        <f>C53-C49</f>
        <v>-0.043059490084985885</v>
      </c>
      <c r="D50" s="11">
        <f>D53-D49</f>
        <v>-0.055361461972587955</v>
      </c>
      <c r="E50" s="11">
        <f>E53-E49</f>
        <v>-0.05656886069257183</v>
      </c>
      <c r="F50" s="11">
        <f>F53-F49</f>
        <v>-0.005861977084998804</v>
      </c>
      <c r="G50" s="11">
        <f>G53-G49</f>
        <v>-0.03618018018017999</v>
      </c>
      <c r="H50" s="62">
        <v>0.018</v>
      </c>
      <c r="I50" s="104" t="s">
        <v>118</v>
      </c>
      <c r="J50" s="3"/>
      <c r="K50" s="3"/>
      <c r="L50" s="3"/>
    </row>
    <row r="51">
      <c r="A51" s="3"/>
      <c r="B51" s="1" t="s">
        <v>62</v>
      </c>
      <c r="C51" s="11" t="s">
        <v>33</v>
      </c>
      <c r="D51" s="11" t="s">
        <v>33</v>
      </c>
      <c r="E51" s="11" t="s">
        <v>33</v>
      </c>
      <c r="F51" s="11" t="s">
        <v>33</v>
      </c>
      <c r="G51" s="11" t="s">
        <v>33</v>
      </c>
      <c r="H51" s="18" t="s">
        <v>33</v>
      </c>
      <c r="I51" s="13" t="s">
        <v>119</v>
      </c>
      <c r="J51" s="3"/>
      <c r="K51" s="3"/>
      <c r="L51" s="3"/>
    </row>
    <row r="52">
      <c r="A52" s="3"/>
      <c r="B52" s="1" t="s">
        <v>60</v>
      </c>
      <c r="C52" s="11" t="s">
        <v>33</v>
      </c>
      <c r="D52" s="11" t="s">
        <v>33</v>
      </c>
      <c r="E52" s="11" t="s">
        <v>33</v>
      </c>
      <c r="F52" s="11" t="s">
        <v>33</v>
      </c>
      <c r="G52" s="11" t="s">
        <v>33</v>
      </c>
      <c r="H52" s="18" t="s">
        <v>33</v>
      </c>
      <c r="I52" s="13" t="s">
        <v>120</v>
      </c>
      <c r="J52" s="3"/>
      <c r="K52" s="3"/>
      <c r="L52" s="3"/>
    </row>
    <row r="53">
      <c r="A53" s="3"/>
      <c r="B53" s="1" t="s">
        <v>121</v>
      </c>
      <c r="C53" s="14">
        <f>C42/Inputs!C111-1</f>
        <v>0.08640226628895187</v>
      </c>
      <c r="D53" s="14">
        <f>D42/Inputs!D111-1</f>
        <v>0.0803547433485623</v>
      </c>
      <c r="E53" s="14">
        <f>E42/Inputs!E111-1</f>
        <v>0.0964842717420038</v>
      </c>
      <c r="F53" s="14">
        <f>F42/Inputs!F111-1</f>
        <v>0.15401012523314672</v>
      </c>
      <c r="G53" s="14">
        <f>G42/Inputs!G111-1</f>
        <v>0.10926126126126134</v>
      </c>
      <c r="H53" s="18">
        <f>H42/C42-1</f>
        <v>0.17260502692998192</v>
      </c>
      <c r="I53" s="13"/>
      <c r="J53" s="3"/>
      <c r="K53" s="3"/>
      <c r="L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>
      <c r="A55" s="3"/>
      <c r="B55" s="27" t="s">
        <v>122</v>
      </c>
      <c r="C55" s="15"/>
      <c r="D55" s="15"/>
      <c r="E55" s="15"/>
      <c r="F55" s="15"/>
      <c r="G55" s="15"/>
      <c r="H55" s="15"/>
      <c r="I55" s="13"/>
      <c r="J55" s="3"/>
      <c r="K55" s="3"/>
      <c r="L55" s="3"/>
    </row>
    <row r="56">
      <c r="A56" s="3"/>
      <c r="B56" s="2" t="s">
        <v>123</v>
      </c>
      <c r="C56" s="44">
        <v>2561</v>
      </c>
      <c r="D56" s="44">
        <v>2623</v>
      </c>
      <c r="E56" s="44">
        <v>2703</v>
      </c>
      <c r="F56" s="44">
        <v>2820</v>
      </c>
      <c r="G56" s="21">
        <f>Inputs!E114+Inputs!F114+C56+D56</f>
        <v>10207</v>
      </c>
      <c r="H56" s="25">
        <f>H42-H58</f>
        <v>2945.495882271095</v>
      </c>
      <c r="I56" s="13" t="s">
        <v>124</v>
      </c>
      <c r="J56" s="3"/>
      <c r="K56" s="3"/>
      <c r="L56" s="3"/>
    </row>
    <row r="57">
      <c r="A57" s="3"/>
      <c r="B57" s="1" t="s">
        <v>57</v>
      </c>
      <c r="C57" s="14">
        <f>IFERROR(IF(Inputs!C114&lt;=0,"n.m.",C56/Inputs!C114-1),"n.a.")</f>
        <v>0.09164535379369143</v>
      </c>
      <c r="D57" s="14">
        <f>IFERROR(IF(Inputs!D114&lt;=0,"n.m.",D56/Inputs!D114-1),"n.a.")</f>
        <v>0.08164948453608245</v>
      </c>
      <c r="E57" s="14">
        <f>IFERROR(IF(Inputs!E114&lt;=0,"n.m.",E56/Inputs!E114-1),"n.a.")</f>
        <v>0.07517899761336522</v>
      </c>
      <c r="F57" s="14">
        <f>IFERROR(IF(Inputs!F114&lt;=0,"n.m.",F56/Inputs!F114-1),"n.a.")</f>
        <v>0.12395376644081302</v>
      </c>
      <c r="G57" s="14">
        <f>IFERROR(IF(Inputs!G114&lt;=0,"n.m.",G56/Inputs!G114-1),"n.a.")</f>
        <v>0.09142429426860565</v>
      </c>
      <c r="H57" s="18">
        <f>IFERROR(IF(C56&lt;=0,"n.m.",H56/C56-1),"n.a.")</f>
        <v>0.15013505750530842</v>
      </c>
      <c r="I57" s="13"/>
      <c r="J57" s="3"/>
      <c r="K57" s="3"/>
      <c r="L57" s="3"/>
    </row>
    <row r="58">
      <c r="A58" s="3"/>
      <c r="B58" s="27" t="s">
        <v>125</v>
      </c>
      <c r="C58" s="23">
        <f>C42-C56</f>
        <v>1274</v>
      </c>
      <c r="D58" s="23">
        <f>D42-D56</f>
        <v>1397</v>
      </c>
      <c r="E58" s="23">
        <f>E42-E56</f>
        <v>1445</v>
      </c>
      <c r="F58" s="23">
        <f>F42-F56</f>
        <v>1511</v>
      </c>
      <c r="G58" s="23">
        <f>G42-G56</f>
        <v>5184</v>
      </c>
      <c r="H58" s="38">
        <f>H42*H60</f>
        <v>1551.444396005386</v>
      </c>
      <c r="I58" s="13"/>
      <c r="J58" s="3"/>
      <c r="K58" s="3"/>
      <c r="L58" s="3"/>
    </row>
    <row r="59">
      <c r="A59" s="3"/>
      <c r="B59" s="1" t="s">
        <v>57</v>
      </c>
      <c r="C59" s="14">
        <f>IFERROR(IF(Inputs!C118&lt;=0,"n.m.",C58/Inputs!C118-1),"n.a.")</f>
        <v>0.0760135135135136</v>
      </c>
      <c r="D59" s="14">
        <f>IFERROR(IF(Inputs!D118&lt;=0,"n.m.",D58/Inputs!D118-1),"n.a.")</f>
        <v>0.07793209876543217</v>
      </c>
      <c r="E59" s="14">
        <f>IFERROR(IF(Inputs!E118&lt;=0,"n.m.",E58/Inputs!E118-1),"n.a.")</f>
        <v>0.13869188337273441</v>
      </c>
      <c r="F59" s="14">
        <f>IFERROR(IF(Inputs!F118&lt;=0,"n.m.",F58/Inputs!F118-1),"n.a.")</f>
        <v>0.21463022508038576</v>
      </c>
      <c r="G59" s="14">
        <f>IFERROR(IF(Inputs!G118&lt;=0,"n.m.",G58/Inputs!G118-1),"n.a.")</f>
        <v>0.146141941189476</v>
      </c>
      <c r="H59" s="18">
        <f>IFERROR(IF(C58&lt;=0,"n.m.",H58/C58-1),"n.a.")</f>
        <v>0.21777425118162164</v>
      </c>
      <c r="I59" s="13"/>
      <c r="J59" s="3"/>
      <c r="K59" s="3"/>
      <c r="L59" s="3"/>
    </row>
    <row r="60" ht="26.25">
      <c r="A60" s="3"/>
      <c r="B60" s="1" t="s">
        <v>126</v>
      </c>
      <c r="C60" s="11">
        <f>C58/C42</f>
        <v>0.33220338983050846</v>
      </c>
      <c r="D60" s="11">
        <f>D58/D42</f>
        <v>0.34751243781094526</v>
      </c>
      <c r="E60" s="11">
        <f>E58/E42</f>
        <v>0.3483606557377049</v>
      </c>
      <c r="F60" s="11">
        <f>F58/F42</f>
        <v>0.3488801662433618</v>
      </c>
      <c r="G60" s="11">
        <f>G58/G42</f>
        <v>0.3368202196088623</v>
      </c>
      <c r="H60" s="62">
        <v>0.345</v>
      </c>
      <c r="I60" s="104" t="s">
        <v>127</v>
      </c>
      <c r="J60" s="3"/>
      <c r="K60" s="3"/>
      <c r="L60" s="3"/>
    </row>
    <row r="61">
      <c r="A61" s="3"/>
      <c r="B61" s="2" t="s">
        <v>96</v>
      </c>
      <c r="C61" s="48">
        <f>IFERROR((C60-Inputs!C121)*10000,"n.a.")</f>
        <v>-32.07375042012794</v>
      </c>
      <c r="D61" s="48">
        <f>IFERROR((D60-Inputs!D121)*10000,"n.a.")</f>
        <v>-7.810316865016764</v>
      </c>
      <c r="E61" s="48">
        <f>IFERROR((E60-Inputs!E121)*10000,"n.a.")</f>
        <v>129.1259864016331</v>
      </c>
      <c r="F61" s="48">
        <f>IFERROR((F60-Inputs!F121)*10000,"n.a.")</f>
        <v>174.12007437073495</v>
      </c>
      <c r="G61" s="48">
        <f>IFERROR((G60-Inputs!G121)*10000,"n.a.")</f>
        <v>108.38237626880354</v>
      </c>
      <c r="H61" s="42">
        <f>IFERROR((H60-C60)*10000,"n.a.")</f>
        <v>127.96610169491518</v>
      </c>
      <c r="I61" s="13"/>
      <c r="J61" s="3"/>
      <c r="K61" s="3"/>
      <c r="L61" s="3"/>
    </row>
    <row r="62">
      <c r="A62" s="3"/>
      <c r="B62" s="2" t="s">
        <v>97</v>
      </c>
      <c r="C62" s="48">
        <f>IFERROR((C60-Inputs!F121)*10000,"n.a.")</f>
        <v>7.352310242201288</v>
      </c>
      <c r="D62" s="52">
        <f>IFERROR((D60-C60)*10000,"n.a.")</f>
        <v>153.09047980436807</v>
      </c>
      <c r="E62" s="52">
        <f>IFERROR((E60-D60)*10000,"n.a.")</f>
        <v>8.482179267596536</v>
      </c>
      <c r="F62" s="52">
        <f>IFERROR((F60-E60)*10000,"n.a.")</f>
        <v>5.19510505656906</v>
      </c>
      <c r="G62" s="52" t="s">
        <v>33</v>
      </c>
      <c r="H62" s="42">
        <f>IFERROR((H60-F60)*10000,"n.a.")</f>
        <v>-38.80166243361849</v>
      </c>
      <c r="I62" s="13"/>
      <c r="J62" s="3"/>
      <c r="K62" s="3"/>
      <c r="L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L75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6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>
      <c r="A2" s="3"/>
      <c r="B2" s="5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>
      <c r="A3" s="3"/>
      <c r="B3" s="30" t="s">
        <v>128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>
      <c r="A4" s="3"/>
      <c r="B4" s="17" t="s">
        <v>129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>
      <c r="A5" s="3"/>
      <c r="B5" s="31" t="s">
        <v>48</v>
      </c>
      <c r="C5" s="12" t="s">
        <v>49</v>
      </c>
      <c r="D5" s="12" t="s">
        <v>50</v>
      </c>
      <c r="E5" s="12" t="s">
        <v>51</v>
      </c>
      <c r="F5" s="12" t="s">
        <v>52</v>
      </c>
      <c r="G5" s="12" t="s">
        <v>53</v>
      </c>
      <c r="H5" s="12" t="s">
        <v>4</v>
      </c>
      <c r="I5" s="31" t="s">
        <v>54</v>
      </c>
      <c r="J5" s="3"/>
      <c r="K5" s="3"/>
      <c r="L5" s="3"/>
    </row>
    <row r="6">
      <c r="A6" s="3"/>
      <c r="B6" s="22" t="s">
        <v>5</v>
      </c>
      <c r="C6" s="19">
        <v>45930</v>
      </c>
      <c r="D6" s="19">
        <v>46022</v>
      </c>
      <c r="E6" s="19">
        <v>46112</v>
      </c>
      <c r="F6" s="19">
        <v>46203</v>
      </c>
      <c r="G6" s="19">
        <v>46022</v>
      </c>
      <c r="H6" s="19">
        <v>46295</v>
      </c>
      <c r="I6" s="22"/>
      <c r="J6" s="3"/>
      <c r="K6" s="3"/>
      <c r="L6" s="3"/>
    </row>
    <row r="7">
      <c r="A7" s="3"/>
      <c r="B7" s="10" t="s">
        <v>6</v>
      </c>
      <c r="C7" s="28">
        <f>C6-EOMONTH(C6,-3)</f>
        <v>92</v>
      </c>
      <c r="D7" s="28">
        <f>D6-EOMONTH(D6,-3)</f>
        <v>92</v>
      </c>
      <c r="E7" s="28">
        <f>E6-EOMONTH(E6,-3)</f>
        <v>90</v>
      </c>
      <c r="F7" s="28">
        <f>F6-EOMONTH(F6,-3)</f>
        <v>91</v>
      </c>
      <c r="G7" s="28">
        <f>G6-DATE(YEAR(G6)-1,12,31)</f>
        <v>365</v>
      </c>
      <c r="H7" s="28">
        <f>H6-EOMONTH(H6,-3)</f>
        <v>92</v>
      </c>
      <c r="I7" s="10"/>
      <c r="J7" s="3"/>
      <c r="K7" s="3"/>
      <c r="L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>
      <c r="A9" s="3"/>
      <c r="B9" s="27" t="s">
        <v>130</v>
      </c>
      <c r="C9" s="15"/>
      <c r="D9" s="15"/>
      <c r="E9" s="15"/>
      <c r="F9" s="15"/>
      <c r="G9" s="15"/>
      <c r="H9" s="15"/>
      <c r="I9" s="13"/>
      <c r="J9" s="3"/>
      <c r="K9" s="3"/>
      <c r="L9" s="3"/>
    </row>
    <row r="10">
      <c r="A10" s="3"/>
      <c r="B10" s="2" t="s">
        <v>131</v>
      </c>
      <c r="C10" s="21">
        <f>Inputs!F156</f>
        <v>696</v>
      </c>
      <c r="D10" s="16">
        <f>C16</f>
        <v>713</v>
      </c>
      <c r="E10" s="16">
        <f>D16</f>
        <v>751</v>
      </c>
      <c r="F10" s="16">
        <f>E16</f>
        <v>761</v>
      </c>
      <c r="G10" s="21">
        <f>Inputs!D156</f>
        <v>675</v>
      </c>
      <c r="H10" s="25">
        <f>F16</f>
        <v>777</v>
      </c>
      <c r="I10" s="13"/>
      <c r="J10" s="3"/>
      <c r="K10" s="3"/>
      <c r="L10" s="3"/>
    </row>
    <row r="11">
      <c r="A11" s="3"/>
      <c r="B11" s="2" t="s">
        <v>82</v>
      </c>
      <c r="C11" s="16" t="s">
        <v>33</v>
      </c>
      <c r="D11" s="16" t="s">
        <v>33</v>
      </c>
      <c r="E11" s="16" t="s">
        <v>33</v>
      </c>
      <c r="F11" s="16" t="s">
        <v>33</v>
      </c>
      <c r="G11" s="16" t="s">
        <v>33</v>
      </c>
      <c r="H11" s="25" t="s">
        <v>33</v>
      </c>
      <c r="I11" s="13" t="s">
        <v>63</v>
      </c>
      <c r="J11" s="3"/>
      <c r="K11" s="3"/>
      <c r="L11" s="3"/>
    </row>
    <row r="12">
      <c r="A12" s="3"/>
      <c r="B12" s="2" t="s">
        <v>132</v>
      </c>
      <c r="C12" s="16" t="s">
        <v>33</v>
      </c>
      <c r="D12" s="16" t="s">
        <v>33</v>
      </c>
      <c r="E12" s="16" t="s">
        <v>33</v>
      </c>
      <c r="F12" s="16" t="s">
        <v>33</v>
      </c>
      <c r="G12" s="16" t="s">
        <v>33</v>
      </c>
      <c r="H12" s="25" t="s">
        <v>33</v>
      </c>
      <c r="I12" s="13" t="s">
        <v>63</v>
      </c>
      <c r="J12" s="3"/>
      <c r="K12" s="3"/>
      <c r="L12" s="3"/>
    </row>
    <row r="13">
      <c r="A13" s="3"/>
      <c r="B13" s="2" t="s">
        <v>85</v>
      </c>
      <c r="C13" s="16">
        <f>C16-C10</f>
        <v>17</v>
      </c>
      <c r="D13" s="16">
        <f>D16-D10</f>
        <v>38</v>
      </c>
      <c r="E13" s="16">
        <f>E16-E10</f>
        <v>10</v>
      </c>
      <c r="F13" s="16">
        <f>F16-F10</f>
        <v>16</v>
      </c>
      <c r="G13" s="16">
        <f>G16-G10</f>
        <v>76</v>
      </c>
      <c r="H13" s="20">
        <f>Guidance!G42-F16</f>
        <v>11</v>
      </c>
      <c r="I13" s="13" t="s">
        <v>133</v>
      </c>
      <c r="J13" s="3"/>
      <c r="K13" s="3"/>
      <c r="L13" s="3"/>
    </row>
    <row r="14">
      <c r="A14" s="3"/>
      <c r="B14" s="2" t="s">
        <v>87</v>
      </c>
      <c r="C14" s="21">
        <f>C13-Inputs!C159</f>
        <v>3</v>
      </c>
      <c r="D14" s="21">
        <f>D13-Inputs!D159</f>
        <v>3</v>
      </c>
      <c r="E14" s="21">
        <f>E13-Inputs!E159</f>
        <v>7</v>
      </c>
      <c r="F14" s="21">
        <f>F13-Inputs!F159</f>
        <v>-2</v>
      </c>
      <c r="G14" s="21">
        <f>G13-Inputs!G159</f>
        <v>3</v>
      </c>
      <c r="H14" s="25">
        <f>H13-C13</f>
        <v>-6</v>
      </c>
      <c r="I14" s="13"/>
      <c r="J14" s="3"/>
      <c r="K14" s="3"/>
      <c r="L14" s="3"/>
    </row>
    <row r="15">
      <c r="A15" s="3"/>
      <c r="B15" s="2" t="s">
        <v>88</v>
      </c>
      <c r="C15" s="21">
        <f>C13-Inputs!F159</f>
        <v>-1</v>
      </c>
      <c r="D15" s="16">
        <f>D13-C13</f>
        <v>21</v>
      </c>
      <c r="E15" s="16">
        <f>E13-D13</f>
        <v>-28</v>
      </c>
      <c r="F15" s="16">
        <f>F13-E13</f>
        <v>6</v>
      </c>
      <c r="G15" s="16" t="s">
        <v>33</v>
      </c>
      <c r="H15" s="25">
        <f>H13-F13</f>
        <v>-5</v>
      </c>
      <c r="I15" s="13"/>
      <c r="J15" s="3"/>
      <c r="K15" s="3"/>
      <c r="L15" s="3"/>
    </row>
    <row r="16">
      <c r="A16" s="3"/>
      <c r="B16" s="27" t="s">
        <v>134</v>
      </c>
      <c r="C16" s="47">
        <v>713</v>
      </c>
      <c r="D16" s="47">
        <v>751</v>
      </c>
      <c r="E16" s="47">
        <v>761</v>
      </c>
      <c r="F16" s="47">
        <v>777</v>
      </c>
      <c r="G16" s="23">
        <f>D16</f>
        <v>751</v>
      </c>
      <c r="H16" s="38">
        <f>H10+H13</f>
        <v>788</v>
      </c>
      <c r="I16" s="13" t="s">
        <v>90</v>
      </c>
      <c r="J16" s="3"/>
      <c r="K16" s="3"/>
      <c r="L16" s="3"/>
    </row>
    <row r="17">
      <c r="A17" s="3"/>
      <c r="B17" s="1" t="s">
        <v>57</v>
      </c>
      <c r="C17" s="14">
        <f>IFERROR(IF(Inputs!C156&lt;=0,"n.m.",C16/Inputs!C156-1),"n.a.")</f>
        <v>0.11406249999999996</v>
      </c>
      <c r="D17" s="14">
        <f>IFERROR(IF(Inputs!D156&lt;=0,"n.m.",D16/Inputs!D156-1),"n.a.")</f>
        <v>0.11259259259259258</v>
      </c>
      <c r="E17" s="14">
        <f>IFERROR(IF(Inputs!E156&lt;=0,"n.m.",E16/Inputs!E156-1),"n.a.")</f>
        <v>0.1224188790560472</v>
      </c>
      <c r="F17" s="14">
        <f>IFERROR(IF(Inputs!F156&lt;=0,"n.m.",F16/Inputs!F156-1),"n.a.")</f>
        <v>0.11637931034482762</v>
      </c>
      <c r="G17" s="14">
        <f>IFERROR(IF(Inputs!G156&lt;=0,"n.m.",G16/Inputs!G156-1),"n.a.")</f>
        <v>0.11259259259259258</v>
      </c>
      <c r="H17" s="18">
        <f>IFERROR(IF(C16&lt;=0,"n.m.",H16/C16-1),"n.a.")</f>
        <v>0.10518934081346432</v>
      </c>
      <c r="I17" s="13"/>
      <c r="J17" s="3"/>
      <c r="K17" s="3"/>
      <c r="L17" s="3"/>
    </row>
    <row r="18">
      <c r="A18" s="3"/>
      <c r="B18" s="2" t="s">
        <v>91</v>
      </c>
      <c r="C18" s="21">
        <f>C16-Inputs!F156</f>
        <v>17</v>
      </c>
      <c r="D18" s="16">
        <f>D16-C16</f>
        <v>38</v>
      </c>
      <c r="E18" s="16">
        <f>E16-D16</f>
        <v>10</v>
      </c>
      <c r="F18" s="16">
        <f>F16-E16</f>
        <v>16</v>
      </c>
      <c r="G18" s="16" t="s">
        <v>33</v>
      </c>
      <c r="H18" s="25">
        <f>H16-F16</f>
        <v>11</v>
      </c>
      <c r="I18" s="13"/>
      <c r="J18" s="3"/>
      <c r="K18" s="3"/>
      <c r="L18" s="3"/>
    </row>
    <row r="19">
      <c r="A19" s="3"/>
      <c r="B19" s="2" t="s">
        <v>135</v>
      </c>
      <c r="C19" s="16">
        <f>(C10+C16)/2</f>
        <v>704.5</v>
      </c>
      <c r="D19" s="16">
        <f>(D10+D16)/2</f>
        <v>732</v>
      </c>
      <c r="E19" s="16">
        <f>(E10+E16)/2</f>
        <v>756</v>
      </c>
      <c r="F19" s="16">
        <f>(F10+F16)/2</f>
        <v>769</v>
      </c>
      <c r="G19" s="21">
        <f>(Inputs!D156+2*Inputs!E156+2*Inputs!F156+2*C16+D16)/8</f>
        <v>700</v>
      </c>
      <c r="H19" s="25">
        <f>(H10+H16)/2</f>
        <v>782.5</v>
      </c>
      <c r="I19" s="13"/>
      <c r="J19" s="3"/>
      <c r="K19" s="3"/>
      <c r="L19" s="3"/>
    </row>
    <row r="20">
      <c r="A20" s="3"/>
      <c r="B20" s="1" t="s">
        <v>57</v>
      </c>
      <c r="C20" s="14">
        <f>IFERROR(IF(Inputs!C158&lt;=0,"n.m.",C19/Inputs!C158-1),"n.a.")</f>
        <v>0.11295418641390209</v>
      </c>
      <c r="D20" s="14">
        <f>IFERROR(IF(Inputs!D158&lt;=0,"n.m.",D19/Inputs!D158-1),"n.a.")</f>
        <v>0.11330798479087445</v>
      </c>
      <c r="E20" s="14">
        <f>IFERROR(IF(Inputs!E158&lt;=0,"n.m.",E19/Inputs!E158-1),"n.a.")</f>
        <v>0.11751662971175159</v>
      </c>
      <c r="F20" s="14">
        <f>IFERROR(IF(Inputs!F158&lt;=0,"n.m.",F19/Inputs!F158-1),"n.a.")</f>
        <v>0.11935953420669576</v>
      </c>
      <c r="G20" s="11" t="s">
        <v>33</v>
      </c>
      <c r="H20" s="18">
        <f>IFERROR(IF(C19&lt;=0,"n.m.",H19/C19-1),"n.a.")</f>
        <v>0.1107168204400284</v>
      </c>
      <c r="I20" s="13"/>
      <c r="J20" s="3"/>
      <c r="K20" s="3"/>
      <c r="L20" s="3"/>
    </row>
    <row r="21">
      <c r="A21" s="3"/>
      <c r="B21" s="2" t="s">
        <v>91</v>
      </c>
      <c r="C21" s="21">
        <f>C19-Inputs!F158</f>
        <v>17.5</v>
      </c>
      <c r="D21" s="16">
        <f>D19-C19</f>
        <v>27.5</v>
      </c>
      <c r="E21" s="16">
        <f>E19-D19</f>
        <v>24</v>
      </c>
      <c r="F21" s="16">
        <f>F19-E19</f>
        <v>13</v>
      </c>
      <c r="G21" s="16" t="s">
        <v>33</v>
      </c>
      <c r="H21" s="25">
        <f>H19-F19</f>
        <v>13.5</v>
      </c>
      <c r="I21" s="13"/>
      <c r="J21" s="3"/>
      <c r="K21" s="3"/>
      <c r="L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>
      <c r="A23" s="3"/>
      <c r="B23" s="27" t="s">
        <v>136</v>
      </c>
      <c r="C23" s="15"/>
      <c r="D23" s="15"/>
      <c r="E23" s="15"/>
      <c r="F23" s="15"/>
      <c r="G23" s="15"/>
      <c r="H23" s="15"/>
      <c r="I23" s="13"/>
      <c r="J23" s="3"/>
      <c r="K23" s="3"/>
      <c r="L23" s="3"/>
    </row>
    <row r="24">
      <c r="A24" s="3"/>
      <c r="B24" s="2" t="s">
        <v>137</v>
      </c>
      <c r="C24" s="21">
        <f>Inputs!F160</f>
        <v>433</v>
      </c>
      <c r="D24" s="16">
        <f>C30</f>
        <v>446</v>
      </c>
      <c r="E24" s="16">
        <f>D30</f>
        <v>476</v>
      </c>
      <c r="F24" s="16">
        <f>E30</f>
        <v>483</v>
      </c>
      <c r="G24" s="21">
        <f>Inputs!D160</f>
        <v>425</v>
      </c>
      <c r="H24" s="25">
        <f>F30</f>
        <v>494</v>
      </c>
      <c r="I24" s="13"/>
      <c r="J24" s="3"/>
      <c r="K24" s="3"/>
      <c r="L24" s="3"/>
    </row>
    <row r="25">
      <c r="A25" s="3"/>
      <c r="B25" s="2" t="s">
        <v>82</v>
      </c>
      <c r="C25" s="16" t="s">
        <v>33</v>
      </c>
      <c r="D25" s="16" t="s">
        <v>33</v>
      </c>
      <c r="E25" s="16" t="s">
        <v>33</v>
      </c>
      <c r="F25" s="16" t="s">
        <v>33</v>
      </c>
      <c r="G25" s="16" t="s">
        <v>33</v>
      </c>
      <c r="H25" s="25" t="s">
        <v>33</v>
      </c>
      <c r="I25" s="13" t="s">
        <v>63</v>
      </c>
      <c r="J25" s="3"/>
      <c r="K25" s="3"/>
      <c r="L25" s="3"/>
    </row>
    <row r="26">
      <c r="A26" s="3"/>
      <c r="B26" s="2" t="s">
        <v>138</v>
      </c>
      <c r="C26" s="16" t="s">
        <v>33</v>
      </c>
      <c r="D26" s="16" t="s">
        <v>33</v>
      </c>
      <c r="E26" s="16" t="s">
        <v>33</v>
      </c>
      <c r="F26" s="16" t="s">
        <v>33</v>
      </c>
      <c r="G26" s="16" t="s">
        <v>33</v>
      </c>
      <c r="H26" s="25" t="s">
        <v>33</v>
      </c>
      <c r="I26" s="13" t="s">
        <v>63</v>
      </c>
      <c r="J26" s="3"/>
      <c r="K26" s="3"/>
      <c r="L26" s="3"/>
    </row>
    <row r="27">
      <c r="A27" s="3"/>
      <c r="B27" s="2" t="s">
        <v>85</v>
      </c>
      <c r="C27" s="16">
        <f>C30-C24</f>
        <v>13</v>
      </c>
      <c r="D27" s="16">
        <f>D30-D24</f>
        <v>30</v>
      </c>
      <c r="E27" s="16">
        <f>E30-E24</f>
        <v>7</v>
      </c>
      <c r="F27" s="16">
        <f>F30-F24</f>
        <v>11</v>
      </c>
      <c r="G27" s="16">
        <f>G30-G24</f>
        <v>51</v>
      </c>
      <c r="H27" s="25">
        <f>H30-H24</f>
        <v>6</v>
      </c>
      <c r="I27" s="13"/>
      <c r="J27" s="3"/>
      <c r="K27" s="3"/>
      <c r="L27" s="3"/>
    </row>
    <row r="28">
      <c r="A28" s="3"/>
      <c r="B28" s="2" t="s">
        <v>87</v>
      </c>
      <c r="C28" s="21">
        <f>C27-Inputs!C163</f>
        <v>4</v>
      </c>
      <c r="D28" s="21">
        <f>D27-Inputs!D163</f>
        <v>7</v>
      </c>
      <c r="E28" s="21">
        <f>E27-Inputs!E163</f>
        <v>9</v>
      </c>
      <c r="F28" s="21">
        <f>F27-Inputs!F163</f>
        <v>1</v>
      </c>
      <c r="G28" s="21">
        <f>G27-Inputs!G163</f>
        <v>5</v>
      </c>
      <c r="H28" s="25">
        <f>H27-C27</f>
        <v>-7</v>
      </c>
      <c r="I28" s="13"/>
      <c r="J28" s="3"/>
      <c r="K28" s="3"/>
      <c r="L28" s="3"/>
    </row>
    <row r="29">
      <c r="A29" s="3"/>
      <c r="B29" s="2" t="s">
        <v>88</v>
      </c>
      <c r="C29" s="21">
        <f>C27-Inputs!F163</f>
        <v>3</v>
      </c>
      <c r="D29" s="16">
        <f>D27-C27</f>
        <v>17</v>
      </c>
      <c r="E29" s="16">
        <f>E27-D27</f>
        <v>-23</v>
      </c>
      <c r="F29" s="16">
        <f>F27-E27</f>
        <v>4</v>
      </c>
      <c r="G29" s="16" t="s">
        <v>33</v>
      </c>
      <c r="H29" s="25">
        <f>H27-F27</f>
        <v>-5</v>
      </c>
      <c r="I29" s="13"/>
      <c r="J29" s="3"/>
      <c r="K29" s="3"/>
      <c r="L29" s="3"/>
    </row>
    <row r="30">
      <c r="A30" s="3"/>
      <c r="B30" s="27" t="s">
        <v>139</v>
      </c>
      <c r="C30" s="47">
        <v>446</v>
      </c>
      <c r="D30" s="47">
        <v>476</v>
      </c>
      <c r="E30" s="47">
        <v>483</v>
      </c>
      <c r="F30" s="47">
        <v>494</v>
      </c>
      <c r="G30" s="23">
        <f>D30</f>
        <v>476</v>
      </c>
      <c r="H30" s="41">
        <f>H16-'Segment - Premium'!H16+H36</f>
        <v>500</v>
      </c>
      <c r="I30" s="13" t="s">
        <v>140</v>
      </c>
      <c r="J30" s="3"/>
      <c r="K30" s="3"/>
      <c r="L30" s="3"/>
    </row>
    <row r="31">
      <c r="A31" s="3"/>
      <c r="B31" s="1" t="s">
        <v>57</v>
      </c>
      <c r="C31" s="14">
        <f>IFERROR(IF(Inputs!C160&lt;=0,"n.m.",C30/Inputs!C160-1),"n.a.")</f>
        <v>0.1094527363184079</v>
      </c>
      <c r="D31" s="14">
        <f>IFERROR(IF(Inputs!D160&lt;=0,"n.m.",D30/Inputs!D160-1),"n.a.")</f>
        <v>0.1200000000000001</v>
      </c>
      <c r="E31" s="14">
        <f>IFERROR(IF(Inputs!E160&lt;=0,"n.m.",E30/Inputs!E160-1),"n.a.")</f>
        <v>0.14184397163120566</v>
      </c>
      <c r="F31" s="14">
        <f>IFERROR(IF(Inputs!F160&lt;=0,"n.m.",F30/Inputs!F160-1),"n.a.")</f>
        <v>0.14087759815242484</v>
      </c>
      <c r="G31" s="14">
        <f>IFERROR(IF(Inputs!G160&lt;=0,"n.m.",G30/Inputs!G160-1),"n.a.")</f>
        <v>0.1200000000000001</v>
      </c>
      <c r="H31" s="18">
        <f>IFERROR(IF(C30&lt;=0,"n.m.",H30/C30-1),"n.a.")</f>
        <v>0.12107623318385641</v>
      </c>
      <c r="I31" s="13"/>
      <c r="J31" s="3"/>
      <c r="K31" s="3"/>
      <c r="L31" s="3"/>
    </row>
    <row r="32">
      <c r="A32" s="3"/>
      <c r="B32" s="2" t="s">
        <v>91</v>
      </c>
      <c r="C32" s="21">
        <f>C30-Inputs!F160</f>
        <v>13</v>
      </c>
      <c r="D32" s="16">
        <f>D30-C30</f>
        <v>30</v>
      </c>
      <c r="E32" s="16">
        <f>E30-D30</f>
        <v>7</v>
      </c>
      <c r="F32" s="16">
        <f>F30-E30</f>
        <v>11</v>
      </c>
      <c r="G32" s="16" t="s">
        <v>33</v>
      </c>
      <c r="H32" s="25">
        <f>H30-F30</f>
        <v>6</v>
      </c>
      <c r="I32" s="13"/>
      <c r="J32" s="3"/>
      <c r="K32" s="3"/>
      <c r="L32" s="3"/>
    </row>
    <row r="33">
      <c r="A33" s="3"/>
      <c r="B33" s="2" t="s">
        <v>141</v>
      </c>
      <c r="C33" s="16">
        <f>(C24+C30)/2</f>
        <v>439.5</v>
      </c>
      <c r="D33" s="16">
        <f>(D24+D30)/2</f>
        <v>461</v>
      </c>
      <c r="E33" s="16">
        <f>(E24+E30)/2</f>
        <v>479.5</v>
      </c>
      <c r="F33" s="16">
        <f>(F24+F30)/2</f>
        <v>488.5</v>
      </c>
      <c r="G33" s="21">
        <f>(Inputs!D160+2*Inputs!E160+2*Inputs!F160+2*C30+D30)/8</f>
        <v>438.125</v>
      </c>
      <c r="H33" s="25">
        <f>(H24+H30)/2</f>
        <v>497</v>
      </c>
      <c r="I33" s="13"/>
      <c r="J33" s="3"/>
      <c r="K33" s="3"/>
      <c r="L33" s="3"/>
    </row>
    <row r="34">
      <c r="A34" s="3"/>
      <c r="B34" s="1" t="s">
        <v>57</v>
      </c>
      <c r="C34" s="14">
        <f>IFERROR(IF(Inputs!C162&lt;=0,"n.m.",C33/Inputs!C162-1),"n.a.")</f>
        <v>0.10566037735849054</v>
      </c>
      <c r="D34" s="14">
        <f>IFERROR(IF(Inputs!D162&lt;=0,"n.m.",D33/Inputs!D162-1),"n.a.")</f>
        <v>0.11487303506650548</v>
      </c>
      <c r="E34" s="14">
        <f>IFERROR(IF(Inputs!E162&lt;=0,"n.m.",E33/Inputs!E162-1),"n.a.")</f>
        <v>0.13089622641509435</v>
      </c>
      <c r="F34" s="14">
        <f>IFERROR(IF(Inputs!F162&lt;=0,"n.m.",F33/Inputs!F162-1),"n.a.")</f>
        <v>0.14135514018691597</v>
      </c>
      <c r="G34" s="11" t="s">
        <v>33</v>
      </c>
      <c r="H34" s="18">
        <f>IFERROR(IF(C33&lt;=0,"n.m.",H33/C33-1),"n.a.")</f>
        <v>0.13083048919226403</v>
      </c>
      <c r="I34" s="13"/>
      <c r="J34" s="3"/>
      <c r="K34" s="3"/>
      <c r="L34" s="3"/>
    </row>
    <row r="35">
      <c r="A35" s="3"/>
      <c r="B35" s="2" t="s">
        <v>91</v>
      </c>
      <c r="C35" s="21">
        <f>C33-Inputs!F162</f>
        <v>11.5</v>
      </c>
      <c r="D35" s="16">
        <f>D33-C33</f>
        <v>21.5</v>
      </c>
      <c r="E35" s="16">
        <f>E33-D33</f>
        <v>18.5</v>
      </c>
      <c r="F35" s="16">
        <f>F33-E33</f>
        <v>9</v>
      </c>
      <c r="G35" s="16" t="s">
        <v>33</v>
      </c>
      <c r="H35" s="25">
        <f>H33-F33</f>
        <v>8.5</v>
      </c>
      <c r="I35" s="13"/>
      <c r="J35" s="3"/>
      <c r="K35" s="3"/>
      <c r="L35" s="3"/>
    </row>
    <row r="36">
      <c r="A36" s="3"/>
      <c r="B36" s="2" t="s">
        <v>142</v>
      </c>
      <c r="C36" s="21">
        <f>'Segment - Premium'!C16+C30-C16</f>
        <v>14</v>
      </c>
      <c r="D36" s="21">
        <f>'Segment - Premium'!D16+D30-D16</f>
        <v>15</v>
      </c>
      <c r="E36" s="21">
        <f>'Segment - Premium'!E16+E30-E16</f>
        <v>15</v>
      </c>
      <c r="F36" s="21">
        <f>'Segment - Premium'!F16+F30-F16</f>
        <v>17</v>
      </c>
      <c r="G36" s="21">
        <f>'Segment - Premium'!G16+G30-G16</f>
        <v>15</v>
      </c>
      <c r="H36" s="25">
        <f>F36</f>
        <v>17</v>
      </c>
      <c r="I36" s="13" t="s">
        <v>143</v>
      </c>
      <c r="J36" s="3"/>
      <c r="K36" s="3"/>
      <c r="L36" s="3"/>
    </row>
    <row r="37">
      <c r="A37" s="3"/>
      <c r="B37" s="2" t="s">
        <v>144</v>
      </c>
      <c r="C37" s="21">
        <f>C36-Inputs!C165</f>
        <v>0</v>
      </c>
      <c r="D37" s="21">
        <f>D36-Inputs!D165</f>
        <v>2</v>
      </c>
      <c r="E37" s="21">
        <f>E36-Inputs!E165</f>
        <v>2</v>
      </c>
      <c r="F37" s="21">
        <f>F36-Inputs!F165</f>
        <v>4</v>
      </c>
      <c r="G37" s="21">
        <f>G36-Inputs!G165</f>
        <v>2</v>
      </c>
      <c r="H37" s="25">
        <f>H36-C36</f>
        <v>3</v>
      </c>
      <c r="I37" s="13"/>
      <c r="J37" s="3"/>
      <c r="K37" s="3"/>
      <c r="L37" s="3"/>
    </row>
    <row r="38">
      <c r="A38" s="3"/>
      <c r="B38" s="2" t="s">
        <v>91</v>
      </c>
      <c r="C38" s="21">
        <f>C36-Inputs!F165</f>
        <v>1</v>
      </c>
      <c r="D38" s="16">
        <f>D36-C36</f>
        <v>1</v>
      </c>
      <c r="E38" s="16">
        <f>E36-D36</f>
        <v>0</v>
      </c>
      <c r="F38" s="16">
        <f>F36-E36</f>
        <v>2</v>
      </c>
      <c r="G38" s="16" t="s">
        <v>33</v>
      </c>
      <c r="H38" s="25">
        <f>H36-F36</f>
        <v>0</v>
      </c>
      <c r="I38" s="13"/>
      <c r="J38" s="3"/>
      <c r="K38" s="3"/>
      <c r="L38" s="3"/>
    </row>
    <row r="39">
      <c r="A39" s="3"/>
      <c r="B39" s="1" t="s">
        <v>145</v>
      </c>
      <c r="C39" s="11">
        <f>C30/C16</f>
        <v>0.6255259467040674</v>
      </c>
      <c r="D39" s="11">
        <f>D30/D16</f>
        <v>0.6338215712383488</v>
      </c>
      <c r="E39" s="11">
        <f>E30/E16</f>
        <v>0.6346911957950065</v>
      </c>
      <c r="F39" s="11">
        <f>F30/F16</f>
        <v>0.6357786357786358</v>
      </c>
      <c r="G39" s="11">
        <f>G30/G16</f>
        <v>0.6338215712383488</v>
      </c>
      <c r="H39" s="18">
        <f>H30/H16</f>
        <v>0.6345177664974619</v>
      </c>
      <c r="I39" s="13"/>
      <c r="J39" s="3"/>
      <c r="K39" s="3"/>
      <c r="L39" s="3"/>
    </row>
    <row r="40" ht="14.624267578125">
      <c r="A40" s="3"/>
      <c r="B40" s="2" t="s">
        <v>96</v>
      </c>
      <c r="C40" s="48">
        <f>IFERROR((C39-Inputs!C167)*10000,"n.a.")</f>
        <v>-25.99053295932685</v>
      </c>
      <c r="D40" s="48">
        <f>IFERROR((D39-Inputs!D167)*10000,"n.a.")</f>
        <v>41.91941608719163</v>
      </c>
      <c r="E40" s="48">
        <f>IFERROR((E39-Inputs!E167)*10000,"n.a.")</f>
        <v>107.97390485272062</v>
      </c>
      <c r="F40" s="48">
        <f>IFERROR((F39-Inputs!F167)*10000,"n.a.")</f>
        <v>136.52198997026633</v>
      </c>
      <c r="G40" s="48">
        <f>IFERROR((G39-Inputs!G167)*10000,"n.a.")</f>
        <v>41.91941608719163</v>
      </c>
      <c r="H40" s="42">
        <f>IFERROR((H39-C39)*10000,"n.a.")</f>
        <v>89.91819793394585</v>
      </c>
      <c r="I40" s="13"/>
      <c r="J40" s="3"/>
      <c r="K40" s="3"/>
      <c r="L40" s="3"/>
    </row>
    <row r="41">
      <c r="A41" s="3"/>
      <c r="B41" s="2" t="s">
        <v>97</v>
      </c>
      <c r="C41" s="48">
        <f>IFERROR((C39-Inputs!F167)*10000,"n.a.")</f>
        <v>33.99509922458188</v>
      </c>
      <c r="D41" s="52">
        <f>IFERROR((D39-C39)*10000,"n.a.")</f>
        <v>82.95624534281454</v>
      </c>
      <c r="E41" s="52">
        <f>IFERROR((E39-D39)*10000,"n.a.")</f>
        <v>8.696245566577332</v>
      </c>
      <c r="F41" s="52">
        <f>IFERROR((F39-E39)*10000,"n.a.")</f>
        <v>10.87439983629257</v>
      </c>
      <c r="G41" s="52" t="s">
        <v>33</v>
      </c>
      <c r="H41" s="42">
        <f>IFERROR((H39-F39)*10000,"n.a.")</f>
        <v>-12.608692811738598</v>
      </c>
      <c r="I41" s="13"/>
      <c r="J41" s="3"/>
      <c r="K41" s="3"/>
      <c r="L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23.24853515625">
      <c r="A43" s="3"/>
      <c r="B43" s="27" t="s">
        <v>146</v>
      </c>
      <c r="C43" s="15"/>
      <c r="D43" s="15"/>
      <c r="E43" s="15"/>
      <c r="F43" s="15"/>
      <c r="G43" s="15"/>
      <c r="H43" s="15"/>
      <c r="I43" s="13"/>
      <c r="J43" s="3"/>
      <c r="K43" s="3"/>
      <c r="L43" s="3"/>
    </row>
    <row r="44" ht="37.5">
      <c r="A44" s="3"/>
      <c r="B44" s="2" t="s">
        <v>147</v>
      </c>
      <c r="C44" s="36">
        <f>C52/C33</f>
        <v>0.9943117178612059</v>
      </c>
      <c r="D44" s="36">
        <f>D52/D33</f>
        <v>1.1084598698481563</v>
      </c>
      <c r="E44" s="36">
        <f>E52/E33</f>
        <v>0.8029197080291971</v>
      </c>
      <c r="F44" s="36">
        <f>F52/F33</f>
        <v>0.9129989764585466</v>
      </c>
      <c r="G44" s="36">
        <f>G52/G33</f>
        <v>4.09700427960057</v>
      </c>
      <c r="H44" s="64">
        <f>H52/H33</f>
        <v>0.949485664842296</v>
      </c>
      <c r="I44" s="104" t="s">
        <v>148</v>
      </c>
      <c r="J44" s="3"/>
      <c r="K44" s="3"/>
      <c r="L44" s="3"/>
    </row>
    <row r="45">
      <c r="A45" s="3"/>
      <c r="B45" s="1" t="s">
        <v>57</v>
      </c>
      <c r="C45" s="14">
        <f>IFERROR(IF(Inputs!C164&lt;=0,"n.m.",C44/Inputs!C164-1),"n.a.")</f>
        <v>-0.13703295229294898</v>
      </c>
      <c r="D45" s="14">
        <f>IFERROR(IF(Inputs!D164&lt;=0,"n.m.",D44/Inputs!D164-1),"n.a.")</f>
        <v>-0.12025305915122331</v>
      </c>
      <c r="E45" s="14">
        <f>IFERROR(IF(Inputs!E164&lt;=0,"n.m.",E44/Inputs!E164-1),"n.a.")</f>
        <v>-0.16354310514894455</v>
      </c>
      <c r="F45" s="14">
        <f>IFERROR(IF(Inputs!F164&lt;=0,"n.m.",F44/Inputs!F164-1),"n.a.")</f>
        <v>-0.11190099562668643</v>
      </c>
      <c r="G45" s="11" t="s">
        <v>33</v>
      </c>
      <c r="H45" s="18">
        <f>IFERROR(IF(C44&lt;=0,"n.m.",H44/C44-1),"n.a.")</f>
        <v>-0.045082494969818976</v>
      </c>
      <c r="I45" s="13"/>
      <c r="J45" s="3"/>
      <c r="K45" s="3"/>
      <c r="L45" s="3"/>
    </row>
    <row r="46">
      <c r="A46" s="3"/>
      <c r="B46" s="2" t="s">
        <v>102</v>
      </c>
      <c r="C46" s="43">
        <f>C44-Inputs!F164</f>
        <v>-0.03372566531636412</v>
      </c>
      <c r="D46" s="36">
        <f>D44-C44</f>
        <v>0.11414815198695039</v>
      </c>
      <c r="E46" s="36">
        <f>E44-D44</f>
        <v>-0.30554016181895916</v>
      </c>
      <c r="F46" s="36">
        <f>F44-E44</f>
        <v>0.11007926842934945</v>
      </c>
      <c r="G46" s="36" t="s">
        <v>33</v>
      </c>
      <c r="H46" s="64">
        <f>H44-F44</f>
        <v>0.036486688383749466</v>
      </c>
      <c r="I46" s="13"/>
      <c r="J46" s="3"/>
      <c r="K46" s="3"/>
      <c r="L46" s="3"/>
    </row>
    <row r="47" ht="37.5">
      <c r="A47" s="3"/>
      <c r="B47" s="1" t="s">
        <v>149</v>
      </c>
      <c r="C47" s="11" t="s">
        <v>33</v>
      </c>
      <c r="D47" s="11" t="s">
        <v>33</v>
      </c>
      <c r="E47" s="11" t="s">
        <v>33</v>
      </c>
      <c r="F47" s="11" t="s">
        <v>33</v>
      </c>
      <c r="G47" s="11" t="s">
        <v>33</v>
      </c>
      <c r="H47" s="62">
        <v>-0.061</v>
      </c>
      <c r="I47" s="104" t="s">
        <v>150</v>
      </c>
      <c r="J47" s="3"/>
      <c r="K47" s="3"/>
      <c r="L47" s="3"/>
    </row>
    <row r="48">
      <c r="A48" s="3"/>
      <c r="B48" s="1" t="s">
        <v>151</v>
      </c>
      <c r="C48" s="11" t="s">
        <v>33</v>
      </c>
      <c r="D48" s="11" t="s">
        <v>33</v>
      </c>
      <c r="E48" s="55">
        <v>0.3</v>
      </c>
      <c r="F48" s="55">
        <v>0.4</v>
      </c>
      <c r="G48" s="11" t="s">
        <v>33</v>
      </c>
      <c r="H48" s="18" t="s">
        <v>33</v>
      </c>
      <c r="I48" s="13" t="s">
        <v>152</v>
      </c>
      <c r="J48" s="3"/>
      <c r="K48" s="3"/>
      <c r="L48" s="3"/>
    </row>
    <row r="49">
      <c r="A49" s="3"/>
      <c r="B49" s="2" t="s">
        <v>97</v>
      </c>
      <c r="C49" s="52" t="s">
        <v>33</v>
      </c>
      <c r="D49" s="52" t="str">
        <f>IFERROR((D48-C48)*10000,"n.a.")</f>
        <v>n.a.</v>
      </c>
      <c r="E49" s="52" t="str">
        <f>IFERROR((E48-D48)*10000,"n.a.")</f>
        <v>n.a.</v>
      </c>
      <c r="F49" s="52">
        <f>IFERROR((F48-E48)*10000,"n.a.")</f>
        <v>1000.0000000000003</v>
      </c>
      <c r="G49" s="52" t="s">
        <v>33</v>
      </c>
      <c r="H49" s="42" t="str">
        <f>IFERROR((H48-F48)*10000,"n.a.")</f>
        <v>n.a.</v>
      </c>
      <c r="I49" s="13"/>
      <c r="J49" s="3"/>
      <c r="K49" s="3"/>
      <c r="L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>
      <c r="A51" s="3"/>
      <c r="B51" s="27" t="s">
        <v>153</v>
      </c>
      <c r="C51" s="15"/>
      <c r="D51" s="15"/>
      <c r="E51" s="15"/>
      <c r="F51" s="15"/>
      <c r="G51" s="15"/>
      <c r="H51" s="15"/>
      <c r="I51" s="13"/>
      <c r="J51" s="3"/>
      <c r="K51" s="3"/>
      <c r="L51" s="3"/>
    </row>
    <row r="52" ht="26.25">
      <c r="A52" s="3"/>
      <c r="B52" s="27" t="s">
        <v>68</v>
      </c>
      <c r="C52" s="47">
        <v>437</v>
      </c>
      <c r="D52" s="47">
        <v>511</v>
      </c>
      <c r="E52" s="47">
        <v>385</v>
      </c>
      <c r="F52" s="47">
        <v>446</v>
      </c>
      <c r="G52" s="35">
        <f>Inputs!E112+Inputs!F112+C52+D52</f>
        <v>1795</v>
      </c>
      <c r="H52" s="38">
        <f>H58+H60*C52</f>
        <v>471.89437542662114</v>
      </c>
      <c r="I52" s="104" t="s">
        <v>112</v>
      </c>
      <c r="J52" s="3"/>
      <c r="K52" s="3"/>
      <c r="L52" s="3"/>
    </row>
    <row r="53" ht="23.24853515625">
      <c r="A53" s="3"/>
      <c r="B53" s="1" t="s">
        <v>57</v>
      </c>
      <c r="C53" s="14">
        <f>IFERROR(IF(Inputs!C112&lt;=0,"n.m.",C52/Inputs!C112-1),"n.a.")</f>
        <v>-0.04585152838427953</v>
      </c>
      <c r="D53" s="14">
        <f>IFERROR(IF(Inputs!D112&lt;=0,"n.m.",D52/Inputs!D112-1),"n.a.")</f>
        <v>-0.019193857965451033</v>
      </c>
      <c r="E53" s="14">
        <f>IFERROR(IF(Inputs!E112&lt;=0,"n.m.",E52/Inputs!E112-1),"n.a.")</f>
        <v>-0.05405405405405406</v>
      </c>
      <c r="F53" s="14">
        <f>IFERROR(IF(Inputs!F112&lt;=0,"n.m.",F52/Inputs!F112-1),"n.a.")</f>
        <v>0.013636363636363669</v>
      </c>
      <c r="G53" s="14">
        <f>IFERROR(IF(Inputs!G112&lt;=0,"n.m.",G52/Inputs!G112-1),"n.a.")</f>
        <v>-0.0016685205784204848</v>
      </c>
      <c r="H53" s="18">
        <f>IFERROR(IF(C52&lt;=0,"n.m.",H52/C52-1),"n.a.")</f>
        <v>0.07984982935153573</v>
      </c>
      <c r="I53" s="13"/>
      <c r="J53" s="3"/>
      <c r="K53" s="3"/>
      <c r="L53" s="3"/>
    </row>
    <row r="54">
      <c r="A54" s="3"/>
      <c r="B54" s="2" t="s">
        <v>113</v>
      </c>
      <c r="C54" s="21">
        <f>C52-Inputs!F112</f>
        <v>-3</v>
      </c>
      <c r="D54" s="16">
        <f>D52-C52</f>
        <v>74</v>
      </c>
      <c r="E54" s="16">
        <f>E52-D52</f>
        <v>-126</v>
      </c>
      <c r="F54" s="16">
        <f>F52-E52</f>
        <v>61</v>
      </c>
      <c r="G54" s="16" t="s">
        <v>33</v>
      </c>
      <c r="H54" s="25">
        <f>H52-F52</f>
        <v>25.89437542662114</v>
      </c>
      <c r="I54" s="13"/>
      <c r="J54" s="3"/>
      <c r="K54" s="3"/>
      <c r="L54" s="3"/>
    </row>
    <row r="55" ht="14.624267578125">
      <c r="A55" s="3"/>
      <c r="B55" s="1" t="s">
        <v>58</v>
      </c>
      <c r="C55" s="14">
        <f>IFERROR(IF(Inputs!F112&lt;=0,"n.m.",C52/Inputs!F112-1),"n.a.")</f>
        <v>-0.006818181818181834</v>
      </c>
      <c r="D55" s="11">
        <f>IFERROR(IF(C52&lt;=0,"n.m.",D52/C52-1),"n.a.")</f>
        <v>0.16933638443935917</v>
      </c>
      <c r="E55" s="11">
        <f>IFERROR(IF(D52&lt;=0,"n.m.",E52/D52-1),"n.a.")</f>
        <v>-0.2465753424657534</v>
      </c>
      <c r="F55" s="11">
        <f>IFERROR(IF(E52&lt;=0,"n.m.",F52/E52-1),"n.a.")</f>
        <v>0.15844155844155838</v>
      </c>
      <c r="G55" s="11" t="s">
        <v>33</v>
      </c>
      <c r="H55" s="18">
        <f>IFERROR(IF(F52&lt;=0,"n.m.",H52/F52-1),"n.a.")</f>
        <v>0.058059137727850096</v>
      </c>
      <c r="I55" s="13"/>
      <c r="J55" s="3"/>
      <c r="K55" s="3"/>
      <c r="L55" s="3"/>
    </row>
    <row r="56">
      <c r="A56" s="3"/>
      <c r="B56" s="1" t="s">
        <v>59</v>
      </c>
      <c r="C56" s="14">
        <f>C52/'Revenue summary'!C28</f>
        <v>0.1022940074906367</v>
      </c>
      <c r="D56" s="14">
        <f>D52/'Revenue summary'!D28</f>
        <v>0.11277863606267932</v>
      </c>
      <c r="E56" s="14">
        <f>E52/'Revenue summary'!E28</f>
        <v>0.08493271564085594</v>
      </c>
      <c r="F56" s="14">
        <f>F52/'Revenue summary'!F28</f>
        <v>0.09336403600586142</v>
      </c>
      <c r="G56" s="14">
        <f>G52/'Revenue summary'!G28</f>
        <v>0.10444547887815664</v>
      </c>
      <c r="H56" s="29">
        <f>H52/'Revenue summary'!H28</f>
        <v>0.094970834876732</v>
      </c>
      <c r="I56" s="13"/>
      <c r="J56" s="3"/>
      <c r="K56" s="3"/>
      <c r="L56" s="3"/>
    </row>
    <row r="57" ht="71.25">
      <c r="A57" s="3"/>
      <c r="B57" s="2" t="s">
        <v>70</v>
      </c>
      <c r="C57" s="44">
        <v>26</v>
      </c>
      <c r="D57" s="44">
        <v>42</v>
      </c>
      <c r="E57" s="44">
        <v>36</v>
      </c>
      <c r="F57" s="44">
        <v>8</v>
      </c>
      <c r="G57" s="44">
        <v>83</v>
      </c>
      <c r="H57" s="25">
        <f>H58-H52</f>
        <v>-7.8659999999999854</v>
      </c>
      <c r="I57" s="104" t="s">
        <v>154</v>
      </c>
      <c r="J57" s="3"/>
      <c r="K57" s="3"/>
      <c r="L57" s="3"/>
    </row>
    <row r="58" ht="14.624267578125">
      <c r="A58" s="3"/>
      <c r="B58" s="2" t="s">
        <v>72</v>
      </c>
      <c r="C58" s="16">
        <f>C52+C57</f>
        <v>463</v>
      </c>
      <c r="D58" s="16">
        <f>D52+D57</f>
        <v>553</v>
      </c>
      <c r="E58" s="16">
        <f>E52+E57</f>
        <v>421</v>
      </c>
      <c r="F58" s="16">
        <f>F52+F57</f>
        <v>454</v>
      </c>
      <c r="G58" s="16">
        <f>G52+G57</f>
        <v>1878</v>
      </c>
      <c r="H58" s="25">
        <f>H33*C44*(1+H47)</f>
        <v>464.02837542662115</v>
      </c>
      <c r="I58" s="13" t="s">
        <v>155</v>
      </c>
      <c r="J58" s="3"/>
      <c r="K58" s="3"/>
      <c r="L58" s="3"/>
    </row>
    <row r="59" ht="26.25">
      <c r="A59" s="3"/>
      <c r="B59" s="1" t="s">
        <v>65</v>
      </c>
      <c r="C59" s="14">
        <f>C58/Inputs!C112-1</f>
        <v>0.01091703056768556</v>
      </c>
      <c r="D59" s="14">
        <f>D58/Inputs!D112-1</f>
        <v>0.061420345489443307</v>
      </c>
      <c r="E59" s="14">
        <f>E58/Inputs!E112-1</f>
        <v>0.03439803439803435</v>
      </c>
      <c r="F59" s="14">
        <f>F58/Inputs!F112-1</f>
        <v>0.031818181818181746</v>
      </c>
      <c r="G59" s="14">
        <f>G58/Inputs!G112-1</f>
        <v>0.04449388209121241</v>
      </c>
      <c r="H59" s="18">
        <f>H58/C52-1</f>
        <v>0.06184982935153571</v>
      </c>
      <c r="I59" s="104" t="s">
        <v>156</v>
      </c>
      <c r="J59" s="3"/>
      <c r="K59" s="3"/>
      <c r="L59" s="3"/>
    </row>
    <row r="60">
      <c r="A60" s="3"/>
      <c r="B60" s="1" t="s">
        <v>117</v>
      </c>
      <c r="C60" s="11">
        <f>C63-C59</f>
        <v>-0.05676855895196509</v>
      </c>
      <c r="D60" s="11">
        <f>D63-D59</f>
        <v>-0.08061420345489434</v>
      </c>
      <c r="E60" s="11">
        <f>E63-E59</f>
        <v>-0.0884520884520884</v>
      </c>
      <c r="F60" s="11">
        <f>F63-F59</f>
        <v>-0.018181818181818077</v>
      </c>
      <c r="G60" s="11">
        <f>G63-G59</f>
        <v>-0.046162402669632896</v>
      </c>
      <c r="H60" s="29">
        <f>'Segment - Premium'!H50</f>
        <v>0.018</v>
      </c>
      <c r="I60" s="13" t="s">
        <v>157</v>
      </c>
      <c r="J60" s="3"/>
      <c r="K60" s="3"/>
      <c r="L60" s="3"/>
    </row>
    <row r="61">
      <c r="A61" s="3"/>
      <c r="B61" s="1" t="s">
        <v>62</v>
      </c>
      <c r="C61" s="11" t="s">
        <v>33</v>
      </c>
      <c r="D61" s="11" t="s">
        <v>33</v>
      </c>
      <c r="E61" s="11" t="s">
        <v>33</v>
      </c>
      <c r="F61" s="11" t="s">
        <v>33</v>
      </c>
      <c r="G61" s="11" t="s">
        <v>33</v>
      </c>
      <c r="H61" s="18" t="s">
        <v>33</v>
      </c>
      <c r="I61" s="13" t="s">
        <v>119</v>
      </c>
      <c r="J61" s="3"/>
      <c r="K61" s="3"/>
      <c r="L61" s="3"/>
    </row>
    <row r="62">
      <c r="A62" s="3"/>
      <c r="B62" s="1" t="s">
        <v>60</v>
      </c>
      <c r="C62" s="11" t="s">
        <v>33</v>
      </c>
      <c r="D62" s="11" t="s">
        <v>33</v>
      </c>
      <c r="E62" s="11" t="s">
        <v>33</v>
      </c>
      <c r="F62" s="11" t="s">
        <v>33</v>
      </c>
      <c r="G62" s="11" t="s">
        <v>33</v>
      </c>
      <c r="H62" s="18" t="s">
        <v>33</v>
      </c>
      <c r="I62" s="13" t="s">
        <v>120</v>
      </c>
      <c r="J62" s="3"/>
      <c r="K62" s="3"/>
      <c r="L62" s="3"/>
    </row>
    <row r="63">
      <c r="A63" s="3"/>
      <c r="B63" s="1" t="s">
        <v>121</v>
      </c>
      <c r="C63" s="14">
        <f>C52/Inputs!C112-1</f>
        <v>-0.04585152838427953</v>
      </c>
      <c r="D63" s="14">
        <f>D52/Inputs!D112-1</f>
        <v>-0.019193857965451033</v>
      </c>
      <c r="E63" s="14">
        <f>E52/Inputs!E112-1</f>
        <v>-0.05405405405405406</v>
      </c>
      <c r="F63" s="14">
        <f>F52/Inputs!F112-1</f>
        <v>0.013636363636363669</v>
      </c>
      <c r="G63" s="14">
        <f>G52/Inputs!G112-1</f>
        <v>-0.0016685205784204848</v>
      </c>
      <c r="H63" s="18">
        <f>H52/C52-1</f>
        <v>0.07984982935153573</v>
      </c>
      <c r="I63" s="13"/>
      <c r="J63" s="3"/>
      <c r="K63" s="3"/>
      <c r="L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>
      <c r="A65" s="3"/>
      <c r="B65" s="27" t="s">
        <v>158</v>
      </c>
      <c r="C65" s="15"/>
      <c r="D65" s="15"/>
      <c r="E65" s="15"/>
      <c r="F65" s="15"/>
      <c r="G65" s="15"/>
      <c r="H65" s="15"/>
      <c r="I65" s="13"/>
      <c r="J65" s="3"/>
      <c r="K65" s="3"/>
      <c r="L65" s="3"/>
    </row>
    <row r="66">
      <c r="A66" s="3"/>
      <c r="B66" s="2" t="s">
        <v>159</v>
      </c>
      <c r="C66" s="44">
        <v>360</v>
      </c>
      <c r="D66" s="44">
        <v>409</v>
      </c>
      <c r="E66" s="44">
        <v>335</v>
      </c>
      <c r="F66" s="44">
        <v>361</v>
      </c>
      <c r="G66" s="21">
        <f>Inputs!E115+Inputs!F115+C66+D66</f>
        <v>1483</v>
      </c>
      <c r="H66" s="25">
        <f>H52-H68</f>
        <v>382.2344440955631</v>
      </c>
      <c r="I66" s="13" t="s">
        <v>160</v>
      </c>
      <c r="J66" s="3"/>
      <c r="K66" s="3"/>
      <c r="L66" s="3"/>
    </row>
    <row r="67">
      <c r="A67" s="3"/>
      <c r="B67" s="1" t="s">
        <v>57</v>
      </c>
      <c r="C67" s="14">
        <f>IFERROR(IF(Inputs!C115&lt;=0,"n.m.",C66/Inputs!C115-1),"n.a.")</f>
        <v>-0.10447761194029848</v>
      </c>
      <c r="D67" s="14">
        <f>IFERROR(IF(Inputs!D115&lt;=0,"n.m.",D66/Inputs!D115-1),"n.a.")</f>
        <v>-0.08908685968819596</v>
      </c>
      <c r="E67" s="14">
        <f>IFERROR(IF(Inputs!E115&lt;=0,"n.m.",E66/Inputs!E115-1),"n.a.")</f>
        <v>-0.042857142857142816</v>
      </c>
      <c r="F67" s="14">
        <f>IFERROR(IF(Inputs!F115&lt;=0,"n.m.",F66/Inputs!F115-1),"n.a.")</f>
        <v>-0.008241758241758212</v>
      </c>
      <c r="G67" s="14">
        <f>IFERROR(IF(Inputs!G115&lt;=0,"n.m.",G66/Inputs!G115-1),"n.a.")</f>
        <v>-0.07138384470882908</v>
      </c>
      <c r="H67" s="18">
        <f>IFERROR(IF(C66&lt;=0,"n.m.",H66/C66-1),"n.a.")</f>
        <v>0.06176234470989761</v>
      </c>
      <c r="I67" s="13"/>
      <c r="J67" s="3"/>
      <c r="K67" s="3"/>
      <c r="L67" s="3"/>
    </row>
    <row r="68">
      <c r="A68" s="3"/>
      <c r="B68" s="27" t="s">
        <v>161</v>
      </c>
      <c r="C68" s="23">
        <f>C52-C66</f>
        <v>77</v>
      </c>
      <c r="D68" s="23">
        <f>D52-D66</f>
        <v>102</v>
      </c>
      <c r="E68" s="23">
        <f>E52-E66</f>
        <v>50</v>
      </c>
      <c r="F68" s="23">
        <f>F52-F66</f>
        <v>85</v>
      </c>
      <c r="G68" s="23">
        <f>G52-G66</f>
        <v>312</v>
      </c>
      <c r="H68" s="38">
        <f>H52*H70</f>
        <v>89.65993133105802</v>
      </c>
      <c r="I68" s="13"/>
      <c r="J68" s="3"/>
      <c r="K68" s="3"/>
      <c r="L68" s="3"/>
    </row>
    <row r="69">
      <c r="A69" s="3"/>
      <c r="B69" s="1" t="s">
        <v>57</v>
      </c>
      <c r="C69" s="14">
        <f>IFERROR(IF(Inputs!C119&lt;=0,"n.m.",C68/Inputs!C119-1),"n.a.")</f>
        <v>0.375</v>
      </c>
      <c r="D69" s="14">
        <f>IFERROR(IF(Inputs!D119&lt;=0,"n.m.",D68/Inputs!D119-1),"n.a.")</f>
        <v>0.41666666666666674</v>
      </c>
      <c r="E69" s="14">
        <f>IFERROR(IF(Inputs!E119&lt;=0,"n.m.",E68/Inputs!E119-1),"n.a.")</f>
        <v>-0.1228070175438597</v>
      </c>
      <c r="F69" s="14">
        <f>IFERROR(IF(Inputs!F119&lt;=0,"n.m.",F68/Inputs!F119-1),"n.a.")</f>
        <v>0.11842105263157898</v>
      </c>
      <c r="G69" s="14">
        <f>IFERROR(IF(Inputs!G119&lt;=0,"n.m.",G68/Inputs!G119-1),"n.a.")</f>
        <v>0.5522388059701493</v>
      </c>
      <c r="H69" s="18">
        <f>IFERROR(IF(C68&lt;=0,"n.m.",H68/C68-1),"n.a.")</f>
        <v>0.16441469261114317</v>
      </c>
      <c r="I69" s="13"/>
      <c r="J69" s="3"/>
      <c r="K69" s="3"/>
      <c r="L69" s="3"/>
    </row>
    <row r="70">
      <c r="A70" s="3"/>
      <c r="B70" s="1" t="s">
        <v>162</v>
      </c>
      <c r="C70" s="11">
        <f>C68/C52</f>
        <v>0.17620137299771166</v>
      </c>
      <c r="D70" s="11">
        <f>D68/D52</f>
        <v>0.19960861056751467</v>
      </c>
      <c r="E70" s="11">
        <f>E68/E52</f>
        <v>0.12987012987012986</v>
      </c>
      <c r="F70" s="11">
        <f>F68/F52</f>
        <v>0.1905829596412556</v>
      </c>
      <c r="G70" s="11">
        <f>G68/G52</f>
        <v>0.17381615598885794</v>
      </c>
      <c r="H70" s="62">
        <v>0.19</v>
      </c>
      <c r="I70" s="13" t="s">
        <v>163</v>
      </c>
      <c r="J70" s="3"/>
      <c r="K70" s="3"/>
      <c r="L70" s="3"/>
    </row>
    <row r="71">
      <c r="A71" s="3"/>
      <c r="B71" s="2" t="s">
        <v>96</v>
      </c>
      <c r="C71" s="48">
        <f>IFERROR((C70-Inputs!C122)*10000,"n.a.")</f>
        <v>539.3063063963306</v>
      </c>
      <c r="D71" s="48">
        <f>IFERROR((D70-Inputs!D122)*10000,"n.a.")</f>
        <v>614.1283321626706</v>
      </c>
      <c r="E71" s="48">
        <f>IFERROR((E70-Inputs!E122)*10000,"n.a.")</f>
        <v>-101.79010179010184</v>
      </c>
      <c r="F71" s="48">
        <f>IFERROR((F70-Inputs!F122)*10000,"n.a.")</f>
        <v>178.5568691398287</v>
      </c>
      <c r="G71" s="48">
        <f>IFERROR((G70-Inputs!G122)*10000,"n.a.")</f>
        <v>620.2527723468663</v>
      </c>
      <c r="H71" s="42">
        <f>IFERROR((H70-C70)*10000,"n.a.")</f>
        <v>137.98627002288345</v>
      </c>
      <c r="I71" s="13"/>
      <c r="J71" s="3"/>
      <c r="K71" s="3"/>
      <c r="L71" s="3"/>
    </row>
    <row r="72">
      <c r="A72" s="3"/>
      <c r="B72" s="2" t="s">
        <v>97</v>
      </c>
      <c r="C72" s="48">
        <f>IFERROR((C70-Inputs!F122)*10000,"n.a.")</f>
        <v>34.74100270438929</v>
      </c>
      <c r="D72" s="52">
        <f>IFERROR((D70-C70)*10000,"n.a.")</f>
        <v>234.07237569803007</v>
      </c>
      <c r="E72" s="52">
        <f>IFERROR((E70-D70)*10000,"n.a.")</f>
        <v>-697.3848069738481</v>
      </c>
      <c r="F72" s="52">
        <f>IFERROR((F70-E70)*10000,"n.a.")</f>
        <v>607.1282977112575</v>
      </c>
      <c r="G72" s="52" t="s">
        <v>33</v>
      </c>
      <c r="H72" s="42">
        <f>IFERROR((H70-F70)*10000,"n.a.")</f>
        <v>-5.829596412555982</v>
      </c>
      <c r="I72" s="13"/>
      <c r="J72" s="3"/>
      <c r="K72" s="3"/>
      <c r="L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L132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6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>
      <c r="A2" s="3"/>
      <c r="B2" s="5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>
      <c r="A3" s="3"/>
      <c r="B3" s="30" t="s">
        <v>164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>
      <c r="A4" s="3"/>
      <c r="B4" s="17" t="s">
        <v>165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>
      <c r="A5" s="3"/>
      <c r="B5" s="31" t="s">
        <v>48</v>
      </c>
      <c r="C5" s="12" t="s">
        <v>49</v>
      </c>
      <c r="D5" s="12" t="s">
        <v>50</v>
      </c>
      <c r="E5" s="12" t="s">
        <v>51</v>
      </c>
      <c r="F5" s="12" t="s">
        <v>52</v>
      </c>
      <c r="G5" s="12" t="s">
        <v>53</v>
      </c>
      <c r="H5" s="12" t="s">
        <v>4</v>
      </c>
      <c r="I5" s="31" t="s">
        <v>54</v>
      </c>
      <c r="J5" s="3"/>
      <c r="K5" s="3"/>
      <c r="L5" s="3"/>
    </row>
    <row r="6">
      <c r="A6" s="3"/>
      <c r="B6" s="22" t="s">
        <v>5</v>
      </c>
      <c r="C6" s="19">
        <v>45930</v>
      </c>
      <c r="D6" s="19">
        <v>46022</v>
      </c>
      <c r="E6" s="19">
        <v>46112</v>
      </c>
      <c r="F6" s="19">
        <v>46203</v>
      </c>
      <c r="G6" s="19">
        <v>46022</v>
      </c>
      <c r="H6" s="19">
        <v>46295</v>
      </c>
      <c r="I6" s="22"/>
      <c r="J6" s="3"/>
      <c r="K6" s="3"/>
      <c r="L6" s="3"/>
    </row>
    <row r="7">
      <c r="A7" s="3"/>
      <c r="B7" s="10" t="s">
        <v>6</v>
      </c>
      <c r="C7" s="28">
        <f>C6-EOMONTH(C6,-3)</f>
        <v>92</v>
      </c>
      <c r="D7" s="28">
        <f>D6-EOMONTH(D6,-3)</f>
        <v>92</v>
      </c>
      <c r="E7" s="28">
        <f>E6-EOMONTH(E6,-3)</f>
        <v>90</v>
      </c>
      <c r="F7" s="28">
        <f>F6-EOMONTH(F6,-3)</f>
        <v>91</v>
      </c>
      <c r="G7" s="28">
        <f>G6-DATE(YEAR(G6)-1,12,31)</f>
        <v>365</v>
      </c>
      <c r="H7" s="28">
        <f>H6-EOMONTH(H6,-3)</f>
        <v>92</v>
      </c>
      <c r="I7" s="10"/>
      <c r="J7" s="3"/>
      <c r="K7" s="3"/>
      <c r="L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>
      <c r="A9" s="3"/>
      <c r="B9" s="27" t="s">
        <v>166</v>
      </c>
      <c r="C9" s="15"/>
      <c r="D9" s="15"/>
      <c r="E9" s="15"/>
      <c r="F9" s="15"/>
      <c r="G9" s="15"/>
      <c r="H9" s="15"/>
      <c r="I9" s="13"/>
      <c r="J9" s="3"/>
      <c r="K9" s="3"/>
      <c r="L9" s="3"/>
    </row>
    <row r="10">
      <c r="A10" s="3"/>
      <c r="B10" s="27" t="s">
        <v>167</v>
      </c>
      <c r="C10" s="47">
        <v>4272</v>
      </c>
      <c r="D10" s="47">
        <v>4531</v>
      </c>
      <c r="E10" s="47">
        <v>4533</v>
      </c>
      <c r="F10" s="47">
        <v>4777</v>
      </c>
      <c r="G10" s="35">
        <f>Inputs!E110+Inputs!F110+C10+D10</f>
        <v>17186</v>
      </c>
      <c r="H10" s="41">
        <f>'Revenue summary'!H28</f>
        <v>4968.834653703102</v>
      </c>
      <c r="I10" s="13" t="s">
        <v>168</v>
      </c>
      <c r="J10" s="3"/>
      <c r="K10" s="3"/>
      <c r="L10" s="3"/>
    </row>
    <row r="11">
      <c r="A11" s="3"/>
      <c r="B11" s="1" t="s">
        <v>57</v>
      </c>
      <c r="C11" s="14">
        <f>IFERROR(IF(Inputs!C110&lt;=0,"n.m.",C10/Inputs!C110-1),"n.a.")</f>
        <v>0.07121364092276838</v>
      </c>
      <c r="D11" s="14">
        <f>IFERROR(IF(Inputs!D110&lt;=0,"n.m.",D10/Inputs!D110-1),"n.a.")</f>
        <v>0.06812824139556817</v>
      </c>
      <c r="E11" s="14">
        <f>IFERROR(IF(Inputs!E110&lt;=0,"n.m.",E10/Inputs!E110-1),"n.a.")</f>
        <v>0.0818615751789975</v>
      </c>
      <c r="F11" s="14">
        <f>IFERROR(IF(Inputs!F110&lt;=0,"n.m.",F10/Inputs!F110-1),"n.a.")</f>
        <v>0.13927975196756504</v>
      </c>
      <c r="G11" s="14">
        <f>IFERROR(IF(Inputs!G110&lt;=0,"n.m.",G10/Inputs!G110-1),"n.a.")</f>
        <v>0.0965354431187393</v>
      </c>
      <c r="H11" s="18">
        <f>IFERROR(IF(C10&lt;=0,"n.m.",H10/C10-1),"n.a.")</f>
        <v>0.16311672605409688</v>
      </c>
      <c r="I11" s="13"/>
      <c r="J11" s="3"/>
      <c r="K11" s="3"/>
      <c r="L11" s="3"/>
    </row>
    <row r="12">
      <c r="A12" s="3"/>
      <c r="B12" s="1" t="s">
        <v>58</v>
      </c>
      <c r="C12" s="14">
        <f>IFERROR(IF(Inputs!F110&lt;=0,"n.m.",C10/Inputs!F110-1),"n.a.")</f>
        <v>0.018840925351776727</v>
      </c>
      <c r="D12" s="11">
        <f>IFERROR(IF(C10&lt;=0,"n.m.",D10/C10-1),"n.a.")</f>
        <v>0.060627340823970144</v>
      </c>
      <c r="E12" s="11">
        <f>IFERROR(IF(D10&lt;=0,"n.m.",E10/D10-1),"n.a.")</f>
        <v>0.0004414036636504193</v>
      </c>
      <c r="F12" s="11">
        <f>IFERROR(IF(E10&lt;=0,"n.m.",F10/E10-1),"n.a.")</f>
        <v>0.05382748731524378</v>
      </c>
      <c r="G12" s="11" t="s">
        <v>33</v>
      </c>
      <c r="H12" s="18">
        <f>IFERROR(IF(F10&lt;=0,"n.m.",H10/F10-1),"n.a.")</f>
        <v>0.04015797649217134</v>
      </c>
      <c r="I12" s="13"/>
      <c r="J12" s="3"/>
      <c r="K12" s="3"/>
      <c r="L12" s="3"/>
    </row>
    <row r="13">
      <c r="A13" s="3"/>
      <c r="B13" s="2" t="s">
        <v>169</v>
      </c>
      <c r="C13" s="44">
        <v>2921</v>
      </c>
      <c r="D13" s="44">
        <v>3032</v>
      </c>
      <c r="E13" s="44">
        <v>3038</v>
      </c>
      <c r="F13" s="44">
        <v>3181</v>
      </c>
      <c r="G13" s="21">
        <f>Inputs!E116+Inputs!F116+C13+D13</f>
        <v>11690</v>
      </c>
      <c r="H13" s="25">
        <f>H10-H15</f>
        <v>3327.730326366658</v>
      </c>
      <c r="I13" s="13"/>
      <c r="J13" s="3"/>
      <c r="K13" s="3"/>
      <c r="L13" s="3"/>
    </row>
    <row r="14">
      <c r="A14" s="3"/>
      <c r="B14" s="1" t="s">
        <v>57</v>
      </c>
      <c r="C14" s="14">
        <f>IFERROR(IF(Inputs!C116&lt;=0,"n.m.",C13/Inputs!C116-1),"n.a.")</f>
        <v>0.06295487627365359</v>
      </c>
      <c r="D14" s="14">
        <f>IFERROR(IF(Inputs!D116&lt;=0,"n.m.",D13/Inputs!D116-1),"n.a.")</f>
        <v>0.05497564370215735</v>
      </c>
      <c r="E14" s="14">
        <f>IFERROR(IF(Inputs!E116&lt;=0,"n.m.",E13/Inputs!E116-1),"n.a.")</f>
        <v>0.060754189944134174</v>
      </c>
      <c r="F14" s="14">
        <f>IFERROR(IF(Inputs!F116&lt;=0,"n.m.",F13/Inputs!F116-1),"n.a.")</f>
        <v>0.10720501218238776</v>
      </c>
      <c r="G14" s="14">
        <f>IFERROR(IF(Inputs!G116&lt;=0,"n.m.",G13/Inputs!G116-1),"n.a.")</f>
        <v>0.06767741346241674</v>
      </c>
      <c r="H14" s="18">
        <f>IFERROR(IF(C13&lt;=0,"n.m.",H13/C13-1),"n.a.")</f>
        <v>0.13924352152230668</v>
      </c>
      <c r="I14" s="13"/>
      <c r="J14" s="3"/>
      <c r="K14" s="3"/>
      <c r="L14" s="3"/>
    </row>
    <row r="15">
      <c r="A15" s="3"/>
      <c r="B15" s="27" t="s">
        <v>170</v>
      </c>
      <c r="C15" s="23">
        <f>C10-C13</f>
        <v>1351</v>
      </c>
      <c r="D15" s="23">
        <f>D10-D13</f>
        <v>1499</v>
      </c>
      <c r="E15" s="23">
        <f>E10-E13</f>
        <v>1495</v>
      </c>
      <c r="F15" s="23">
        <f>F10-F13</f>
        <v>1596</v>
      </c>
      <c r="G15" s="23">
        <f>G10-G13</f>
        <v>5496</v>
      </c>
      <c r="H15" s="41">
        <f>'Segment - Premium'!H58+'Segment - Ad-Supported'!H68</f>
        <v>1641.104327336444</v>
      </c>
      <c r="I15" s="13"/>
      <c r="J15" s="3"/>
      <c r="K15" s="3"/>
      <c r="L15" s="3"/>
    </row>
    <row r="16">
      <c r="A16" s="3"/>
      <c r="B16" s="1" t="s">
        <v>57</v>
      </c>
      <c r="C16" s="14">
        <f>IFERROR(IF(Inputs!C117&lt;=0,"n.m.",C15/Inputs!C117-1),"n.a.")</f>
        <v>0.08951612903225814</v>
      </c>
      <c r="D16" s="14">
        <f>IFERROR(IF(Inputs!D117&lt;=0,"n.m.",D15/Inputs!D117-1),"n.a.")</f>
        <v>0.09576023391812871</v>
      </c>
      <c r="E16" s="14">
        <f>IFERROR(IF(Inputs!E117&lt;=0,"n.m.",E15/Inputs!E117-1),"n.a.")</f>
        <v>0.12745098039215685</v>
      </c>
      <c r="F16" s="14">
        <f>IFERROR(IF(Inputs!F117&lt;=0,"n.m.",F15/Inputs!F117-1),"n.a.")</f>
        <v>0.209090909090909</v>
      </c>
      <c r="G16" s="14">
        <f>IFERROR(IF(Inputs!G117&lt;=0,"n.m.",G15/Inputs!G117-1),"n.a.")</f>
        <v>0.16342082980524975</v>
      </c>
      <c r="H16" s="18">
        <f>IFERROR(IF(C15&lt;=0,"n.m.",H15/C15-1),"n.a.")</f>
        <v>0.214733032817501</v>
      </c>
      <c r="I16" s="13"/>
      <c r="J16" s="3"/>
      <c r="K16" s="3"/>
      <c r="L16" s="3"/>
    </row>
    <row r="17">
      <c r="A17" s="3"/>
      <c r="B17" s="1" t="s">
        <v>32</v>
      </c>
      <c r="C17" s="11">
        <f>C15/C10</f>
        <v>0.31624531835205993</v>
      </c>
      <c r="D17" s="11">
        <f>D15/D10</f>
        <v>0.33083204590598103</v>
      </c>
      <c r="E17" s="11">
        <f>E15/E10</f>
        <v>0.3298036620339731</v>
      </c>
      <c r="F17" s="11">
        <f>F15/F10</f>
        <v>0.3341009001465355</v>
      </c>
      <c r="G17" s="11">
        <f>G15/G10</f>
        <v>0.3197951821249855</v>
      </c>
      <c r="H17" s="18">
        <f>H15/H10</f>
        <v>0.33027952059410653</v>
      </c>
      <c r="I17" s="13"/>
      <c r="J17" s="3"/>
      <c r="K17" s="3"/>
      <c r="L17" s="3"/>
    </row>
    <row r="18">
      <c r="A18" s="3"/>
      <c r="B18" s="2" t="s">
        <v>96</v>
      </c>
      <c r="C18" s="48">
        <f>IFERROR((C17-Inputs!C120)*10000,"n.a.")</f>
        <v>53.12519956874373</v>
      </c>
      <c r="D18" s="48">
        <f>IFERROR((D17-Inputs!D120)*10000,"n.a.")</f>
        <v>83.42654109658565</v>
      </c>
      <c r="E18" s="48">
        <f>IFERROR((E17-Inputs!E120)*10000,"n.a.")</f>
        <v>133.35881604378818</v>
      </c>
      <c r="F18" s="48">
        <f>IFERROR((F17-Inputs!F120)*10000,"n.a.")</f>
        <v>192.90501863683085</v>
      </c>
      <c r="G18" s="48">
        <f>IFERROR((G17-Inputs!G120)*10000,"n.a.")</f>
        <v>183.85113854711756</v>
      </c>
      <c r="H18" s="42">
        <f>IFERROR((H17-C17)*10000,"n.a.")</f>
        <v>140.342022420466</v>
      </c>
      <c r="I18" s="13"/>
      <c r="J18" s="3"/>
      <c r="K18" s="3"/>
      <c r="L18" s="3"/>
    </row>
    <row r="19">
      <c r="A19" s="3"/>
      <c r="B19" s="2" t="s">
        <v>97</v>
      </c>
      <c r="C19" s="48">
        <f>IFERROR((C17-Inputs!F120)*10000,"n.a.")</f>
        <v>14.349200692075348</v>
      </c>
      <c r="D19" s="52">
        <f>IFERROR((D17-C17)*10000,"n.a.")</f>
        <v>145.86727553921097</v>
      </c>
      <c r="E19" s="52">
        <f>IFERROR((E17-D17)*10000,"n.a.")</f>
        <v>-10.28383872007932</v>
      </c>
      <c r="F19" s="52">
        <f>IFERROR((F17-E17)*10000,"n.a.")</f>
        <v>42.97238112562385</v>
      </c>
      <c r="G19" s="52" t="s">
        <v>33</v>
      </c>
      <c r="H19" s="42">
        <f>IFERROR((H17-F17)*10000,"n.a.")</f>
        <v>-38.213795524289495</v>
      </c>
      <c r="I19" s="13"/>
      <c r="J19" s="3"/>
      <c r="K19" s="3"/>
      <c r="L19" s="3"/>
    </row>
    <row r="20">
      <c r="A20" s="3"/>
      <c r="B20" s="1" t="s">
        <v>171</v>
      </c>
      <c r="C20" s="24">
        <f>ROUND('Segment - Premium'!C58+'Segment - Ad-Supported'!C68-C15,6)</f>
        <v>0</v>
      </c>
      <c r="D20" s="24">
        <f>ROUND('Segment - Premium'!D58+'Segment - Ad-Supported'!D68-D15,6)</f>
        <v>0</v>
      </c>
      <c r="E20" s="24">
        <f>ROUND('Segment - Premium'!E58+'Segment - Ad-Supported'!E68-E15,6)</f>
        <v>0</v>
      </c>
      <c r="F20" s="24">
        <f>ROUND('Segment - Premium'!F58+'Segment - Ad-Supported'!F68-F15,6)</f>
        <v>0</v>
      </c>
      <c r="G20" s="24">
        <f>ROUND('Segment - Premium'!G58+'Segment - Ad-Supported'!G68-G15,6)</f>
        <v>0</v>
      </c>
      <c r="H20" s="26">
        <f>ROUND('Segment - Premium'!H58+'Segment - Ad-Supported'!H68-H15,6)</f>
        <v>0</v>
      </c>
      <c r="I20" s="13" t="s">
        <v>172</v>
      </c>
      <c r="J20" s="3"/>
      <c r="K20" s="3"/>
      <c r="L20" s="3"/>
    </row>
    <row r="21">
      <c r="A21" s="3"/>
      <c r="B21" s="2" t="s">
        <v>173</v>
      </c>
      <c r="C21" s="44">
        <v>309</v>
      </c>
      <c r="D21" s="44">
        <v>290</v>
      </c>
      <c r="E21" s="44">
        <v>331</v>
      </c>
      <c r="F21" s="44">
        <v>403</v>
      </c>
      <c r="G21" s="21">
        <f>Inputs!E123+Inputs!F123+C21+D21</f>
        <v>1393</v>
      </c>
      <c r="H21" s="25">
        <f>H99+H91*H101</f>
        <v>416.41813425558155</v>
      </c>
      <c r="I21" s="13"/>
      <c r="J21" s="3"/>
      <c r="K21" s="3"/>
      <c r="L21" s="3"/>
    </row>
    <row r="22">
      <c r="A22" s="3"/>
      <c r="B22" s="1" t="s">
        <v>57</v>
      </c>
      <c r="C22" s="14">
        <f>IFERROR(IF(Inputs!C123&lt;=0,"n.m.",C21/Inputs!C123-1),"n.a.")</f>
        <v>-0.0964912280701754</v>
      </c>
      <c r="D22" s="14">
        <f>IFERROR(IF(Inputs!D123&lt;=0,"n.m.",D21/Inputs!D123-1),"n.a.")</f>
        <v>-0.22872340425531912</v>
      </c>
      <c r="E22" s="14">
        <f>IFERROR(IF(Inputs!E123&lt;=0,"n.m.",E21/Inputs!E123-1),"n.a.")</f>
        <v>-0.1266490765171504</v>
      </c>
      <c r="F22" s="14">
        <f>IFERROR(IF(Inputs!F123&lt;=0,"n.m.",F21/Inputs!F123-1),"n.a.")</f>
        <v>-0.028915662650602414</v>
      </c>
      <c r="G22" s="14">
        <f>IFERROR(IF(Inputs!G123&lt;=0,"n.m.",G21/Inputs!G123-1),"n.a.")</f>
        <v>-0.06258411843876177</v>
      </c>
      <c r="H22" s="18">
        <f>IFERROR(IF(C21&lt;=0,"n.m.",H21/C21-1),"n.a.")</f>
        <v>0.34763150244524765</v>
      </c>
      <c r="I22" s="13"/>
      <c r="J22" s="3"/>
      <c r="K22" s="3"/>
      <c r="L22" s="3"/>
    </row>
    <row r="23">
      <c r="A23" s="3"/>
      <c r="B23" s="1" t="s">
        <v>174</v>
      </c>
      <c r="C23" s="11">
        <f>C21/C10</f>
        <v>0.0723314606741573</v>
      </c>
      <c r="D23" s="11">
        <f>D21/D10</f>
        <v>0.0640035312293092</v>
      </c>
      <c r="E23" s="11">
        <f>E21/E10</f>
        <v>0.0730200750055151</v>
      </c>
      <c r="F23" s="11">
        <f>F21/F10</f>
        <v>0.08436257065103621</v>
      </c>
      <c r="G23" s="11">
        <f>G21/G10</f>
        <v>0.08105434656115443</v>
      </c>
      <c r="H23" s="18">
        <f>H21/H10</f>
        <v>0.08380599542495128</v>
      </c>
      <c r="I23" s="13"/>
      <c r="J23" s="3"/>
      <c r="K23" s="3"/>
      <c r="L23" s="3"/>
    </row>
    <row r="24">
      <c r="A24" s="3"/>
      <c r="B24" s="2" t="s">
        <v>175</v>
      </c>
      <c r="C24" s="48">
        <f>IFERROR((C23-Inputs!C129)*10000,"n.a.")</f>
        <v>-134.25811141289046</v>
      </c>
      <c r="D24" s="48">
        <f>IFERROR((D23-Inputs!D129)*10000,"n.a.")</f>
        <v>-246.33903942779438</v>
      </c>
      <c r="E24" s="48">
        <f>IFERROR((E23-Inputs!E129)*10000,"n.a.")</f>
        <v>-174.33385615009956</v>
      </c>
      <c r="F24" s="48">
        <f>IFERROR((F23-Inputs!F129)*10000,"n.a.")</f>
        <v>-146.119106272848</v>
      </c>
      <c r="G24" s="48">
        <f>IFERROR((G23-Inputs!G129)*10000,"n.a.")</f>
        <v>-137.58388716073932</v>
      </c>
      <c r="H24" s="42">
        <f>IFERROR((H23-C23)*10000,"n.a.")</f>
        <v>114.74534750793977</v>
      </c>
      <c r="I24" s="13"/>
      <c r="J24" s="3"/>
      <c r="K24" s="3"/>
      <c r="L24" s="3"/>
    </row>
    <row r="25">
      <c r="A25" s="3"/>
      <c r="B25" s="2" t="s">
        <v>110</v>
      </c>
      <c r="C25" s="48">
        <f>IFERROR((C23-Inputs!F129)*10000,"n.a.")</f>
        <v>-266.43020604163706</v>
      </c>
      <c r="D25" s="52">
        <f>IFERROR((D23-C23)*10000,"n.a.")</f>
        <v>-83.27929444848101</v>
      </c>
      <c r="E25" s="52">
        <f>IFERROR((E23-D23)*10000,"n.a.")</f>
        <v>90.16543776205907</v>
      </c>
      <c r="F25" s="52">
        <f>IFERROR((F23-E23)*10000,"n.a.")</f>
        <v>113.42495645521103</v>
      </c>
      <c r="G25" s="52" t="s">
        <v>33</v>
      </c>
      <c r="H25" s="42">
        <f>IFERROR((H23-F23)*10000,"n.a.")</f>
        <v>-5.5657522608493215</v>
      </c>
      <c r="I25" s="13"/>
      <c r="J25" s="3"/>
      <c r="K25" s="3"/>
      <c r="L25" s="3"/>
    </row>
    <row r="26">
      <c r="A26" s="3"/>
      <c r="B26" s="2" t="s">
        <v>176</v>
      </c>
      <c r="C26" s="44">
        <v>349</v>
      </c>
      <c r="D26" s="44">
        <v>399</v>
      </c>
      <c r="E26" s="44">
        <v>342</v>
      </c>
      <c r="F26" s="44">
        <v>390</v>
      </c>
      <c r="G26" s="21">
        <f>Inputs!E124+Inputs!F124+C26+D26</f>
        <v>1426</v>
      </c>
      <c r="H26" s="25">
        <f>H102+H91*H104</f>
        <v>404.93529121507885</v>
      </c>
      <c r="I26" s="13"/>
      <c r="J26" s="3"/>
      <c r="K26" s="3"/>
      <c r="L26" s="3"/>
    </row>
    <row r="27">
      <c r="A27" s="3"/>
      <c r="B27" s="1" t="s">
        <v>57</v>
      </c>
      <c r="C27" s="14">
        <f>IFERROR(IF(Inputs!C124&lt;=0,"n.m.",C26/Inputs!C124-1),"n.a.")</f>
        <v>0.051204819277108404</v>
      </c>
      <c r="D27" s="14">
        <f>IFERROR(IF(Inputs!D124&lt;=0,"n.m.",D26/Inputs!D124-1),"n.a.")</f>
        <v>0.01526717557251911</v>
      </c>
      <c r="E27" s="14">
        <f>IFERROR(IF(Inputs!E124&lt;=0,"n.m.",E26/Inputs!E124-1),"n.a.")</f>
        <v>0.08917197452229297</v>
      </c>
      <c r="F27" s="14">
        <f>IFERROR(IF(Inputs!F124&lt;=0,"n.m.",F26/Inputs!F124-1),"n.a.")</f>
        <v>0.0714285714285714</v>
      </c>
      <c r="G27" s="14">
        <f>IFERROR(IF(Inputs!G124&lt;=0,"n.m.",G26/Inputs!G124-1),"n.a.")</f>
        <v>0.024425287356321768</v>
      </c>
      <c r="H27" s="18">
        <f>IFERROR(IF(C26&lt;=0,"n.m.",H26/C26-1),"n.a.")</f>
        <v>0.160273040730885</v>
      </c>
      <c r="I27" s="13"/>
      <c r="J27" s="3"/>
      <c r="K27" s="3"/>
      <c r="L27" s="3"/>
    </row>
    <row r="28">
      <c r="A28" s="3"/>
      <c r="B28" s="1" t="s">
        <v>174</v>
      </c>
      <c r="C28" s="11">
        <f>C26/C10</f>
        <v>0.08169475655430712</v>
      </c>
      <c r="D28" s="11">
        <f>D26/D10</f>
        <v>0.08806003089825645</v>
      </c>
      <c r="E28" s="11">
        <f>E26/E10</f>
        <v>0.07544672402382528</v>
      </c>
      <c r="F28" s="11">
        <f>F26/F10</f>
        <v>0.0816411974042286</v>
      </c>
      <c r="G28" s="11">
        <f>G26/G10</f>
        <v>0.0829745141394158</v>
      </c>
      <c r="H28" s="18">
        <f>H26/H10</f>
        <v>0.08149502236169087</v>
      </c>
      <c r="I28" s="13"/>
      <c r="J28" s="3"/>
      <c r="K28" s="3"/>
      <c r="L28" s="3"/>
    </row>
    <row r="29">
      <c r="A29" s="3"/>
      <c r="B29" s="2" t="s">
        <v>175</v>
      </c>
      <c r="C29" s="48">
        <f>IFERROR((C28-Inputs!C130)*10000,"n.a.")</f>
        <v>-15.549926934361052</v>
      </c>
      <c r="D29" s="48">
        <f>IFERROR((D28-Inputs!D130)*10000,"n.a.")</f>
        <v>-45.84947885336185</v>
      </c>
      <c r="E29" s="48">
        <f>IFERROR((E28-Inputs!E130)*10000,"n.a.")</f>
        <v>5.063898949470014</v>
      </c>
      <c r="F29" s="48">
        <f>IFERROR((F28-Inputs!F130)*10000,"n.a.")</f>
        <v>-51.70154849527667</v>
      </c>
      <c r="G29" s="48">
        <f>IFERROR((G28-Inputs!G130)*10000,"n.a.")</f>
        <v>-58.40645689589502</v>
      </c>
      <c r="H29" s="42">
        <f>IFERROR((H28-C28)*10000,"n.a.")</f>
        <v>-1.9973419261624936</v>
      </c>
      <c r="I29" s="13"/>
      <c r="J29" s="3"/>
      <c r="K29" s="3"/>
      <c r="L29" s="3"/>
    </row>
    <row r="30">
      <c r="A30" s="3"/>
      <c r="B30" s="2" t="s">
        <v>110</v>
      </c>
      <c r="C30" s="48">
        <f>IFERROR((C28-Inputs!F130)*10000,"n.a.")</f>
        <v>-51.16595699449139</v>
      </c>
      <c r="D30" s="52">
        <f>IFERROR((D28-C28)*10000,"n.a.")</f>
        <v>63.652743439493314</v>
      </c>
      <c r="E30" s="52">
        <f>IFERROR((E28-D28)*10000,"n.a.")</f>
        <v>-126.13306874431171</v>
      </c>
      <c r="F30" s="52">
        <f>IFERROR((F28-E28)*10000,"n.a.")</f>
        <v>61.94473380403312</v>
      </c>
      <c r="G30" s="52" t="s">
        <v>33</v>
      </c>
      <c r="H30" s="42">
        <f>IFERROR((H28-F28)*10000,"n.a.")</f>
        <v>-1.4617504253772173</v>
      </c>
      <c r="I30" s="13"/>
      <c r="J30" s="3"/>
      <c r="K30" s="3"/>
      <c r="L30" s="3"/>
    </row>
    <row r="31">
      <c r="A31" s="3"/>
      <c r="B31" s="2" t="s">
        <v>177</v>
      </c>
      <c r="C31" s="44">
        <v>111</v>
      </c>
      <c r="D31" s="44">
        <v>109</v>
      </c>
      <c r="E31" s="44">
        <v>107</v>
      </c>
      <c r="F31" s="44">
        <v>148</v>
      </c>
      <c r="G31" s="21">
        <f>Inputs!E125+Inputs!F125+C31+D31</f>
        <v>479</v>
      </c>
      <c r="H31" s="25">
        <f>H105+H91*H107</f>
        <v>151.44775153802993</v>
      </c>
      <c r="I31" s="13"/>
      <c r="J31" s="3"/>
      <c r="K31" s="3"/>
      <c r="L31" s="3"/>
    </row>
    <row r="32">
      <c r="A32" s="3"/>
      <c r="B32" s="1" t="s">
        <v>57</v>
      </c>
      <c r="C32" s="14">
        <f>IFERROR(IF(Inputs!C125&lt;=0,"n.m.",C31/Inputs!C125-1),"n.a.")</f>
        <v>-0.008928571428571397</v>
      </c>
      <c r="D32" s="14">
        <f>IFERROR(IF(Inputs!D125&lt;=0,"n.m.",D31/Inputs!D125-1),"n.a.")</f>
        <v>-0.10655737704918034</v>
      </c>
      <c r="E32" s="14">
        <f>IFERROR(IF(Inputs!E125&lt;=0,"n.m.",E31/Inputs!E125-1),"n.a.")</f>
        <v>-0.13709677419354838</v>
      </c>
      <c r="F32" s="14">
        <f>IFERROR(IF(Inputs!F125&lt;=0,"n.m.",F31/Inputs!F125-1),"n.a.")</f>
        <v>0.09629629629629632</v>
      </c>
      <c r="G32" s="14">
        <f>IFERROR(IF(Inputs!G125&lt;=0,"n.m.",G31/Inputs!G125-1),"n.a.")</f>
        <v>-0.004158004158004158</v>
      </c>
      <c r="H32" s="18">
        <f>IFERROR(IF(C31&lt;=0,"n.m.",H31/C31-1),"n.a.")</f>
        <v>0.36439415800026964</v>
      </c>
      <c r="I32" s="13"/>
      <c r="J32" s="3"/>
      <c r="K32" s="3"/>
      <c r="L32" s="3"/>
    </row>
    <row r="33">
      <c r="A33" s="3"/>
      <c r="B33" s="1" t="s">
        <v>174</v>
      </c>
      <c r="C33" s="11">
        <f>C31/C10</f>
        <v>0.02598314606741573</v>
      </c>
      <c r="D33" s="11">
        <f>D31/D10</f>
        <v>0.024056499668947254</v>
      </c>
      <c r="E33" s="11">
        <f>E31/E10</f>
        <v>0.02360467681447165</v>
      </c>
      <c r="F33" s="11">
        <f>F31/F10</f>
        <v>0.030981787732886748</v>
      </c>
      <c r="G33" s="11">
        <f>G31/G10</f>
        <v>0.02787152333294542</v>
      </c>
      <c r="H33" s="18">
        <f>H31/H10</f>
        <v>0.03047953133742559</v>
      </c>
      <c r="I33" s="13"/>
      <c r="J33" s="3"/>
      <c r="K33" s="3"/>
      <c r="L33" s="3"/>
    </row>
    <row r="34">
      <c r="A34" s="3"/>
      <c r="B34" s="2" t="s">
        <v>175</v>
      </c>
      <c r="C34" s="48">
        <f>IFERROR((C33-Inputs!C131)*10000,"n.a.")</f>
        <v>-21.01106690859094</v>
      </c>
      <c r="D34" s="48">
        <f>IFERROR((D33-Inputs!D131)*10000,"n.a.")</f>
        <v>-47.03519190081506</v>
      </c>
      <c r="E34" s="48">
        <f>IFERROR((E33-Inputs!E131)*10000,"n.a.")</f>
        <v>-59.89595261900665</v>
      </c>
      <c r="F34" s="48">
        <f>IFERROR((F33-Inputs!F131)*10000,"n.a.")</f>
        <v>-12.14730273314063</v>
      </c>
      <c r="G34" s="48">
        <f>IFERROR((G33-Inputs!G131)*10000,"n.a.")</f>
        <v>-28.18197843600233</v>
      </c>
      <c r="H34" s="42">
        <f>IFERROR((H33-C33)*10000,"n.a.")</f>
        <v>44.963852700098606</v>
      </c>
      <c r="I34" s="13"/>
      <c r="J34" s="3"/>
      <c r="K34" s="3"/>
      <c r="L34" s="3"/>
    </row>
    <row r="35">
      <c r="A35" s="3"/>
      <c r="B35" s="2" t="s">
        <v>110</v>
      </c>
      <c r="C35" s="48">
        <f>IFERROR((C33-Inputs!F131)*10000,"n.a.")</f>
        <v>-62.133719387850796</v>
      </c>
      <c r="D35" s="52">
        <f>IFERROR((D33-C33)*10000,"n.a.")</f>
        <v>-19.266463984684776</v>
      </c>
      <c r="E35" s="52">
        <f>IFERROR((E33-D33)*10000,"n.a.")</f>
        <v>-4.518228544756024</v>
      </c>
      <c r="F35" s="52">
        <f>IFERROR((F33-E33)*10000,"n.a.")</f>
        <v>73.77110918415097</v>
      </c>
      <c r="G35" s="52" t="s">
        <v>33</v>
      </c>
      <c r="H35" s="42">
        <f>IFERROR((H33-F33)*10000,"n.a.")</f>
        <v>-5.022563954611564</v>
      </c>
      <c r="I35" s="13"/>
      <c r="J35" s="3"/>
      <c r="K35" s="3"/>
      <c r="L35" s="3"/>
    </row>
    <row r="36">
      <c r="A36" s="3"/>
      <c r="B36" s="27" t="s">
        <v>178</v>
      </c>
      <c r="C36" s="23">
        <f>SUM(C21,C26,C31)</f>
        <v>769</v>
      </c>
      <c r="D36" s="23">
        <f>SUM(D21,D26,D31)</f>
        <v>798</v>
      </c>
      <c r="E36" s="23">
        <f>SUM(E21,E26,E31)</f>
        <v>780</v>
      </c>
      <c r="F36" s="23">
        <f>SUM(F21,F26,F31)</f>
        <v>941</v>
      </c>
      <c r="G36" s="23">
        <f>SUM(G21,G26,G31)</f>
        <v>3298</v>
      </c>
      <c r="H36" s="38">
        <f>SUM(H21,H26,H31)</f>
        <v>972.8011770086903</v>
      </c>
      <c r="I36" s="13"/>
      <c r="J36" s="3"/>
      <c r="K36" s="3"/>
      <c r="L36" s="3"/>
    </row>
    <row r="37">
      <c r="A37" s="3"/>
      <c r="B37" s="1" t="s">
        <v>57</v>
      </c>
      <c r="C37" s="14">
        <f>IFERROR(IF(Inputs!C126&lt;=0,"n.m.",C36/Inputs!C126-1),"n.a.")</f>
        <v>-0.021628498727735423</v>
      </c>
      <c r="D37" s="14">
        <f>IFERROR(IF(Inputs!D126&lt;=0,"n.m.",D36/Inputs!D126-1),"n.a.")</f>
        <v>-0.10437710437710435</v>
      </c>
      <c r="E37" s="14">
        <f>IFERROR(IF(Inputs!E126&lt;=0,"n.m.",E36/Inputs!E126-1),"n.a.")</f>
        <v>-0.04528763769889843</v>
      </c>
      <c r="F37" s="14">
        <f>IFERROR(IF(Inputs!F126&lt;=0,"n.m.",F36/Inputs!F126-1),"n.a.")</f>
        <v>0.029540481400437635</v>
      </c>
      <c r="G37" s="14">
        <f>IFERROR(IF(Inputs!G126&lt;=0,"n.m.",G36/Inputs!G126-1),"n.a.")</f>
        <v>-0.01816016671628462</v>
      </c>
      <c r="H37" s="18">
        <f>IFERROR(IF(C36&lt;=0,"n.m.",H36/C36-1),"n.a.")</f>
        <v>0.2650210364222241</v>
      </c>
      <c r="I37" s="13"/>
      <c r="J37" s="3"/>
      <c r="K37" s="3"/>
      <c r="L37" s="3"/>
    </row>
    <row r="38">
      <c r="A38" s="3"/>
      <c r="B38" s="1" t="s">
        <v>179</v>
      </c>
      <c r="C38" s="11">
        <f>C36/C10</f>
        <v>0.18000936329588016</v>
      </c>
      <c r="D38" s="11">
        <f>D36/D10</f>
        <v>0.1761200617965129</v>
      </c>
      <c r="E38" s="11">
        <f>E36/E10</f>
        <v>0.17207147584381205</v>
      </c>
      <c r="F38" s="11">
        <f>F36/F10</f>
        <v>0.19698555578815155</v>
      </c>
      <c r="G38" s="11">
        <f>G36/G10</f>
        <v>0.19190038403351564</v>
      </c>
      <c r="H38" s="18">
        <f>H36/H10</f>
        <v>0.19578054912406773</v>
      </c>
      <c r="I38" s="13"/>
      <c r="J38" s="3"/>
      <c r="K38" s="3"/>
      <c r="L38" s="3"/>
    </row>
    <row r="39">
      <c r="A39" s="3"/>
      <c r="B39" s="2" t="s">
        <v>175</v>
      </c>
      <c r="C39" s="48">
        <f>IFERROR((C38-Inputs!C132)*10000,"n.a.")</f>
        <v>-170.8191052558422</v>
      </c>
      <c r="D39" s="48">
        <f>IFERROR((D38-Inputs!D132)*10000,"n.a.")</f>
        <v>-339.22371018197146</v>
      </c>
      <c r="E39" s="48">
        <f>IFERROR((E38-Inputs!E132)*10000,"n.a.")</f>
        <v>-229.16590981963608</v>
      </c>
      <c r="F39" s="48">
        <f>IFERROR((F38-Inputs!F132)*10000,"n.a.")</f>
        <v>-209.9679575012653</v>
      </c>
      <c r="G39" s="48">
        <f>IFERROR((G38-Inputs!G132)*10000,"n.a.")</f>
        <v>-224.17232249263645</v>
      </c>
      <c r="H39" s="42">
        <f>IFERROR((H38-C38)*10000,"n.a.")</f>
        <v>157.71185828187566</v>
      </c>
      <c r="I39" s="13"/>
      <c r="J39" s="3"/>
      <c r="K39" s="3"/>
      <c r="L39" s="3"/>
    </row>
    <row r="40" ht="14.624267578125">
      <c r="A40" s="3"/>
      <c r="B40" s="2" t="s">
        <v>110</v>
      </c>
      <c r="C40" s="48">
        <f>IFERROR((C38-Inputs!F132)*10000,"n.a.")</f>
        <v>-379.7298824239792</v>
      </c>
      <c r="D40" s="52">
        <f>IFERROR((D38-C38)*10000,"n.a.")</f>
        <v>-38.89301499367254</v>
      </c>
      <c r="E40" s="52">
        <f>IFERROR((E38-D38)*10000,"n.a.")</f>
        <v>-40.48585952700856</v>
      </c>
      <c r="F40" s="52">
        <f>IFERROR((F38-E38)*10000,"n.a.")</f>
        <v>249.14079944339503</v>
      </c>
      <c r="G40" s="52" t="s">
        <v>33</v>
      </c>
      <c r="H40" s="42">
        <f>IFERROR((H38-F38)*10000,"n.a.")</f>
        <v>-12.050066640838242</v>
      </c>
      <c r="I40" s="13"/>
      <c r="J40" s="3"/>
      <c r="K40" s="3"/>
      <c r="L40" s="3"/>
    </row>
    <row r="41">
      <c r="A41" s="3"/>
      <c r="B41" s="27" t="s">
        <v>180</v>
      </c>
      <c r="C41" s="23">
        <f>C15-C36</f>
        <v>582</v>
      </c>
      <c r="D41" s="23">
        <f>D15-D36</f>
        <v>701</v>
      </c>
      <c r="E41" s="23">
        <f>E15-E36</f>
        <v>715</v>
      </c>
      <c r="F41" s="23">
        <f>F15-F36</f>
        <v>655</v>
      </c>
      <c r="G41" s="23">
        <f>G15-G36</f>
        <v>2198</v>
      </c>
      <c r="H41" s="38">
        <f>H15-H36</f>
        <v>668.3031503277537</v>
      </c>
      <c r="I41" s="13"/>
      <c r="J41" s="3"/>
      <c r="K41" s="3"/>
      <c r="L41" s="3"/>
    </row>
    <row r="42">
      <c r="A42" s="3"/>
      <c r="B42" s="1" t="s">
        <v>57</v>
      </c>
      <c r="C42" s="14">
        <f>IFERROR(IF(Inputs!C127&lt;=0,"n.m.",C41/Inputs!C127-1),"n.a.")</f>
        <v>0.2819383259911894</v>
      </c>
      <c r="D42" s="14">
        <f>IFERROR(IF(Inputs!D127&lt;=0,"n.m.",D41/Inputs!D127-1),"n.a.")</f>
        <v>0.46960167714884693</v>
      </c>
      <c r="E42" s="14">
        <f>IFERROR(IF(Inputs!E127&lt;=0,"n.m.",E41/Inputs!E127-1),"n.a.")</f>
        <v>0.4047151277013752</v>
      </c>
      <c r="F42" s="14">
        <f>IFERROR(IF(Inputs!F127&lt;=0,"n.m.",F41/Inputs!F127-1),"n.a.")</f>
        <v>0.6133004926108374</v>
      </c>
      <c r="G42" s="14">
        <f>IFERROR(IF(Inputs!G127&lt;=0,"n.m.",G41/Inputs!G127-1),"n.a.")</f>
        <v>0.6102564102564103</v>
      </c>
      <c r="H42" s="18">
        <f>IFERROR(IF(C41&lt;=0,"n.m.",H41/C41-1),"n.a.")</f>
        <v>0.14828719987586547</v>
      </c>
      <c r="I42" s="13"/>
      <c r="J42" s="3"/>
      <c r="K42" s="3"/>
      <c r="L42" s="3"/>
    </row>
    <row r="43">
      <c r="A43" s="3"/>
      <c r="B43" s="1" t="s">
        <v>181</v>
      </c>
      <c r="C43" s="11">
        <f>C41/C10</f>
        <v>0.13623595505617977</v>
      </c>
      <c r="D43" s="11">
        <f>D41/D10</f>
        <v>0.1547119841094681</v>
      </c>
      <c r="E43" s="11">
        <f>E41/E10</f>
        <v>0.15773218619016105</v>
      </c>
      <c r="F43" s="11">
        <f>F41/F10</f>
        <v>0.13711534435838393</v>
      </c>
      <c r="G43" s="11">
        <f>G41/G10</f>
        <v>0.1278947980914698</v>
      </c>
      <c r="H43" s="18">
        <f>H41/H10</f>
        <v>0.1344989714700388</v>
      </c>
      <c r="I43" s="13"/>
      <c r="J43" s="3"/>
      <c r="K43" s="3"/>
      <c r="L43" s="3"/>
    </row>
    <row r="44">
      <c r="A44" s="3"/>
      <c r="B44" s="2" t="s">
        <v>96</v>
      </c>
      <c r="C44" s="48">
        <f>IFERROR((C43-Inputs!C128)*10000,"n.a.")</f>
        <v>223.94430482458608</v>
      </c>
      <c r="D44" s="48">
        <f>IFERROR((D43-Inputs!D128)*10000,"n.a.")</f>
        <v>422.65025127855654</v>
      </c>
      <c r="E44" s="48">
        <f>IFERROR((E43-Inputs!E128)*10000,"n.a.")</f>
        <v>362.5247258634244</v>
      </c>
      <c r="F44" s="48">
        <f>IFERROR((F43-Inputs!F128)*10000,"n.a.")</f>
        <v>402.8729761380964</v>
      </c>
      <c r="G44" s="48">
        <f>IFERROR((G43-Inputs!G128)*10000,"n.a.")</f>
        <v>408.0234610397539</v>
      </c>
      <c r="H44" s="42">
        <f>IFERROR((H43-C43)*10000,"n.a.")</f>
        <v>-17.369835861409666</v>
      </c>
      <c r="I44" s="13"/>
      <c r="J44" s="3"/>
      <c r="K44" s="3"/>
      <c r="L44" s="3"/>
    </row>
    <row r="45">
      <c r="A45" s="3"/>
      <c r="B45" s="2" t="s">
        <v>97</v>
      </c>
      <c r="C45" s="48">
        <f>IFERROR((C43-Inputs!F128)*10000,"n.a.")</f>
        <v>394.07908311605485</v>
      </c>
      <c r="D45" s="52">
        <f>IFERROR((D43-C43)*10000,"n.a.")</f>
        <v>184.76029053288323</v>
      </c>
      <c r="E45" s="52">
        <f>IFERROR((E43-D43)*10000,"n.a.")</f>
        <v>30.202020806929518</v>
      </c>
      <c r="F45" s="52">
        <f>IFERROR((F43-E43)*10000,"n.a.")</f>
        <v>-206.16841831777117</v>
      </c>
      <c r="G45" s="52" t="s">
        <v>33</v>
      </c>
      <c r="H45" s="42">
        <f>IFERROR((H43-F43)*10000,"n.a.")</f>
        <v>-26.163728883451252</v>
      </c>
      <c r="I45" s="13"/>
      <c r="J45" s="3"/>
      <c r="K45" s="3"/>
      <c r="L45" s="3"/>
    </row>
    <row r="46">
      <c r="A46" s="3"/>
      <c r="B46" s="2" t="s">
        <v>182</v>
      </c>
      <c r="C46" s="16">
        <f>C41+C91</f>
        <v>566</v>
      </c>
      <c r="D46" s="16">
        <f>D41+D91</f>
        <v>651</v>
      </c>
      <c r="E46" s="16">
        <f>E41+E91</f>
        <v>676</v>
      </c>
      <c r="F46" s="16">
        <f>F41+F91</f>
        <v>656</v>
      </c>
      <c r="G46" s="16">
        <f>G41+G91</f>
        <v>2322</v>
      </c>
      <c r="H46" s="25">
        <f>H41+H91</f>
        <v>690.2243273364439</v>
      </c>
      <c r="I46" s="13" t="s">
        <v>183</v>
      </c>
      <c r="J46" s="3"/>
      <c r="K46" s="3"/>
      <c r="L46" s="3"/>
    </row>
    <row r="47" ht="71.25">
      <c r="A47" s="3"/>
      <c r="B47" s="2" t="s">
        <v>184</v>
      </c>
      <c r="C47" s="44">
        <v>262</v>
      </c>
      <c r="D47" s="44">
        <v>349</v>
      </c>
      <c r="E47" s="44">
        <v>248</v>
      </c>
      <c r="F47" s="44">
        <v>86</v>
      </c>
      <c r="G47" s="21">
        <f>Inputs!E135+Inputs!F135+C47+D47</f>
        <v>771</v>
      </c>
      <c r="H47" s="25">
        <f>H117</f>
        <v>53</v>
      </c>
      <c r="I47" s="104" t="s">
        <v>185</v>
      </c>
      <c r="J47" s="3"/>
      <c r="K47" s="3"/>
      <c r="L47" s="3"/>
    </row>
    <row r="48" ht="26.25">
      <c r="A48" s="3"/>
      <c r="B48" s="2" t="s">
        <v>186</v>
      </c>
      <c r="C48" s="44">
        <v>-17</v>
      </c>
      <c r="D48" s="44">
        <v>-29</v>
      </c>
      <c r="E48" s="44">
        <v>-26</v>
      </c>
      <c r="F48" s="44">
        <v>-21</v>
      </c>
      <c r="G48" s="21">
        <f>Inputs!E136+Inputs!F136+C48+D48</f>
        <v>-745</v>
      </c>
      <c r="H48" s="25">
        <f>H123</f>
        <v>-17</v>
      </c>
      <c r="I48" s="104" t="s">
        <v>187</v>
      </c>
      <c r="J48" s="3"/>
      <c r="K48" s="3"/>
      <c r="L48" s="3"/>
    </row>
    <row r="49" ht="14.624267578125">
      <c r="A49" s="3"/>
      <c r="B49" s="27" t="s">
        <v>188</v>
      </c>
      <c r="C49" s="23">
        <f>C47+C48</f>
        <v>245</v>
      </c>
      <c r="D49" s="23">
        <f>D47+D48</f>
        <v>320</v>
      </c>
      <c r="E49" s="23">
        <f>E47+E48</f>
        <v>222</v>
      </c>
      <c r="F49" s="23">
        <f>F47+F48</f>
        <v>65</v>
      </c>
      <c r="G49" s="23">
        <f>G47+G48</f>
        <v>26</v>
      </c>
      <c r="H49" s="38">
        <f>H47+H48</f>
        <v>36</v>
      </c>
      <c r="I49" s="13"/>
      <c r="J49" s="3"/>
      <c r="K49" s="3"/>
      <c r="L49" s="3"/>
    </row>
    <row r="50">
      <c r="A50" s="3"/>
      <c r="B50" s="27" t="s">
        <v>189</v>
      </c>
      <c r="C50" s="23">
        <f>C41+C49</f>
        <v>827</v>
      </c>
      <c r="D50" s="23">
        <f>D41+D49</f>
        <v>1021</v>
      </c>
      <c r="E50" s="23">
        <f>E41+E49</f>
        <v>937</v>
      </c>
      <c r="F50" s="23">
        <f>F41+F49</f>
        <v>720</v>
      </c>
      <c r="G50" s="23">
        <f>G41+G49</f>
        <v>2224</v>
      </c>
      <c r="H50" s="38">
        <f>H41+H49</f>
        <v>704.3031503277537</v>
      </c>
      <c r="I50" s="13"/>
      <c r="J50" s="3"/>
      <c r="K50" s="3"/>
      <c r="L50" s="3"/>
    </row>
    <row r="51">
      <c r="A51" s="3"/>
      <c r="B51" s="1" t="s">
        <v>57</v>
      </c>
      <c r="C51" s="14">
        <f>IFERROR(IF(Inputs!C137&lt;=0,"n.m.",C50/Inputs!C137-1),"n.a.")</f>
        <v>1.0778894472361809</v>
      </c>
      <c r="D51" s="14">
        <f>IFERROR(IF(Inputs!D137&lt;=0,"n.m.",D50/Inputs!D137-1),"n.a.")</f>
        <v>1.0460921843687374</v>
      </c>
      <c r="E51" s="14">
        <f>IFERROR(IF(Inputs!E137&lt;=0,"n.m.",E50/Inputs!E137-1),"n.a.")</f>
        <v>1.856707317073171</v>
      </c>
      <c r="F51" s="14">
        <f>IFERROR(IF(Inputs!F137&lt;=0,"n.m.",F50/Inputs!F137-1),"n.a.")</f>
        <v>14</v>
      </c>
      <c r="G51" s="14">
        <f>IFERROR(IF(Inputs!G137&lt;=0,"n.m.",G50/Inputs!G137-1),"n.a.")</f>
        <v>0.6584638329604773</v>
      </c>
      <c r="H51" s="18">
        <f>IFERROR(IF(C50&lt;=0,"n.m.",H50/C50-1),"n.a.")</f>
        <v>-0.14836378436789155</v>
      </c>
      <c r="I51" s="13"/>
      <c r="J51" s="3"/>
      <c r="K51" s="3"/>
      <c r="L51" s="3"/>
    </row>
    <row r="52" ht="26.25">
      <c r="A52" s="3"/>
      <c r="B52" s="2" t="s">
        <v>190</v>
      </c>
      <c r="C52" s="44">
        <v>-72</v>
      </c>
      <c r="D52" s="44">
        <v>-153</v>
      </c>
      <c r="E52" s="44">
        <v>216</v>
      </c>
      <c r="F52" s="44">
        <v>175</v>
      </c>
      <c r="G52" s="21">
        <f>Inputs!E138+Inputs!F138+C52+D52</f>
        <v>12</v>
      </c>
      <c r="H52" s="25">
        <f>H50*H53</f>
        <v>158.4682088237446</v>
      </c>
      <c r="I52" s="104" t="s">
        <v>191</v>
      </c>
      <c r="J52" s="3"/>
      <c r="K52" s="3"/>
      <c r="L52" s="3"/>
    </row>
    <row r="53" ht="37.5">
      <c r="A53" s="3"/>
      <c r="B53" s="1" t="s">
        <v>192</v>
      </c>
      <c r="C53" s="11">
        <f>C52/C50</f>
        <v>-0.08706166868198308</v>
      </c>
      <c r="D53" s="11">
        <f>D52/D50</f>
        <v>-0.14985308521057786</v>
      </c>
      <c r="E53" s="11">
        <f>E52/E50</f>
        <v>0.2305229455709712</v>
      </c>
      <c r="F53" s="11">
        <f>F52/F50</f>
        <v>0.24305555555555555</v>
      </c>
      <c r="G53" s="11">
        <f>G52/G50</f>
        <v>0.00539568345323741</v>
      </c>
      <c r="H53" s="62">
        <v>0.225</v>
      </c>
      <c r="I53" s="104" t="s">
        <v>193</v>
      </c>
      <c r="J53" s="3"/>
      <c r="K53" s="3"/>
      <c r="L53" s="3"/>
    </row>
    <row r="54">
      <c r="A54" s="3"/>
      <c r="B54" s="2" t="s">
        <v>96</v>
      </c>
      <c r="C54" s="48" t="str">
        <f>IFERROR(IF(OR(C50&lt;=0,Inputs!C137&lt;=0,C53&lt;0,C53&gt;1,Inputs!C139&lt;0,Inputs!C139&gt;1),"n.m.",(C53-Inputs!C139)*10000),"n.a.")</f>
        <v>n.m.</v>
      </c>
      <c r="D54" s="48" t="str">
        <f>IFERROR(IF(OR(D50&lt;=0,Inputs!D137&lt;=0,D53&lt;0,D53&gt;1,Inputs!D139&lt;0,Inputs!D139&gt;1),"n.m.",(D53-Inputs!D139)*10000),"n.a.")</f>
        <v>n.m.</v>
      </c>
      <c r="E54" s="48">
        <f>IFERROR(IF(OR(E50&lt;=0,Inputs!E137&lt;=0,E53&lt;0,E53&gt;1,Inputs!E139&lt;0,Inputs!E139&gt;1),"n.m.",(E53-Inputs!E139)*10000),"n.a.")</f>
        <v>-835.0144467293125</v>
      </c>
      <c r="F54" s="48" t="str">
        <f>IFERROR(IF(OR(F50&lt;=0,Inputs!F137&lt;=0,F53&lt;0,F53&gt;1,Inputs!F139&lt;0,Inputs!F139&gt;1),"n.m.",(F53-Inputs!F139)*10000),"n.a.")</f>
        <v>n.m.</v>
      </c>
      <c r="G54" s="48">
        <f>IFERROR(IF(OR(G50&lt;=0,Inputs!G137&lt;=0,G53&lt;0,G53&gt;1,Inputs!G139&lt;0,Inputs!G139&gt;1),"n.m.",(G53-Inputs!G139)*10000),"n.a.")</f>
        <v>-1459.8388403371262</v>
      </c>
      <c r="H54" s="42" t="str">
        <f>IFERROR(IF(OR(H50&lt;=0,C50&lt;=0,H53&lt;0,H53&gt;1,C53&lt;0,C53&gt;1),"n.m.",(H53-C53)*10000),"n.a.")</f>
        <v>n.m.</v>
      </c>
      <c r="I54" s="13"/>
      <c r="J54" s="3"/>
      <c r="K54" s="3"/>
      <c r="L54" s="3"/>
    </row>
    <row r="55">
      <c r="A55" s="3"/>
      <c r="B55" s="2" t="s">
        <v>97</v>
      </c>
      <c r="C55" s="48" t="str">
        <f>IFERROR(IF(OR(C50&lt;=0,Inputs!F137&lt;=0,C53&lt;0,C53&gt;1,Inputs!F139&lt;0,Inputs!F139&gt;1),"n.m.",(C53-Inputs!F139)*10000),"n.a.")</f>
        <v>n.m.</v>
      </c>
      <c r="D55" s="52" t="str">
        <f>IFERROR(IF(OR(D50&lt;=0,C50&lt;=0,D53&lt;0,D53&gt;1,C53&lt;0,C53&gt;1),"n.m.",(D53-C53)*10000),"n.a.")</f>
        <v>n.m.</v>
      </c>
      <c r="E55" s="52" t="str">
        <f>IFERROR(IF(OR(E50&lt;=0,D50&lt;=0,E53&lt;0,E53&gt;1,D53&lt;0,D53&gt;1),"n.m.",(E53-D53)*10000),"n.a.")</f>
        <v>n.m.</v>
      </c>
      <c r="F55" s="52">
        <f>IFERROR(IF(OR(F50&lt;=0,E50&lt;=0,F53&lt;0,F53&gt;1,E53&lt;0,E53&gt;1),"n.m.",(F53-E53)*10000),"n.a.")</f>
        <v>125.32609984584359</v>
      </c>
      <c r="G55" s="52" t="s">
        <v>33</v>
      </c>
      <c r="H55" s="42">
        <f>IFERROR(IF(OR(H50&lt;=0,F50&lt;=0,H53&lt;0,H53&gt;1,F53&lt;0,F53&gt;1),"n.m.",(H53-F53)*10000),"n.a.")</f>
        <v>-180.55555555555546</v>
      </c>
      <c r="I55" s="13"/>
      <c r="J55" s="3"/>
      <c r="K55" s="3"/>
      <c r="L55" s="3"/>
    </row>
    <row r="56" ht="23.24853515625">
      <c r="A56" s="3"/>
      <c r="B56" s="27" t="s">
        <v>194</v>
      </c>
      <c r="C56" s="23">
        <f>C50-C52</f>
        <v>899</v>
      </c>
      <c r="D56" s="23">
        <f>D50-D52</f>
        <v>1174</v>
      </c>
      <c r="E56" s="23">
        <f>E50-E52</f>
        <v>721</v>
      </c>
      <c r="F56" s="23">
        <f>F50-F52</f>
        <v>545</v>
      </c>
      <c r="G56" s="23">
        <f>G50-G52</f>
        <v>2212</v>
      </c>
      <c r="H56" s="38">
        <f>H50-H52</f>
        <v>545.8349415040091</v>
      </c>
      <c r="I56" s="13" t="s">
        <v>195</v>
      </c>
      <c r="J56" s="3"/>
      <c r="K56" s="3"/>
      <c r="L56" s="3"/>
    </row>
    <row r="57">
      <c r="A57" s="3"/>
      <c r="B57" s="1" t="s">
        <v>57</v>
      </c>
      <c r="C57" s="14">
        <f>IFERROR(IF(Inputs!C140&lt;=0,"n.m.",C56/Inputs!C140-1),"n.a.")</f>
        <v>1.9966666666666666</v>
      </c>
      <c r="D57" s="14">
        <f>IFERROR(IF(Inputs!D140&lt;=0,"n.m.",D56/Inputs!D140-1),"n.a.")</f>
        <v>2.198910081743869</v>
      </c>
      <c r="E57" s="14">
        <f>IFERROR(IF(Inputs!E140&lt;=0,"n.m.",E56/Inputs!E140-1),"n.a.")</f>
        <v>2.2044444444444444</v>
      </c>
      <c r="F57" s="14" t="str">
        <f>IFERROR(IF(Inputs!F140&lt;=0,"n.m.",F56/Inputs!F140-1),"n.a.")</f>
        <v>n.m.</v>
      </c>
      <c r="G57" s="14">
        <f>IFERROR(IF(Inputs!G140&lt;=0,"n.m.",G56/Inputs!G140-1),"n.a.")</f>
        <v>0.9437609841827768</v>
      </c>
      <c r="H57" s="18">
        <f>IFERROR(IF(C56&lt;=0,"n.m.",H56/C56-1),"n.a.")</f>
        <v>-0.39284211178641926</v>
      </c>
      <c r="I57" s="13"/>
      <c r="J57" s="3"/>
      <c r="K57" s="3"/>
      <c r="L57" s="3"/>
    </row>
    <row r="58">
      <c r="A58" s="3"/>
      <c r="B58" s="1" t="s">
        <v>196</v>
      </c>
      <c r="C58" s="11">
        <f>C56/C10</f>
        <v>0.21044007490636704</v>
      </c>
      <c r="D58" s="11">
        <f>D56/D10</f>
        <v>0.2591039505627897</v>
      </c>
      <c r="E58" s="11">
        <f>E56/E10</f>
        <v>0.15905581292742113</v>
      </c>
      <c r="F58" s="11">
        <f>F56/F10</f>
        <v>0.11408833996231944</v>
      </c>
      <c r="G58" s="11">
        <f>G56/G10</f>
        <v>0.1287094146398231</v>
      </c>
      <c r="H58" s="18">
        <f>H56/H10</f>
        <v>0.10985170156491664</v>
      </c>
      <c r="I58" s="13"/>
      <c r="J58" s="3"/>
      <c r="K58" s="3"/>
      <c r="L58" s="3"/>
    </row>
    <row r="59">
      <c r="A59" s="3"/>
      <c r="B59" s="2" t="s">
        <v>96</v>
      </c>
      <c r="C59" s="48">
        <f>IFERROR((C58-Inputs!C141)*10000,"n.a.")</f>
        <v>1352.1439787527377</v>
      </c>
      <c r="D59" s="48">
        <f>IFERROR((D58-Inputs!D141)*10000,"n.a.")</f>
        <v>1725.8815612620315</v>
      </c>
      <c r="E59" s="48">
        <f>IFERROR((E58-Inputs!E141)*10000,"n.a.")</f>
        <v>1053.5652891787458</v>
      </c>
      <c r="F59" s="48">
        <f>IFERROR((F58-Inputs!F141)*10000,"n.a.")</f>
        <v>1345.9871439589922</v>
      </c>
      <c r="G59" s="48">
        <f>IFERROR((G58-Inputs!G141)*10000,"n.a.")</f>
        <v>561.0046931984608</v>
      </c>
      <c r="H59" s="42">
        <f>IFERROR((H58-C58)*10000,"n.a.")</f>
        <v>-1005.883733414504</v>
      </c>
      <c r="I59" s="13"/>
      <c r="J59" s="3"/>
      <c r="K59" s="3"/>
      <c r="L59" s="3"/>
    </row>
    <row r="60">
      <c r="A60" s="3"/>
      <c r="B60" s="2" t="s">
        <v>97</v>
      </c>
      <c r="C60" s="48">
        <f>IFERROR((C58-Inputs!F141)*10000,"n.a.")</f>
        <v>2309.504493399468</v>
      </c>
      <c r="D60" s="52">
        <f>IFERROR((D58-C58)*10000,"n.a.")</f>
        <v>486.63875656422636</v>
      </c>
      <c r="E60" s="52">
        <f>IFERROR((E58-D58)*10000,"n.a.")</f>
        <v>-1000.4813763536854</v>
      </c>
      <c r="F60" s="52">
        <f>IFERROR((F58-E58)*10000,"n.a.")</f>
        <v>-449.6747296510169</v>
      </c>
      <c r="G60" s="52" t="s">
        <v>33</v>
      </c>
      <c r="H60" s="42">
        <f>IFERROR((H58-F58)*10000,"n.a.")</f>
        <v>-42.36638397402806</v>
      </c>
      <c r="I60" s="13"/>
      <c r="J60" s="3"/>
      <c r="K60" s="3"/>
      <c r="L60" s="3"/>
    </row>
    <row r="61" ht="26.25">
      <c r="A61" s="3"/>
      <c r="B61" s="2" t="s">
        <v>197</v>
      </c>
      <c r="C61" s="16" t="s">
        <v>33</v>
      </c>
      <c r="D61" s="16" t="s">
        <v>33</v>
      </c>
      <c r="E61" s="16" t="s">
        <v>33</v>
      </c>
      <c r="F61" s="16" t="s">
        <v>33</v>
      </c>
      <c r="G61" s="16" t="s">
        <v>33</v>
      </c>
      <c r="H61" s="25" t="s">
        <v>33</v>
      </c>
      <c r="I61" s="104" t="s">
        <v>198</v>
      </c>
      <c r="J61" s="3"/>
      <c r="K61" s="3"/>
      <c r="L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>
      <c r="A63" s="3"/>
      <c r="B63" s="27" t="s">
        <v>199</v>
      </c>
      <c r="C63" s="15"/>
      <c r="D63" s="15"/>
      <c r="E63" s="15"/>
      <c r="F63" s="15"/>
      <c r="G63" s="15"/>
      <c r="H63" s="15"/>
      <c r="I63" s="13"/>
      <c r="J63" s="3"/>
      <c r="K63" s="3"/>
      <c r="L63" s="3"/>
    </row>
    <row r="64" ht="26.25">
      <c r="A64" s="3"/>
      <c r="B64" s="2" t="s">
        <v>200</v>
      </c>
      <c r="C64" s="16">
        <f>-C112</f>
        <v>-197</v>
      </c>
      <c r="D64" s="44">
        <v>-232</v>
      </c>
      <c r="E64" s="44">
        <v>0</v>
      </c>
      <c r="F64" s="44">
        <v>0</v>
      </c>
      <c r="G64" s="44">
        <v>0</v>
      </c>
      <c r="H64" s="25">
        <f>-H112</f>
        <v>0</v>
      </c>
      <c r="I64" s="104" t="s">
        <v>201</v>
      </c>
      <c r="J64" s="3"/>
      <c r="K64" s="3"/>
      <c r="L64" s="3"/>
    </row>
    <row r="65" ht="14.624267578125">
      <c r="A65" s="3"/>
      <c r="B65" s="27" t="s">
        <v>202</v>
      </c>
      <c r="C65" s="23">
        <f>C56+C64</f>
        <v>702</v>
      </c>
      <c r="D65" s="23">
        <f>D56+D64</f>
        <v>942</v>
      </c>
      <c r="E65" s="23">
        <f>E56+E64</f>
        <v>721</v>
      </c>
      <c r="F65" s="23">
        <f>F56+F64</f>
        <v>545</v>
      </c>
      <c r="G65" s="23">
        <f>G56+G64</f>
        <v>2212</v>
      </c>
      <c r="H65" s="38">
        <f>H56+H64</f>
        <v>545.8349415040091</v>
      </c>
      <c r="I65" s="13"/>
      <c r="J65" s="3"/>
      <c r="K65" s="3"/>
      <c r="L65" s="3"/>
    </row>
    <row r="66" ht="14.624267578125">
      <c r="A66" s="3"/>
      <c r="B66" s="2" t="s">
        <v>203</v>
      </c>
      <c r="C66" s="21">
        <f>'Share Count'!C10</f>
        <v>205.964504</v>
      </c>
      <c r="D66" s="21">
        <f>'Share Count'!D10</f>
        <v>205.771982</v>
      </c>
      <c r="E66" s="21">
        <f>'Share Count'!E10</f>
        <v>205.716853</v>
      </c>
      <c r="F66" s="21">
        <f>'Share Count'!F10</f>
        <v>205.788241</v>
      </c>
      <c r="G66" s="21">
        <f>'Share Count'!G10</f>
        <v>205.412951</v>
      </c>
      <c r="H66" s="20">
        <f>'Share Count'!H10</f>
        <v>205.7861821764706</v>
      </c>
      <c r="I66" s="13"/>
      <c r="J66" s="3"/>
      <c r="K66" s="3"/>
      <c r="L66" s="3"/>
    </row>
    <row r="67">
      <c r="A67" s="3"/>
      <c r="B67" s="2" t="s">
        <v>204</v>
      </c>
      <c r="C67" s="21">
        <f>'Share Count'!C17</f>
        <v>213.789735</v>
      </c>
      <c r="D67" s="21">
        <f>'Share Count'!D17</f>
        <v>212.49331800000002</v>
      </c>
      <c r="E67" s="21">
        <f>'Share Count'!E17</f>
        <v>209.28044899999998</v>
      </c>
      <c r="F67" s="21">
        <f>'Share Count'!F17</f>
        <v>208.85846899999999</v>
      </c>
      <c r="G67" s="21">
        <f>'Share Count'!G17</f>
        <v>210.509173</v>
      </c>
      <c r="H67" s="20">
        <f>'Share Count'!H17</f>
        <v>208.98618217647058</v>
      </c>
      <c r="I67" s="13"/>
      <c r="J67" s="3"/>
      <c r="K67" s="3"/>
      <c r="L67" s="3"/>
    </row>
    <row r="68" ht="23.24853515625">
      <c r="A68" s="3"/>
      <c r="B68" s="2" t="s">
        <v>205</v>
      </c>
      <c r="C68" s="36">
        <f>C56/C66</f>
        <v>4.364829776688123</v>
      </c>
      <c r="D68" s="36">
        <f>D56/D66</f>
        <v>5.7053442776286225</v>
      </c>
      <c r="E68" s="36">
        <f>E56/E66</f>
        <v>3.5048173714770954</v>
      </c>
      <c r="F68" s="36">
        <f>F56/F66</f>
        <v>2.6483534596128844</v>
      </c>
      <c r="G68" s="36">
        <f>G56/G66</f>
        <v>10.768551784254344</v>
      </c>
      <c r="H68" s="64">
        <f>H56/H66</f>
        <v>2.6524372809245857</v>
      </c>
      <c r="I68" s="13"/>
      <c r="J68" s="3"/>
      <c r="K68" s="3"/>
      <c r="L68" s="3"/>
    </row>
    <row r="69">
      <c r="A69" s="3"/>
      <c r="B69" s="27" t="s">
        <v>206</v>
      </c>
      <c r="C69" s="33">
        <f>C65/C67</f>
        <v>3.283600122335153</v>
      </c>
      <c r="D69" s="33">
        <f>D65/D67</f>
        <v>4.433080573385371</v>
      </c>
      <c r="E69" s="33">
        <f>E65/E67</f>
        <v>3.4451378685641108</v>
      </c>
      <c r="F69" s="33">
        <f>F65/F67</f>
        <v>2.609422555903156</v>
      </c>
      <c r="G69" s="33">
        <f>G65/G67</f>
        <v>10.507855636295716</v>
      </c>
      <c r="H69" s="71">
        <f>H65/H67</f>
        <v>2.611823115860833</v>
      </c>
      <c r="I69" s="13"/>
      <c r="J69" s="3"/>
      <c r="K69" s="3"/>
      <c r="L69" s="3"/>
    </row>
    <row r="70" ht="23.24853515625">
      <c r="A70" s="3"/>
      <c r="B70" s="1" t="s">
        <v>57</v>
      </c>
      <c r="C70" s="14">
        <f>IFERROR(IF(Inputs!C146&lt;=0,"n.m.",C69/Inputs!C146-1),"n.a.")</f>
        <v>1.2700567561861655</v>
      </c>
      <c r="D70" s="14">
        <f>IFERROR(IF(Inputs!D146&lt;=0,"n.m.",D69/Inputs!D146-1),"n.a.")</f>
        <v>1.5247119223708792</v>
      </c>
      <c r="E70" s="14">
        <f>IFERROR(IF(Inputs!E146&lt;=0,"n.m.",E69/Inputs!E146-1),"n.a.")</f>
        <v>2.2191900785618914</v>
      </c>
      <c r="F70" s="14" t="str">
        <f>IFERROR(IF(Inputs!F146&lt;=0,"n.m.",F69/Inputs!F146-1),"n.a.")</f>
        <v>n.m.</v>
      </c>
      <c r="G70" s="14">
        <f>IFERROR(IF(Inputs!G146&lt;=0,"n.m.",G69/Inputs!G146-1),"n.a.")</f>
        <v>0.9112696973247627</v>
      </c>
      <c r="H70" s="18">
        <f>IFERROR(IF(C69&lt;=0,"n.m.",H69/C69-1),"n.a.")</f>
        <v>-0.20458551024677796</v>
      </c>
      <c r="I70" s="13"/>
      <c r="J70" s="3"/>
      <c r="K70" s="3"/>
      <c r="L70" s="3"/>
    </row>
    <row r="71">
      <c r="A71" s="3"/>
      <c r="B71" s="2" t="s">
        <v>207</v>
      </c>
      <c r="C71" s="67">
        <v>3.28</v>
      </c>
      <c r="D71" s="67">
        <v>4.43</v>
      </c>
      <c r="E71" s="67">
        <v>3.45</v>
      </c>
      <c r="F71" s="67">
        <v>2.61</v>
      </c>
      <c r="G71" s="67">
        <v>10.51</v>
      </c>
      <c r="H71" s="64" t="s">
        <v>33</v>
      </c>
      <c r="I71" s="13" t="s">
        <v>208</v>
      </c>
      <c r="J71" s="3"/>
      <c r="K71" s="3"/>
      <c r="L71" s="3"/>
    </row>
    <row r="72" ht="23.24853515625">
      <c r="A72" s="3"/>
      <c r="B72" s="2" t="s">
        <v>209</v>
      </c>
      <c r="C72" s="67">
        <v>4.36</v>
      </c>
      <c r="D72" s="67">
        <v>5.71</v>
      </c>
      <c r="E72" s="67">
        <v>3.5</v>
      </c>
      <c r="F72" s="67">
        <v>2.65</v>
      </c>
      <c r="G72" s="67">
        <v>10.77</v>
      </c>
      <c r="H72" s="64" t="s">
        <v>33</v>
      </c>
      <c r="I72" s="13"/>
      <c r="J72" s="3"/>
      <c r="K72" s="3"/>
      <c r="L72" s="3"/>
    </row>
    <row r="73">
      <c r="A73" s="3"/>
      <c r="B73" s="1" t="s">
        <v>210</v>
      </c>
      <c r="C73" s="69">
        <f>ROUND(C69,2)-C71</f>
        <v>0</v>
      </c>
      <c r="D73" s="69">
        <f>ROUND(D69,2)-D71</f>
        <v>0</v>
      </c>
      <c r="E73" s="69">
        <f>ROUND(E69,2)-E71</f>
        <v>0</v>
      </c>
      <c r="F73" s="69">
        <f>ROUND(F69,2)-F71</f>
        <v>0</v>
      </c>
      <c r="G73" s="69">
        <f>ROUND(G69,2)-G71</f>
        <v>0</v>
      </c>
      <c r="H73" s="70" t="s">
        <v>33</v>
      </c>
      <c r="I73" s="13" t="s">
        <v>211</v>
      </c>
      <c r="J73" s="3"/>
      <c r="K73" s="3"/>
      <c r="L73" s="3"/>
    </row>
    <row r="74">
      <c r="A74" s="3"/>
      <c r="B74" s="1" t="s">
        <v>212</v>
      </c>
      <c r="C74" s="69">
        <f>ROUND(C69-C65/C67,9)</f>
        <v>0</v>
      </c>
      <c r="D74" s="69">
        <f>ROUND(D69-D65/D67,9)</f>
        <v>0</v>
      </c>
      <c r="E74" s="69">
        <f>ROUND(E69-E65/E67,9)</f>
        <v>0</v>
      </c>
      <c r="F74" s="69">
        <f>ROUND(F69-F65/F67,9)</f>
        <v>0</v>
      </c>
      <c r="G74" s="69">
        <f>ROUND(G69-G65/G67,9)</f>
        <v>0</v>
      </c>
      <c r="H74" s="70">
        <f>ROUND(H69-H65/H67,9)</f>
        <v>0</v>
      </c>
      <c r="I74" s="13" t="s">
        <v>213</v>
      </c>
      <c r="J74" s="3"/>
      <c r="K74" s="3"/>
      <c r="L74" s="3"/>
    </row>
    <row r="75" ht="14.6242675781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>
      <c r="A76" s="3"/>
      <c r="B76" s="27" t="s">
        <v>214</v>
      </c>
      <c r="C76" s="15"/>
      <c r="D76" s="15"/>
      <c r="E76" s="15"/>
      <c r="F76" s="15"/>
      <c r="G76" s="15"/>
      <c r="H76" s="15"/>
      <c r="I76" s="13"/>
      <c r="J76" s="3"/>
      <c r="K76" s="3"/>
      <c r="L76" s="3"/>
    </row>
    <row r="77" ht="14.624267578125">
      <c r="A77" s="3"/>
      <c r="B77" s="2" t="s">
        <v>215</v>
      </c>
      <c r="C77" s="16">
        <f>C65</f>
        <v>702</v>
      </c>
      <c r="D77" s="16">
        <f>D65</f>
        <v>942</v>
      </c>
      <c r="E77" s="16">
        <f>E65</f>
        <v>721</v>
      </c>
      <c r="F77" s="16">
        <f>F65</f>
        <v>545</v>
      </c>
      <c r="G77" s="16">
        <f>G65</f>
        <v>2212</v>
      </c>
      <c r="H77" s="25">
        <f>H65</f>
        <v>545.8349415040091</v>
      </c>
      <c r="I77" s="13"/>
      <c r="J77" s="3"/>
      <c r="K77" s="3"/>
      <c r="L77" s="3"/>
    </row>
    <row r="78" ht="26.25">
      <c r="A78" s="3"/>
      <c r="B78" s="2" t="s">
        <v>216</v>
      </c>
      <c r="C78" s="44">
        <v>0</v>
      </c>
      <c r="D78" s="44">
        <v>0</v>
      </c>
      <c r="E78" s="44">
        <v>0</v>
      </c>
      <c r="F78" s="44">
        <v>0</v>
      </c>
      <c r="G78" s="44">
        <v>0</v>
      </c>
      <c r="H78" s="45">
        <v>0</v>
      </c>
      <c r="I78" s="104" t="s">
        <v>217</v>
      </c>
      <c r="J78" s="3"/>
      <c r="K78" s="3"/>
      <c r="L78" s="3"/>
    </row>
    <row r="79">
      <c r="A79" s="3"/>
      <c r="B79" s="2" t="s">
        <v>218</v>
      </c>
      <c r="C79" s="44">
        <v>0</v>
      </c>
      <c r="D79" s="44">
        <v>0</v>
      </c>
      <c r="E79" s="44">
        <v>0</v>
      </c>
      <c r="F79" s="44">
        <v>0</v>
      </c>
      <c r="G79" s="44">
        <v>0</v>
      </c>
      <c r="H79" s="45">
        <v>0</v>
      </c>
      <c r="I79" s="13" t="s">
        <v>219</v>
      </c>
      <c r="J79" s="3"/>
      <c r="K79" s="3"/>
      <c r="L79" s="3"/>
    </row>
    <row r="80">
      <c r="A80" s="3"/>
      <c r="B80" s="2" t="s">
        <v>220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5">
        <v>0</v>
      </c>
      <c r="I80" s="13" t="s">
        <v>221</v>
      </c>
      <c r="J80" s="3"/>
      <c r="K80" s="3"/>
      <c r="L80" s="3"/>
    </row>
    <row r="81">
      <c r="A81" s="3"/>
      <c r="B81" s="2" t="s">
        <v>222</v>
      </c>
      <c r="C81" s="44">
        <v>0</v>
      </c>
      <c r="D81" s="44">
        <v>0</v>
      </c>
      <c r="E81" s="44">
        <v>0</v>
      </c>
      <c r="F81" s="44">
        <v>0</v>
      </c>
      <c r="G81" s="44">
        <v>0</v>
      </c>
      <c r="H81" s="45">
        <v>0</v>
      </c>
      <c r="I81" s="13"/>
      <c r="J81" s="3"/>
      <c r="K81" s="3"/>
      <c r="L81" s="3"/>
    </row>
    <row r="82" ht="23.24853515625">
      <c r="A82" s="3"/>
      <c r="B82" s="27" t="s">
        <v>223</v>
      </c>
      <c r="C82" s="23">
        <f>C77+SUM(C78:C81)</f>
        <v>702</v>
      </c>
      <c r="D82" s="23">
        <f>D77+SUM(D78:D81)</f>
        <v>942</v>
      </c>
      <c r="E82" s="23">
        <f>E77+SUM(E78:E81)</f>
        <v>721</v>
      </c>
      <c r="F82" s="23">
        <f>F77+SUM(F78:F81)</f>
        <v>545</v>
      </c>
      <c r="G82" s="23">
        <f>G77+SUM(G78:G81)</f>
        <v>2212</v>
      </c>
      <c r="H82" s="38">
        <f>H77+SUM(H78:H81)</f>
        <v>545.8349415040091</v>
      </c>
      <c r="I82" s="13"/>
      <c r="J82" s="3"/>
      <c r="K82" s="3"/>
      <c r="L82" s="3"/>
    </row>
    <row r="83">
      <c r="A83" s="3"/>
      <c r="B83" s="27" t="s">
        <v>224</v>
      </c>
      <c r="C83" s="33">
        <f>C82/C67</f>
        <v>3.283600122335153</v>
      </c>
      <c r="D83" s="33">
        <f>D82/D67</f>
        <v>4.433080573385371</v>
      </c>
      <c r="E83" s="33">
        <f>E82/E67</f>
        <v>3.4451378685641108</v>
      </c>
      <c r="F83" s="33">
        <f>F82/F67</f>
        <v>2.609422555903156</v>
      </c>
      <c r="G83" s="33">
        <f>G82/G67</f>
        <v>10.507855636295716</v>
      </c>
      <c r="H83" s="71">
        <f>H82/H67</f>
        <v>2.611823115860833</v>
      </c>
      <c r="I83" s="13" t="s">
        <v>225</v>
      </c>
      <c r="J83" s="3"/>
      <c r="K83" s="3"/>
      <c r="L83" s="3"/>
    </row>
    <row r="84">
      <c r="A84" s="3"/>
      <c r="B84" s="2" t="s">
        <v>226</v>
      </c>
      <c r="C84" s="43">
        <f>Inputs!E102</f>
        <v>3.28</v>
      </c>
      <c r="D84" s="43">
        <f>Inputs!E103</f>
        <v>4.43</v>
      </c>
      <c r="E84" s="43">
        <f>Inputs!E104</f>
        <v>3.45</v>
      </c>
      <c r="F84" s="43">
        <f>Inputs!E105</f>
        <v>2.61</v>
      </c>
      <c r="G84" s="36" t="s">
        <v>33</v>
      </c>
      <c r="H84" s="64" t="s">
        <v>33</v>
      </c>
      <c r="I84" s="13"/>
      <c r="J84" s="3"/>
      <c r="K84" s="3"/>
      <c r="L84" s="3"/>
    </row>
    <row r="85">
      <c r="A85" s="3"/>
      <c r="B85" s="1" t="s">
        <v>227</v>
      </c>
      <c r="C85" s="69">
        <f>ROUND(C83,2)-C84</f>
        <v>0</v>
      </c>
      <c r="D85" s="69">
        <f>ROUND(D83,2)-D84</f>
        <v>0</v>
      </c>
      <c r="E85" s="69">
        <f>ROUND(E83,2)-E84</f>
        <v>0</v>
      </c>
      <c r="F85" s="69">
        <f>ROUND(F83,2)-F84</f>
        <v>0</v>
      </c>
      <c r="G85" s="69" t="s">
        <v>33</v>
      </c>
      <c r="H85" s="70" t="s">
        <v>33</v>
      </c>
      <c r="I85" s="13" t="s">
        <v>228</v>
      </c>
      <c r="J85" s="3"/>
      <c r="K85" s="3"/>
      <c r="L85" s="3"/>
    </row>
    <row r="86">
      <c r="A86" s="3"/>
      <c r="B86" s="2" t="s">
        <v>229</v>
      </c>
      <c r="C86" s="43">
        <f>Inputs!D102</f>
        <v>2.13</v>
      </c>
      <c r="D86" s="43">
        <f>Inputs!D103</f>
        <v>2.84</v>
      </c>
      <c r="E86" s="43">
        <f>Inputs!D104</f>
        <v>2.92</v>
      </c>
      <c r="F86" s="43">
        <f>Inputs!D105</f>
        <v>2.8</v>
      </c>
      <c r="G86" s="36" t="s">
        <v>33</v>
      </c>
      <c r="H86" s="56">
        <f>Inputs!C18</f>
        <v>2.85</v>
      </c>
      <c r="I86" s="13" t="s">
        <v>230</v>
      </c>
      <c r="J86" s="3"/>
      <c r="K86" s="3"/>
      <c r="L86" s="3"/>
    </row>
    <row r="87">
      <c r="A87" s="3"/>
      <c r="B87" s="2" t="s">
        <v>231</v>
      </c>
      <c r="C87" s="36">
        <f>C84-C86</f>
        <v>1.15</v>
      </c>
      <c r="D87" s="36">
        <f>D84-D86</f>
        <v>1.5899999999999999</v>
      </c>
      <c r="E87" s="36">
        <f>E84-E86</f>
        <v>0.5300000000000002</v>
      </c>
      <c r="F87" s="36">
        <f>F84-F86</f>
        <v>-0.18999999999999995</v>
      </c>
      <c r="G87" s="36" t="s">
        <v>33</v>
      </c>
      <c r="H87" s="64">
        <f>H83-H86</f>
        <v>-0.23817688413916693</v>
      </c>
      <c r="I87" s="13" t="s">
        <v>232</v>
      </c>
      <c r="J87" s="3"/>
      <c r="K87" s="3"/>
      <c r="L87" s="3"/>
    </row>
    <row r="88" ht="23.24853515625">
      <c r="A88" s="3"/>
      <c r="B88" s="2" t="s">
        <v>233</v>
      </c>
      <c r="C88" s="43">
        <f>Inputs!F102</f>
        <v>2.02</v>
      </c>
      <c r="D88" s="43">
        <f>Inputs!F103</f>
        <v>2.78</v>
      </c>
      <c r="E88" s="43">
        <f>Inputs!F104</f>
        <v>2.94</v>
      </c>
      <c r="F88" s="43">
        <f>Inputs!F105</f>
        <v>2.75</v>
      </c>
      <c r="G88" s="36" t="s">
        <v>33</v>
      </c>
      <c r="H88" s="56">
        <f>Inputs!C51</f>
        <v>2.81</v>
      </c>
      <c r="I88" s="13"/>
      <c r="J88" s="3"/>
      <c r="K88" s="3"/>
      <c r="L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>
      <c r="A90" s="3"/>
      <c r="B90" s="27" t="s">
        <v>234</v>
      </c>
      <c r="C90" s="15"/>
      <c r="D90" s="15"/>
      <c r="E90" s="15"/>
      <c r="F90" s="15"/>
      <c r="G90" s="15"/>
      <c r="H90" s="66"/>
      <c r="I90" s="13"/>
      <c r="J90" s="3"/>
      <c r="K90" s="3"/>
      <c r="L90" s="3"/>
    </row>
    <row r="91">
      <c r="A91" s="3"/>
      <c r="B91" s="2" t="s">
        <v>235</v>
      </c>
      <c r="C91" s="44">
        <v>-16</v>
      </c>
      <c r="D91" s="44">
        <v>-50</v>
      </c>
      <c r="E91" s="44">
        <v>-39</v>
      </c>
      <c r="F91" s="44">
        <v>1</v>
      </c>
      <c r="G91" s="21">
        <f>Inputs!E133+Inputs!F133+C91+D91</f>
        <v>124</v>
      </c>
      <c r="H91" s="25">
        <f>H92+H97*(H95/H98)</f>
        <v>21.92117700869033</v>
      </c>
      <c r="I91" s="13" t="s">
        <v>236</v>
      </c>
      <c r="J91" s="3"/>
      <c r="K91" s="3"/>
      <c r="L91" s="3"/>
    </row>
    <row r="92" ht="23.24853515625">
      <c r="A92" s="3"/>
      <c r="B92" s="2" t="s">
        <v>237</v>
      </c>
      <c r="C92" s="21">
        <f>Guidance!G15</f>
        <v>25</v>
      </c>
      <c r="D92" s="21">
        <f>Guidance!G23</f>
        <v>17</v>
      </c>
      <c r="E92" s="21">
        <f>Guidance!G31</f>
        <v>10</v>
      </c>
      <c r="F92" s="21">
        <f>Guidance!G39</f>
        <v>10</v>
      </c>
      <c r="G92" s="16" t="s">
        <v>33</v>
      </c>
      <c r="H92" s="20">
        <f>Guidance!G47</f>
        <v>9</v>
      </c>
      <c r="I92" s="13" t="s">
        <v>238</v>
      </c>
      <c r="J92" s="3"/>
      <c r="K92" s="3"/>
      <c r="L92" s="3"/>
    </row>
    <row r="93">
      <c r="A93" s="3"/>
      <c r="B93" s="2" t="s">
        <v>239</v>
      </c>
      <c r="C93" s="16">
        <f>C91-C92</f>
        <v>-41</v>
      </c>
      <c r="D93" s="16">
        <f>D91-D92</f>
        <v>-67</v>
      </c>
      <c r="E93" s="16">
        <f>E91-E92</f>
        <v>-49</v>
      </c>
      <c r="F93" s="16">
        <f>F91-F92</f>
        <v>-9</v>
      </c>
      <c r="G93" s="16" t="s">
        <v>33</v>
      </c>
      <c r="H93" s="25">
        <f>H91-H92</f>
        <v>12.921177008690329</v>
      </c>
      <c r="I93" s="13"/>
      <c r="J93" s="3"/>
      <c r="K93" s="3"/>
      <c r="L93" s="3"/>
    </row>
    <row r="94">
      <c r="A94" s="3"/>
      <c r="B94" s="2" t="s">
        <v>240</v>
      </c>
      <c r="C94" s="67">
        <v>698</v>
      </c>
      <c r="D94" s="67">
        <v>580.71</v>
      </c>
      <c r="E94" s="67">
        <v>484.91</v>
      </c>
      <c r="F94" s="67">
        <v>459.13</v>
      </c>
      <c r="G94" s="36" t="s">
        <v>33</v>
      </c>
      <c r="H94" s="63">
        <v>487.38</v>
      </c>
      <c r="I94" s="13" t="s">
        <v>241</v>
      </c>
      <c r="J94" s="3"/>
      <c r="K94" s="3"/>
      <c r="L94" s="3"/>
    </row>
    <row r="95">
      <c r="A95" s="3"/>
      <c r="B95" s="1" t="s">
        <v>242</v>
      </c>
      <c r="C95" s="11" t="s">
        <v>33</v>
      </c>
      <c r="D95" s="11">
        <f>D94/C94-1</f>
        <v>-0.1680372492836676</v>
      </c>
      <c r="E95" s="11">
        <f>E94/D94-1</f>
        <v>-0.1649704671867197</v>
      </c>
      <c r="F95" s="11">
        <f>F94/E94-1</f>
        <v>-0.05316450475345946</v>
      </c>
      <c r="G95" s="11" t="s">
        <v>33</v>
      </c>
      <c r="H95" s="18">
        <f>H94/F94-1</f>
        <v>0.0615294143270968</v>
      </c>
      <c r="I95" s="13" t="s">
        <v>243</v>
      </c>
      <c r="J95" s="3"/>
      <c r="K95" s="3"/>
      <c r="L95" s="3"/>
    </row>
    <row r="96">
      <c r="A96" s="3"/>
      <c r="B96" s="1" t="s">
        <v>57</v>
      </c>
      <c r="C96" s="11" t="s">
        <v>33</v>
      </c>
      <c r="D96" s="11" t="s">
        <v>33</v>
      </c>
      <c r="E96" s="11" t="s">
        <v>33</v>
      </c>
      <c r="F96" s="11" t="s">
        <v>33</v>
      </c>
      <c r="G96" s="11" t="s">
        <v>33</v>
      </c>
      <c r="H96" s="18">
        <f>IFERROR(IF(C94&lt;=0,"n.m.",H94/C94-1),"n.a.")</f>
        <v>-0.3017478510028654</v>
      </c>
      <c r="I96" s="13"/>
      <c r="J96" s="3"/>
      <c r="K96" s="3"/>
      <c r="L96" s="3"/>
    </row>
    <row r="97">
      <c r="A97" s="3"/>
      <c r="B97" s="2" t="s">
        <v>244</v>
      </c>
      <c r="C97" s="16" t="s">
        <v>33</v>
      </c>
      <c r="D97" s="16" t="s">
        <v>33</v>
      </c>
      <c r="E97" s="44">
        <v>23</v>
      </c>
      <c r="F97" s="44">
        <v>21</v>
      </c>
      <c r="G97" s="16" t="s">
        <v>33</v>
      </c>
      <c r="H97" s="25">
        <f>F97</f>
        <v>21</v>
      </c>
      <c r="I97" s="13" t="s">
        <v>245</v>
      </c>
      <c r="J97" s="3"/>
      <c r="K97" s="3"/>
      <c r="L97" s="3"/>
    </row>
    <row r="98">
      <c r="A98" s="3"/>
      <c r="B98" s="1" t="s">
        <v>246</v>
      </c>
      <c r="C98" s="11" t="s">
        <v>33</v>
      </c>
      <c r="D98" s="11" t="s">
        <v>33</v>
      </c>
      <c r="E98" s="55">
        <v>0.1</v>
      </c>
      <c r="F98" s="55">
        <v>0.1</v>
      </c>
      <c r="G98" s="11" t="s">
        <v>33</v>
      </c>
      <c r="H98" s="62">
        <v>0.1</v>
      </c>
      <c r="I98" s="13"/>
      <c r="J98" s="3"/>
      <c r="K98" s="3"/>
      <c r="L98" s="3"/>
    </row>
    <row r="99" ht="105">
      <c r="A99" s="3"/>
      <c r="B99" s="2" t="s">
        <v>247</v>
      </c>
      <c r="C99" s="16" t="s">
        <v>33</v>
      </c>
      <c r="D99" s="16" t="s">
        <v>33</v>
      </c>
      <c r="E99" s="16" t="s">
        <v>33</v>
      </c>
      <c r="F99" s="16" t="s">
        <v>33</v>
      </c>
      <c r="G99" s="16" t="s">
        <v>33</v>
      </c>
      <c r="H99" s="25">
        <f>F21*(1+H100)</f>
        <v>407.03000000000003</v>
      </c>
      <c r="I99" s="104" t="s">
        <v>248</v>
      </c>
      <c r="J99" s="3"/>
      <c r="K99" s="3"/>
      <c r="L99" s="3"/>
    </row>
    <row r="100">
      <c r="A100" s="3"/>
      <c r="B100" s="1" t="s">
        <v>249</v>
      </c>
      <c r="C100" s="11" t="s">
        <v>33</v>
      </c>
      <c r="D100" s="11" t="s">
        <v>33</v>
      </c>
      <c r="E100" s="11" t="s">
        <v>33</v>
      </c>
      <c r="F100" s="11" t="s">
        <v>33</v>
      </c>
      <c r="G100" s="11" t="s">
        <v>33</v>
      </c>
      <c r="H100" s="62">
        <v>0.01</v>
      </c>
      <c r="I100" s="13"/>
      <c r="J100" s="3"/>
      <c r="K100" s="3"/>
      <c r="L100" s="3"/>
    </row>
    <row r="101">
      <c r="A101" s="3"/>
      <c r="B101" s="1" t="s">
        <v>250</v>
      </c>
      <c r="C101" s="11" t="s">
        <v>33</v>
      </c>
      <c r="D101" s="11" t="s">
        <v>33</v>
      </c>
      <c r="E101" s="11" t="s">
        <v>33</v>
      </c>
      <c r="F101" s="11" t="s">
        <v>33</v>
      </c>
      <c r="G101" s="11" t="s">
        <v>33</v>
      </c>
      <c r="H101" s="18">
        <f>F21/F36</f>
        <v>0.42826780021253985</v>
      </c>
      <c r="I101" s="13" t="s">
        <v>251</v>
      </c>
      <c r="J101" s="3"/>
      <c r="K101" s="3"/>
      <c r="L101" s="3"/>
    </row>
    <row r="102">
      <c r="A102" s="3"/>
      <c r="B102" s="2" t="s">
        <v>252</v>
      </c>
      <c r="C102" s="16" t="s">
        <v>33</v>
      </c>
      <c r="D102" s="16" t="s">
        <v>33</v>
      </c>
      <c r="E102" s="16" t="s">
        <v>33</v>
      </c>
      <c r="F102" s="16" t="s">
        <v>33</v>
      </c>
      <c r="G102" s="16" t="s">
        <v>33</v>
      </c>
      <c r="H102" s="25">
        <f>F26*(1+H103)</f>
        <v>395.84999999999997</v>
      </c>
      <c r="I102" s="13"/>
      <c r="J102" s="3"/>
      <c r="K102" s="3"/>
      <c r="L102" s="3"/>
    </row>
    <row r="103">
      <c r="A103" s="3"/>
      <c r="B103" s="1" t="s">
        <v>253</v>
      </c>
      <c r="C103" s="11" t="s">
        <v>33</v>
      </c>
      <c r="D103" s="11" t="s">
        <v>33</v>
      </c>
      <c r="E103" s="11" t="s">
        <v>33</v>
      </c>
      <c r="F103" s="11" t="s">
        <v>33</v>
      </c>
      <c r="G103" s="11" t="s">
        <v>33</v>
      </c>
      <c r="H103" s="62">
        <v>0.015</v>
      </c>
      <c r="I103" s="13"/>
      <c r="J103" s="3"/>
      <c r="K103" s="3"/>
      <c r="L103" s="3"/>
    </row>
    <row r="104">
      <c r="A104" s="3"/>
      <c r="B104" s="1" t="s">
        <v>254</v>
      </c>
      <c r="C104" s="11" t="s">
        <v>33</v>
      </c>
      <c r="D104" s="11" t="s">
        <v>33</v>
      </c>
      <c r="E104" s="11" t="s">
        <v>33</v>
      </c>
      <c r="F104" s="11" t="s">
        <v>33</v>
      </c>
      <c r="G104" s="11" t="s">
        <v>33</v>
      </c>
      <c r="H104" s="18">
        <f>F26/F36</f>
        <v>0.41445270988310307</v>
      </c>
      <c r="I104" s="13" t="s">
        <v>255</v>
      </c>
      <c r="J104" s="3"/>
      <c r="K104" s="3"/>
      <c r="L104" s="3"/>
    </row>
    <row r="105" ht="14.624267578125">
      <c r="A105" s="3"/>
      <c r="B105" s="2" t="s">
        <v>256</v>
      </c>
      <c r="C105" s="16" t="s">
        <v>33</v>
      </c>
      <c r="D105" s="16" t="s">
        <v>33</v>
      </c>
      <c r="E105" s="16" t="s">
        <v>33</v>
      </c>
      <c r="F105" s="16" t="s">
        <v>33</v>
      </c>
      <c r="G105" s="16" t="s">
        <v>33</v>
      </c>
      <c r="H105" s="25">
        <f>F31*(1+H106)</f>
        <v>148</v>
      </c>
      <c r="I105" s="13"/>
      <c r="J105" s="3"/>
      <c r="K105" s="3"/>
      <c r="L105" s="3"/>
    </row>
    <row r="106">
      <c r="A106" s="3"/>
      <c r="B106" s="1" t="s">
        <v>257</v>
      </c>
      <c r="C106" s="11" t="s">
        <v>33</v>
      </c>
      <c r="D106" s="11" t="s">
        <v>33</v>
      </c>
      <c r="E106" s="11" t="s">
        <v>33</v>
      </c>
      <c r="F106" s="11" t="s">
        <v>33</v>
      </c>
      <c r="G106" s="11" t="s">
        <v>33</v>
      </c>
      <c r="H106" s="62">
        <v>0</v>
      </c>
      <c r="I106" s="13"/>
      <c r="J106" s="3"/>
      <c r="K106" s="3"/>
      <c r="L106" s="3"/>
    </row>
    <row r="107">
      <c r="A107" s="3"/>
      <c r="B107" s="1" t="s">
        <v>258</v>
      </c>
      <c r="C107" s="11" t="s">
        <v>33</v>
      </c>
      <c r="D107" s="11" t="s">
        <v>33</v>
      </c>
      <c r="E107" s="11" t="s">
        <v>33</v>
      </c>
      <c r="F107" s="11" t="s">
        <v>33</v>
      </c>
      <c r="G107" s="11" t="s">
        <v>33</v>
      </c>
      <c r="H107" s="18">
        <f>F31/F36</f>
        <v>0.15727948990435706</v>
      </c>
      <c r="I107" s="13" t="s">
        <v>259</v>
      </c>
      <c r="J107" s="3"/>
      <c r="K107" s="3"/>
      <c r="L107" s="3"/>
    </row>
    <row r="108" ht="48.75">
      <c r="A108" s="3"/>
      <c r="B108" s="27" t="s">
        <v>260</v>
      </c>
      <c r="C108" s="23">
        <f>C36-C91</f>
        <v>785</v>
      </c>
      <c r="D108" s="23">
        <f>D36-D91</f>
        <v>848</v>
      </c>
      <c r="E108" s="23">
        <f>E36-E91</f>
        <v>819</v>
      </c>
      <c r="F108" s="23">
        <f>F36-F91</f>
        <v>940</v>
      </c>
      <c r="G108" s="23">
        <f>G36-G91</f>
        <v>3174</v>
      </c>
      <c r="H108" s="38">
        <f>H36-H91</f>
        <v>950.88</v>
      </c>
      <c r="I108" s="104" t="s">
        <v>261</v>
      </c>
      <c r="J108" s="3"/>
      <c r="K108" s="3"/>
      <c r="L108" s="3"/>
    </row>
    <row r="109" ht="26.25">
      <c r="A109" s="3"/>
      <c r="B109" s="1" t="s">
        <v>57</v>
      </c>
      <c r="C109" s="14">
        <f>IFERROR(IF(Inputs!C134&lt;=0,"n.m.",C108/Inputs!C134-1),"n.a.")</f>
        <v>0.07094133697135052</v>
      </c>
      <c r="D109" s="14">
        <f>IFERROR(IF(Inputs!D134&lt;=0,"n.m.",D108/Inputs!D134-1),"n.a.")</f>
        <v>0.06801007556675054</v>
      </c>
      <c r="E109" s="14">
        <f>IFERROR(IF(Inputs!E134&lt;=0,"n.m.",E108/Inputs!E134-1),"n.a.")</f>
        <v>0.10377358490566047</v>
      </c>
      <c r="F109" s="14">
        <f>IFERROR(IF(Inputs!F134&lt;=0,"n.m.",F108/Inputs!F134-1),"n.a.")</f>
        <v>0.17647058823529416</v>
      </c>
      <c r="G109" s="11" t="s">
        <v>33</v>
      </c>
      <c r="H109" s="18">
        <f>IFERROR(IF(C108&lt;=0,"n.m.",H108/C108-1),"n.a.")</f>
        <v>0.21131210191082794</v>
      </c>
      <c r="I109" s="104" t="s">
        <v>262</v>
      </c>
      <c r="J109" s="3"/>
      <c r="K109" s="3"/>
      <c r="L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>
      <c r="A111" s="3"/>
      <c r="B111" s="27" t="s">
        <v>263</v>
      </c>
      <c r="C111" s="15"/>
      <c r="D111" s="15"/>
      <c r="E111" s="15"/>
      <c r="F111" s="15"/>
      <c r="G111" s="15"/>
      <c r="H111" s="15"/>
      <c r="I111" s="13"/>
      <c r="J111" s="3"/>
      <c r="K111" s="3"/>
      <c r="L111" s="3"/>
    </row>
    <row r="112">
      <c r="A112" s="3"/>
      <c r="B112" s="2" t="s">
        <v>264</v>
      </c>
      <c r="C112" s="44">
        <v>197</v>
      </c>
      <c r="D112" s="16" t="s">
        <v>33</v>
      </c>
      <c r="E112" s="44">
        <v>184</v>
      </c>
      <c r="F112" s="44">
        <v>0</v>
      </c>
      <c r="G112" s="16" t="s">
        <v>33</v>
      </c>
      <c r="H112" s="45">
        <v>0</v>
      </c>
      <c r="I112" s="13" t="s">
        <v>265</v>
      </c>
      <c r="J112" s="3"/>
      <c r="K112" s="3"/>
      <c r="L112" s="3"/>
    </row>
    <row r="113">
      <c r="A113" s="3"/>
      <c r="B113" s="2" t="s">
        <v>266</v>
      </c>
      <c r="C113" s="44">
        <v>57</v>
      </c>
      <c r="D113" s="16" t="s">
        <v>33</v>
      </c>
      <c r="E113" s="44">
        <v>52</v>
      </c>
      <c r="F113" s="44">
        <v>46</v>
      </c>
      <c r="G113" s="16" t="s">
        <v>33</v>
      </c>
      <c r="H113" s="45">
        <v>44</v>
      </c>
      <c r="I113" s="13" t="s">
        <v>267</v>
      </c>
      <c r="J113" s="3"/>
      <c r="K113" s="3"/>
      <c r="L113" s="3"/>
    </row>
    <row r="114">
      <c r="A114" s="3"/>
      <c r="B114" s="2" t="s">
        <v>268</v>
      </c>
      <c r="C114" s="44">
        <v>2</v>
      </c>
      <c r="D114" s="16" t="s">
        <v>33</v>
      </c>
      <c r="E114" s="44">
        <v>2</v>
      </c>
      <c r="F114" s="44">
        <v>2</v>
      </c>
      <c r="G114" s="16" t="s">
        <v>33</v>
      </c>
      <c r="H114" s="45">
        <v>2</v>
      </c>
      <c r="I114" s="13" t="s">
        <v>269</v>
      </c>
      <c r="J114" s="3"/>
      <c r="K114" s="3"/>
      <c r="L114" s="3"/>
    </row>
    <row r="115">
      <c r="A115" s="3"/>
      <c r="B115" s="2" t="s">
        <v>270</v>
      </c>
      <c r="C115" s="44">
        <v>1</v>
      </c>
      <c r="D115" s="16" t="s">
        <v>33</v>
      </c>
      <c r="E115" s="44">
        <v>0</v>
      </c>
      <c r="F115" s="44">
        <v>29</v>
      </c>
      <c r="G115" s="16" t="s">
        <v>33</v>
      </c>
      <c r="H115" s="45">
        <v>0</v>
      </c>
      <c r="I115" s="13" t="s">
        <v>271</v>
      </c>
      <c r="J115" s="3"/>
      <c r="K115" s="3"/>
      <c r="L115" s="3"/>
    </row>
    <row r="116">
      <c r="A116" s="3"/>
      <c r="B116" s="2" t="s">
        <v>272</v>
      </c>
      <c r="C116" s="44">
        <v>5</v>
      </c>
      <c r="D116" s="16" t="s">
        <v>33</v>
      </c>
      <c r="E116" s="44">
        <v>10</v>
      </c>
      <c r="F116" s="44">
        <v>9</v>
      </c>
      <c r="G116" s="16" t="s">
        <v>33</v>
      </c>
      <c r="H116" s="45">
        <v>7</v>
      </c>
      <c r="I116" s="13"/>
      <c r="J116" s="3"/>
      <c r="K116" s="3"/>
      <c r="L116" s="3"/>
    </row>
    <row r="117">
      <c r="A117" s="3"/>
      <c r="B117" s="27" t="s">
        <v>273</v>
      </c>
      <c r="C117" s="23">
        <f>SUM(C112:C116)</f>
        <v>262</v>
      </c>
      <c r="D117" s="23" t="s">
        <v>33</v>
      </c>
      <c r="E117" s="23">
        <f>SUM(E112:E116)</f>
        <v>248</v>
      </c>
      <c r="F117" s="23">
        <f>SUM(F112:F116)</f>
        <v>86</v>
      </c>
      <c r="G117" s="23" t="s">
        <v>33</v>
      </c>
      <c r="H117" s="38">
        <f>SUM(H112:H116)</f>
        <v>53</v>
      </c>
      <c r="I117" s="13"/>
      <c r="J117" s="3"/>
      <c r="K117" s="3"/>
      <c r="L117" s="3"/>
    </row>
    <row r="118">
      <c r="A118" s="3"/>
      <c r="B118" s="1" t="s">
        <v>274</v>
      </c>
      <c r="C118" s="46">
        <f>ROUND(C117-C47,6)</f>
        <v>0</v>
      </c>
      <c r="D118" s="46" t="s">
        <v>33</v>
      </c>
      <c r="E118" s="46">
        <f>ROUND(E117-E47,6)</f>
        <v>0</v>
      </c>
      <c r="F118" s="46">
        <f>ROUND(F117-F47,6)</f>
        <v>0</v>
      </c>
      <c r="G118" s="46" t="s">
        <v>33</v>
      </c>
      <c r="H118" s="65">
        <f>ROUND(H117-H47,6)</f>
        <v>0</v>
      </c>
      <c r="I118" s="13"/>
      <c r="J118" s="3"/>
      <c r="K118" s="3"/>
      <c r="L118" s="3"/>
    </row>
    <row r="119">
      <c r="A119" s="3"/>
      <c r="B119" s="2" t="s">
        <v>275</v>
      </c>
      <c r="C119" s="44">
        <v>0</v>
      </c>
      <c r="D119" s="16" t="s">
        <v>33</v>
      </c>
      <c r="E119" s="44">
        <v>0</v>
      </c>
      <c r="F119" s="44">
        <v>0</v>
      </c>
      <c r="G119" s="16" t="s">
        <v>33</v>
      </c>
      <c r="H119" s="45">
        <v>0</v>
      </c>
      <c r="I119" s="13"/>
      <c r="J119" s="3"/>
      <c r="K119" s="3"/>
      <c r="L119" s="3"/>
    </row>
    <row r="120">
      <c r="A120" s="3"/>
      <c r="B120" s="2" t="s">
        <v>276</v>
      </c>
      <c r="C120" s="44">
        <v>-8</v>
      </c>
      <c r="D120" s="16" t="s">
        <v>33</v>
      </c>
      <c r="E120" s="44">
        <v>-7</v>
      </c>
      <c r="F120" s="44">
        <v>-8</v>
      </c>
      <c r="G120" s="16" t="s">
        <v>33</v>
      </c>
      <c r="H120" s="45">
        <v>-8</v>
      </c>
      <c r="I120" s="13"/>
      <c r="J120" s="3"/>
      <c r="K120" s="3"/>
      <c r="L120" s="3"/>
    </row>
    <row r="121">
      <c r="A121" s="3"/>
      <c r="B121" s="2" t="s">
        <v>277</v>
      </c>
      <c r="C121" s="44">
        <v>0</v>
      </c>
      <c r="D121" s="16" t="s">
        <v>33</v>
      </c>
      <c r="E121" s="44">
        <v>-1</v>
      </c>
      <c r="F121" s="44">
        <v>0</v>
      </c>
      <c r="G121" s="16" t="s">
        <v>33</v>
      </c>
      <c r="H121" s="45">
        <v>-1</v>
      </c>
      <c r="I121" s="13"/>
      <c r="J121" s="3"/>
      <c r="K121" s="3"/>
      <c r="L121" s="3"/>
    </row>
    <row r="122">
      <c r="A122" s="3"/>
      <c r="B122" s="2" t="s">
        <v>278</v>
      </c>
      <c r="C122" s="44">
        <v>-9</v>
      </c>
      <c r="D122" s="16" t="s">
        <v>33</v>
      </c>
      <c r="E122" s="44">
        <v>-18</v>
      </c>
      <c r="F122" s="44">
        <v>-13</v>
      </c>
      <c r="G122" s="16" t="s">
        <v>33</v>
      </c>
      <c r="H122" s="45">
        <v>-8</v>
      </c>
      <c r="I122" s="13" t="s">
        <v>279</v>
      </c>
      <c r="J122" s="3"/>
      <c r="K122" s="3"/>
      <c r="L122" s="3"/>
    </row>
    <row r="123">
      <c r="A123" s="3"/>
      <c r="B123" s="27" t="s">
        <v>280</v>
      </c>
      <c r="C123" s="23">
        <f>SUM(C119:C122)</f>
        <v>-17</v>
      </c>
      <c r="D123" s="23" t="s">
        <v>33</v>
      </c>
      <c r="E123" s="23">
        <f>SUM(E119:E122)</f>
        <v>-26</v>
      </c>
      <c r="F123" s="23">
        <f>SUM(F119:F122)</f>
        <v>-21</v>
      </c>
      <c r="G123" s="23" t="s">
        <v>33</v>
      </c>
      <c r="H123" s="38">
        <f>SUM(H119:H122)</f>
        <v>-17</v>
      </c>
      <c r="I123" s="13"/>
      <c r="J123" s="3"/>
      <c r="K123" s="3"/>
      <c r="L123" s="3"/>
    </row>
    <row r="124">
      <c r="A124" s="3"/>
      <c r="B124" s="1" t="s">
        <v>281</v>
      </c>
      <c r="C124" s="46">
        <f>ROUND(C123-C48,6)</f>
        <v>0</v>
      </c>
      <c r="D124" s="46" t="s">
        <v>33</v>
      </c>
      <c r="E124" s="46">
        <f>ROUND(E123-E48,6)</f>
        <v>0</v>
      </c>
      <c r="F124" s="46">
        <f>ROUND(F123-F48,6)</f>
        <v>0</v>
      </c>
      <c r="G124" s="46" t="s">
        <v>33</v>
      </c>
      <c r="H124" s="65">
        <f>ROUND(H123-H48,6)</f>
        <v>0</v>
      </c>
      <c r="I124" s="13"/>
      <c r="J124" s="3"/>
      <c r="K124" s="3"/>
      <c r="L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>
      <c r="A126" s="3"/>
      <c r="B126" s="112" t="s">
        <v>282</v>
      </c>
      <c r="C126" s="3"/>
      <c r="D126" s="3"/>
      <c r="E126" s="3"/>
      <c r="F126" s="3"/>
      <c r="G126" s="3"/>
      <c r="H126" s="3"/>
      <c r="I126" s="107" t="s">
        <v>283</v>
      </c>
      <c r="J126" s="3"/>
      <c r="K126" s="3"/>
      <c r="L126" s="3"/>
    </row>
    <row r="127" ht="26.25">
      <c r="A127" s="3"/>
      <c r="B127" s="116" t="s">
        <v>284</v>
      </c>
      <c r="C127" s="110" t="s">
        <v>33</v>
      </c>
      <c r="D127" s="110" t="s">
        <v>33</v>
      </c>
      <c r="E127" s="110" t="s">
        <v>33</v>
      </c>
      <c r="F127" s="110" t="s">
        <v>33</v>
      </c>
      <c r="G127" s="110" t="s">
        <v>33</v>
      </c>
      <c r="H127" s="109">
        <f>F91*(H101*(1+H100)+H104*(1+H103)+H107*(1+H106))</f>
        <v>1.0104994686503719</v>
      </c>
      <c r="I127" s="104" t="s">
        <v>285</v>
      </c>
      <c r="J127" s="3"/>
      <c r="K127" s="3"/>
      <c r="L127" s="3"/>
    </row>
    <row r="128">
      <c r="B128" s="113" t="s">
        <v>286</v>
      </c>
      <c r="C128" s="106" t="s">
        <v>33</v>
      </c>
      <c r="D128" s="106" t="s">
        <v>33</v>
      </c>
      <c r="E128" s="106" t="s">
        <v>33</v>
      </c>
      <c r="F128" s="106" t="s">
        <v>33</v>
      </c>
      <c r="G128" s="106" t="s">
        <v>33</v>
      </c>
      <c r="H128" s="119">
        <f>H82+H127*(1-H53)</f>
        <v>546.6180785922131</v>
      </c>
      <c r="I128" s="108" t="s">
        <v>287</v>
      </c>
    </row>
    <row r="129" ht="26.25">
      <c r="B129" s="113" t="s">
        <v>288</v>
      </c>
      <c r="C129" s="106" t="s">
        <v>33</v>
      </c>
      <c r="D129" s="106" t="s">
        <v>33</v>
      </c>
      <c r="E129" s="106" t="s">
        <v>33</v>
      </c>
      <c r="F129" s="106" t="s">
        <v>33</v>
      </c>
      <c r="G129" s="106" t="s">
        <v>33</v>
      </c>
      <c r="H129" s="118">
        <f>H128/H67</f>
        <v>2.6155704310184578</v>
      </c>
      <c r="I129" s="114" t="s">
        <v>289</v>
      </c>
    </row>
    <row r="130">
      <c r="B130" s="111" t="s">
        <v>290</v>
      </c>
      <c r="C130" s="106" t="s">
        <v>33</v>
      </c>
      <c r="D130" s="106" t="s">
        <v>33</v>
      </c>
      <c r="E130" s="106" t="s">
        <v>33</v>
      </c>
      <c r="F130" s="106" t="s">
        <v>33</v>
      </c>
      <c r="G130" s="106" t="s">
        <v>33</v>
      </c>
      <c r="H130" s="115">
        <f>H129-H83</f>
        <v>0.003747315157624609</v>
      </c>
      <c r="I130" s="108"/>
    </row>
    <row r="131" ht="37.5">
      <c r="B131" s="113" t="s">
        <v>291</v>
      </c>
      <c r="C131" s="106" t="s">
        <v>33</v>
      </c>
      <c r="D131" s="106" t="s">
        <v>33</v>
      </c>
      <c r="E131" s="106" t="s">
        <v>33</v>
      </c>
      <c r="F131" s="106" t="s">
        <v>33</v>
      </c>
      <c r="G131" s="106" t="s">
        <v>33</v>
      </c>
      <c r="H131" s="117">
        <f>H82/(H67-'Share Count'!F28*(1-'Share Count'!H32))</f>
        <v>2.615426548415666</v>
      </c>
      <c r="I131" s="114" t="s">
        <v>292</v>
      </c>
    </row>
    <row r="132">
      <c r="B132" s="111" t="s">
        <v>290</v>
      </c>
      <c r="C132" s="106" t="s">
        <v>33</v>
      </c>
      <c r="D132" s="106" t="s">
        <v>33</v>
      </c>
      <c r="E132" s="106" t="s">
        <v>33</v>
      </c>
      <c r="F132" s="106" t="s">
        <v>33</v>
      </c>
      <c r="G132" s="106" t="s">
        <v>33</v>
      </c>
      <c r="H132" s="115">
        <f>H131-H83</f>
        <v>0.003603432554832864</v>
      </c>
      <c r="I132" s="108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L57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6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>
      <c r="A2" s="3"/>
      <c r="B2" s="5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>
      <c r="A3" s="3"/>
      <c r="B3" s="30" t="s">
        <v>293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>
      <c r="A4" s="3"/>
      <c r="B4" s="17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>
      <c r="A5" s="3"/>
      <c r="B5" s="31" t="s">
        <v>48</v>
      </c>
      <c r="C5" s="12" t="s">
        <v>49</v>
      </c>
      <c r="D5" s="12" t="s">
        <v>50</v>
      </c>
      <c r="E5" s="12" t="s">
        <v>51</v>
      </c>
      <c r="F5" s="12" t="s">
        <v>52</v>
      </c>
      <c r="G5" s="12" t="s">
        <v>53</v>
      </c>
      <c r="H5" s="12" t="s">
        <v>4</v>
      </c>
      <c r="I5" s="31" t="s">
        <v>54</v>
      </c>
      <c r="J5" s="3"/>
      <c r="K5" s="3"/>
      <c r="L5" s="3"/>
    </row>
    <row r="6">
      <c r="A6" s="3"/>
      <c r="B6" s="22" t="s">
        <v>5</v>
      </c>
      <c r="C6" s="19">
        <v>45930</v>
      </c>
      <c r="D6" s="19">
        <v>46022</v>
      </c>
      <c r="E6" s="19">
        <v>46112</v>
      </c>
      <c r="F6" s="19">
        <v>46203</v>
      </c>
      <c r="G6" s="19">
        <v>46022</v>
      </c>
      <c r="H6" s="19">
        <v>46295</v>
      </c>
      <c r="I6" s="22"/>
      <c r="J6" s="3"/>
      <c r="K6" s="3"/>
      <c r="L6" s="3"/>
    </row>
    <row r="7">
      <c r="A7" s="3"/>
      <c r="B7" s="10" t="s">
        <v>6</v>
      </c>
      <c r="C7" s="28">
        <f>C6-EOMONTH(C6,-3)</f>
        <v>92</v>
      </c>
      <c r="D7" s="28">
        <f>D6-EOMONTH(D6,-3)</f>
        <v>92</v>
      </c>
      <c r="E7" s="28">
        <f>E6-EOMONTH(E6,-3)</f>
        <v>90</v>
      </c>
      <c r="F7" s="28">
        <f>F6-EOMONTH(F6,-3)</f>
        <v>91</v>
      </c>
      <c r="G7" s="28">
        <f>G6-DATE(YEAR(G6)-1,12,31)</f>
        <v>365</v>
      </c>
      <c r="H7" s="28">
        <f>H6-EOMONTH(H6,-3)</f>
        <v>92</v>
      </c>
      <c r="I7" s="10"/>
      <c r="J7" s="3"/>
      <c r="K7" s="3"/>
      <c r="L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>
      <c r="A9" s="3"/>
      <c r="B9" s="27" t="s">
        <v>294</v>
      </c>
      <c r="C9" s="15"/>
      <c r="D9" s="15"/>
      <c r="E9" s="15"/>
      <c r="F9" s="15"/>
      <c r="G9" s="15"/>
      <c r="H9" s="15"/>
      <c r="I9" s="13"/>
      <c r="J9" s="3"/>
      <c r="K9" s="3"/>
      <c r="L9" s="3"/>
    </row>
    <row r="10" ht="26.25">
      <c r="A10" s="3"/>
      <c r="B10" s="2" t="s">
        <v>295</v>
      </c>
      <c r="C10" s="44">
        <v>242</v>
      </c>
      <c r="D10" s="44">
        <v>234</v>
      </c>
      <c r="E10" s="44">
        <v>227</v>
      </c>
      <c r="F10" s="44">
        <v>225</v>
      </c>
      <c r="G10" s="16">
        <f>D10</f>
        <v>234</v>
      </c>
      <c r="H10" s="25">
        <f>F10</f>
        <v>225</v>
      </c>
      <c r="I10" s="104" t="s">
        <v>296</v>
      </c>
      <c r="J10" s="3"/>
      <c r="K10" s="3"/>
      <c r="L10" s="3"/>
    </row>
    <row r="11" ht="48.75">
      <c r="A11" s="3"/>
      <c r="B11" s="2" t="s">
        <v>297</v>
      </c>
      <c r="C11" s="44">
        <v>174</v>
      </c>
      <c r="D11" s="44">
        <v>188</v>
      </c>
      <c r="E11" s="44">
        <v>182</v>
      </c>
      <c r="F11" s="44">
        <v>193</v>
      </c>
      <c r="G11" s="16">
        <f>D11</f>
        <v>188</v>
      </c>
      <c r="H11" s="20">
        <f>F11-'Cash Flow Statement'!H31-'Cash Flow Statement'!H11-'Cash Flow Statement'!H12</f>
        <v>185</v>
      </c>
      <c r="I11" s="104" t="s">
        <v>298</v>
      </c>
      <c r="J11" s="3"/>
      <c r="K11" s="3"/>
      <c r="L11" s="3"/>
    </row>
    <row r="12">
      <c r="A12" s="3"/>
      <c r="B12" s="2" t="s">
        <v>299</v>
      </c>
      <c r="C12" s="44">
        <v>1078</v>
      </c>
      <c r="D12" s="44">
        <v>1083</v>
      </c>
      <c r="E12" s="44">
        <v>1099</v>
      </c>
      <c r="F12" s="44">
        <v>1110</v>
      </c>
      <c r="G12" s="16">
        <f>D12</f>
        <v>1083</v>
      </c>
      <c r="H12" s="25">
        <f>F12</f>
        <v>1110</v>
      </c>
      <c r="I12" s="13"/>
      <c r="J12" s="3"/>
      <c r="K12" s="3"/>
      <c r="L12" s="3"/>
    </row>
    <row r="13" ht="26.25">
      <c r="A13" s="3"/>
      <c r="B13" s="2" t="s">
        <v>300</v>
      </c>
      <c r="C13" s="44">
        <v>33</v>
      </c>
      <c r="D13" s="44">
        <v>41</v>
      </c>
      <c r="E13" s="44">
        <v>41</v>
      </c>
      <c r="F13" s="44">
        <v>36</v>
      </c>
      <c r="G13" s="16">
        <f>D13</f>
        <v>41</v>
      </c>
      <c r="H13" s="25">
        <f>F13</f>
        <v>36</v>
      </c>
      <c r="I13" s="104" t="s">
        <v>301</v>
      </c>
      <c r="J13" s="3"/>
      <c r="K13" s="3"/>
      <c r="L13" s="3"/>
    </row>
    <row r="14">
      <c r="A14" s="3"/>
      <c r="B14" s="2" t="s">
        <v>302</v>
      </c>
      <c r="C14" s="44">
        <v>2888</v>
      </c>
      <c r="D14" s="44">
        <v>2181</v>
      </c>
      <c r="E14" s="44">
        <v>1194</v>
      </c>
      <c r="F14" s="44">
        <v>1118</v>
      </c>
      <c r="G14" s="16">
        <f>D14</f>
        <v>2181</v>
      </c>
      <c r="H14" s="25">
        <f>F14</f>
        <v>1118</v>
      </c>
      <c r="I14" s="13" t="s">
        <v>303</v>
      </c>
      <c r="J14" s="3"/>
      <c r="K14" s="3"/>
      <c r="L14" s="3"/>
    </row>
    <row r="15">
      <c r="A15" s="3"/>
      <c r="B15" s="2" t="s">
        <v>304</v>
      </c>
      <c r="C15" s="44">
        <v>61</v>
      </c>
      <c r="D15" s="44">
        <v>61</v>
      </c>
      <c r="E15" s="44">
        <v>59</v>
      </c>
      <c r="F15" s="44">
        <v>56</v>
      </c>
      <c r="G15" s="16">
        <f>D15</f>
        <v>61</v>
      </c>
      <c r="H15" s="25">
        <f>F15</f>
        <v>56</v>
      </c>
      <c r="I15" s="13" t="s">
        <v>305</v>
      </c>
      <c r="J15" s="3"/>
      <c r="K15" s="3"/>
      <c r="L15" s="3"/>
    </row>
    <row r="16">
      <c r="A16" s="3"/>
      <c r="B16" s="2" t="s">
        <v>306</v>
      </c>
      <c r="C16" s="44">
        <v>69</v>
      </c>
      <c r="D16" s="44">
        <v>69</v>
      </c>
      <c r="E16" s="44">
        <v>71</v>
      </c>
      <c r="F16" s="44">
        <v>71</v>
      </c>
      <c r="G16" s="16">
        <f>D16</f>
        <v>69</v>
      </c>
      <c r="H16" s="25">
        <f>F16</f>
        <v>71</v>
      </c>
      <c r="I16" s="13"/>
      <c r="J16" s="3"/>
      <c r="K16" s="3"/>
      <c r="L16" s="3"/>
    </row>
    <row r="17">
      <c r="A17" s="3"/>
      <c r="B17" s="2" t="s">
        <v>307</v>
      </c>
      <c r="C17" s="44">
        <v>87</v>
      </c>
      <c r="D17" s="44">
        <v>662</v>
      </c>
      <c r="E17" s="44">
        <v>596</v>
      </c>
      <c r="F17" s="44">
        <v>563</v>
      </c>
      <c r="G17" s="16">
        <f>D17</f>
        <v>662</v>
      </c>
      <c r="H17" s="25">
        <f>F17</f>
        <v>563</v>
      </c>
      <c r="I17" s="13"/>
      <c r="J17" s="3"/>
      <c r="K17" s="3"/>
      <c r="L17" s="3"/>
    </row>
    <row r="18">
      <c r="A18" s="3"/>
      <c r="B18" s="27" t="s">
        <v>308</v>
      </c>
      <c r="C18" s="23">
        <f>SUM(C10:C17)</f>
        <v>4632</v>
      </c>
      <c r="D18" s="23">
        <f>SUM(D10:D17)</f>
        <v>4519</v>
      </c>
      <c r="E18" s="23">
        <f>SUM(E10:E17)</f>
        <v>3469</v>
      </c>
      <c r="F18" s="23">
        <f>SUM(F10:F17)</f>
        <v>3372</v>
      </c>
      <c r="G18" s="23">
        <f>SUM(G10:G17)</f>
        <v>4519</v>
      </c>
      <c r="H18" s="38">
        <f>SUM(H10:H17)</f>
        <v>3364</v>
      </c>
      <c r="I18" s="13"/>
      <c r="J18" s="3"/>
      <c r="K18" s="3"/>
      <c r="L18" s="3"/>
    </row>
    <row r="19">
      <c r="A19" s="3"/>
      <c r="B19" s="2" t="s">
        <v>309</v>
      </c>
      <c r="C19" s="44">
        <v>735</v>
      </c>
      <c r="D19" s="44">
        <v>802</v>
      </c>
      <c r="E19" s="44">
        <v>683</v>
      </c>
      <c r="F19" s="44">
        <v>780</v>
      </c>
      <c r="G19" s="16">
        <f>D19</f>
        <v>802</v>
      </c>
      <c r="H19" s="20">
        <f>F19-'Cash Flow Statement'!H19</f>
        <v>810</v>
      </c>
      <c r="I19" s="13"/>
      <c r="J19" s="3"/>
      <c r="K19" s="3"/>
      <c r="L19" s="3"/>
    </row>
    <row r="20">
      <c r="A20" s="3"/>
      <c r="B20" s="2" t="s">
        <v>310</v>
      </c>
      <c r="C20" s="44">
        <v>117</v>
      </c>
      <c r="D20" s="44">
        <v>116</v>
      </c>
      <c r="E20" s="44">
        <v>94</v>
      </c>
      <c r="F20" s="44">
        <v>92</v>
      </c>
      <c r="G20" s="16">
        <f>D20</f>
        <v>116</v>
      </c>
      <c r="H20" s="25">
        <f>F20</f>
        <v>92</v>
      </c>
      <c r="I20" s="13"/>
      <c r="J20" s="3"/>
      <c r="K20" s="3"/>
      <c r="L20" s="3"/>
    </row>
    <row r="21">
      <c r="A21" s="3"/>
      <c r="B21" s="2" t="s">
        <v>311</v>
      </c>
      <c r="C21" s="44">
        <v>3606</v>
      </c>
      <c r="D21" s="44">
        <v>4209</v>
      </c>
      <c r="E21" s="44">
        <v>3491</v>
      </c>
      <c r="F21" s="44">
        <v>3450</v>
      </c>
      <c r="G21" s="16">
        <f>D21</f>
        <v>4209</v>
      </c>
      <c r="H21" s="20">
        <f>F21-'Cash Flow Statement'!H32-'Cash Flow Statement'!H33</f>
        <v>3450</v>
      </c>
      <c r="I21" s="13"/>
      <c r="J21" s="3"/>
      <c r="K21" s="3"/>
      <c r="L21" s="3"/>
    </row>
    <row r="22">
      <c r="A22" s="3"/>
      <c r="B22" s="2" t="s">
        <v>312</v>
      </c>
      <c r="C22" s="44">
        <v>5456</v>
      </c>
      <c r="D22" s="44">
        <v>5258</v>
      </c>
      <c r="E22" s="44">
        <v>5255</v>
      </c>
      <c r="F22" s="44">
        <v>5938</v>
      </c>
      <c r="G22" s="16">
        <f>D22</f>
        <v>5258</v>
      </c>
      <c r="H22" s="20">
        <f>'Cash Flow Statement'!H50</f>
        <v>6394.303150327753</v>
      </c>
      <c r="I22" s="13"/>
      <c r="J22" s="3"/>
      <c r="K22" s="3"/>
      <c r="L22" s="3"/>
    </row>
    <row r="23">
      <c r="A23" s="3"/>
      <c r="B23" s="2" t="s">
        <v>313</v>
      </c>
      <c r="C23" s="44">
        <v>143</v>
      </c>
      <c r="D23" s="44">
        <v>111</v>
      </c>
      <c r="E23" s="44">
        <v>136</v>
      </c>
      <c r="F23" s="44">
        <v>116</v>
      </c>
      <c r="G23" s="16">
        <f>D23</f>
        <v>111</v>
      </c>
      <c r="H23" s="25">
        <f>F23</f>
        <v>116</v>
      </c>
      <c r="I23" s="13"/>
      <c r="J23" s="3"/>
      <c r="K23" s="3"/>
      <c r="L23" s="3"/>
    </row>
    <row r="24">
      <c r="A24" s="3"/>
      <c r="B24" s="27" t="s">
        <v>314</v>
      </c>
      <c r="C24" s="23">
        <f>SUM(C19:C23)</f>
        <v>10057</v>
      </c>
      <c r="D24" s="23">
        <f>SUM(D19:D23)</f>
        <v>10496</v>
      </c>
      <c r="E24" s="23">
        <f>SUM(E19:E23)</f>
        <v>9659</v>
      </c>
      <c r="F24" s="23">
        <f>SUM(F19:F23)</f>
        <v>10376</v>
      </c>
      <c r="G24" s="23">
        <f>SUM(G19:G23)</f>
        <v>10496</v>
      </c>
      <c r="H24" s="38">
        <f>SUM(H19:H23)</f>
        <v>10862.303150327753</v>
      </c>
      <c r="I24" s="13"/>
      <c r="J24" s="3"/>
      <c r="K24" s="3"/>
      <c r="L24" s="3"/>
    </row>
    <row r="25">
      <c r="A25" s="3"/>
      <c r="B25" s="27" t="s">
        <v>315</v>
      </c>
      <c r="C25" s="23">
        <f>C18+C24</f>
        <v>14689</v>
      </c>
      <c r="D25" s="23">
        <f>D18+D24</f>
        <v>15015</v>
      </c>
      <c r="E25" s="23">
        <f>E18+E24</f>
        <v>13128</v>
      </c>
      <c r="F25" s="23">
        <f>F18+F24</f>
        <v>13748</v>
      </c>
      <c r="G25" s="23">
        <f>G18+G24</f>
        <v>15015</v>
      </c>
      <c r="H25" s="38">
        <f>H18+H24</f>
        <v>14226.303150327753</v>
      </c>
      <c r="I25" s="13"/>
      <c r="J25" s="3"/>
      <c r="K25" s="3"/>
      <c r="L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>
      <c r="A27" s="3"/>
      <c r="B27" s="27" t="s">
        <v>316</v>
      </c>
      <c r="C27" s="15"/>
      <c r="D27" s="15"/>
      <c r="E27" s="15"/>
      <c r="F27" s="15"/>
      <c r="G27" s="15"/>
      <c r="H27" s="15"/>
      <c r="I27" s="13"/>
      <c r="J27" s="3"/>
      <c r="K27" s="3"/>
      <c r="L27" s="3"/>
    </row>
    <row r="28">
      <c r="A28" s="3"/>
      <c r="B28" s="2" t="s">
        <v>317</v>
      </c>
      <c r="C28" s="44">
        <v>0</v>
      </c>
      <c r="D28" s="44">
        <v>0</v>
      </c>
      <c r="E28" s="44">
        <v>0</v>
      </c>
      <c r="F28" s="44">
        <v>0</v>
      </c>
      <c r="G28" s="16">
        <f>D28</f>
        <v>0</v>
      </c>
      <c r="H28" s="25">
        <f>F28</f>
        <v>0</v>
      </c>
      <c r="I28" s="13" t="s">
        <v>318</v>
      </c>
      <c r="J28" s="3"/>
      <c r="K28" s="3"/>
      <c r="L28" s="3"/>
    </row>
    <row r="29">
      <c r="A29" s="3"/>
      <c r="B29" s="2" t="s">
        <v>319</v>
      </c>
      <c r="C29" s="44">
        <v>6459</v>
      </c>
      <c r="D29" s="44">
        <v>6496</v>
      </c>
      <c r="E29" s="44">
        <v>6560</v>
      </c>
      <c r="F29" s="44">
        <v>6624</v>
      </c>
      <c r="G29" s="16">
        <f>D29</f>
        <v>6496</v>
      </c>
      <c r="H29" s="20">
        <f>F29+'Cash Flow Statement'!H40</f>
        <v>6669</v>
      </c>
      <c r="I29" s="13"/>
      <c r="J29" s="3"/>
      <c r="K29" s="3"/>
      <c r="L29" s="3"/>
    </row>
    <row r="30">
      <c r="A30" s="3"/>
      <c r="B30" s="2" t="s">
        <v>320</v>
      </c>
      <c r="C30" s="44">
        <v>-328</v>
      </c>
      <c r="D30" s="44">
        <v>-701</v>
      </c>
      <c r="E30" s="44">
        <v>-1007</v>
      </c>
      <c r="F30" s="44">
        <v>-1248</v>
      </c>
      <c r="G30" s="16">
        <f>D30</f>
        <v>-701</v>
      </c>
      <c r="H30" s="20">
        <f>F30+'Cash Flow Statement'!H41</f>
        <v>-1578</v>
      </c>
      <c r="I30" s="13"/>
      <c r="J30" s="3"/>
      <c r="K30" s="3"/>
      <c r="L30" s="3"/>
    </row>
    <row r="31">
      <c r="A31" s="3"/>
      <c r="B31" s="2" t="s">
        <v>321</v>
      </c>
      <c r="C31" s="44">
        <v>3654</v>
      </c>
      <c r="D31" s="44">
        <v>3366</v>
      </c>
      <c r="E31" s="44">
        <v>2581</v>
      </c>
      <c r="F31" s="44">
        <v>2588</v>
      </c>
      <c r="G31" s="16">
        <f>D31</f>
        <v>3366</v>
      </c>
      <c r="H31" s="20">
        <f>F31+'Cash Flow Statement'!H14+'Cash Flow Statement'!H44</f>
        <v>2643</v>
      </c>
      <c r="I31" s="13" t="s">
        <v>322</v>
      </c>
      <c r="J31" s="3"/>
      <c r="K31" s="3"/>
      <c r="L31" s="3"/>
    </row>
    <row r="32">
      <c r="A32" s="3"/>
      <c r="B32" s="2" t="s">
        <v>323</v>
      </c>
      <c r="C32" s="44">
        <v>-2006</v>
      </c>
      <c r="D32" s="44">
        <v>-832</v>
      </c>
      <c r="E32" s="44">
        <v>-124</v>
      </c>
      <c r="F32" s="44">
        <v>421</v>
      </c>
      <c r="G32" s="16">
        <f>D32</f>
        <v>-832</v>
      </c>
      <c r="H32" s="20">
        <f>F32+'Income Statement'!H56</f>
        <v>966.8349415040091</v>
      </c>
      <c r="I32" s="13"/>
      <c r="J32" s="3"/>
      <c r="K32" s="3"/>
      <c r="L32" s="3"/>
    </row>
    <row r="33">
      <c r="A33" s="3"/>
      <c r="B33" s="27" t="s">
        <v>324</v>
      </c>
      <c r="C33" s="23">
        <f>SUM(C28:C32)</f>
        <v>7779</v>
      </c>
      <c r="D33" s="23">
        <f>SUM(D28:D32)</f>
        <v>8329</v>
      </c>
      <c r="E33" s="23">
        <f>SUM(E28:E32)</f>
        <v>8010</v>
      </c>
      <c r="F33" s="23">
        <f>SUM(F28:F32)</f>
        <v>8385</v>
      </c>
      <c r="G33" s="23">
        <f>SUM(G28:G32)</f>
        <v>8329</v>
      </c>
      <c r="H33" s="38">
        <f>SUM(H28:H32)</f>
        <v>8700.834941504008</v>
      </c>
      <c r="I33" s="13" t="s">
        <v>325</v>
      </c>
      <c r="J33" s="3"/>
      <c r="K33" s="3"/>
      <c r="L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>
      <c r="A35" s="3"/>
      <c r="B35" s="27" t="s">
        <v>326</v>
      </c>
      <c r="C35" s="15"/>
      <c r="D35" s="15"/>
      <c r="E35" s="15"/>
      <c r="F35" s="15"/>
      <c r="G35" s="15"/>
      <c r="H35" s="15"/>
      <c r="I35" s="13"/>
      <c r="J35" s="3"/>
      <c r="K35" s="3"/>
      <c r="L35" s="3"/>
    </row>
    <row r="36">
      <c r="A36" s="3"/>
      <c r="B36" s="2" t="s">
        <v>327</v>
      </c>
      <c r="C36" s="44">
        <v>0</v>
      </c>
      <c r="D36" s="44">
        <v>0</v>
      </c>
      <c r="E36" s="44">
        <v>0</v>
      </c>
      <c r="F36" s="44">
        <v>0</v>
      </c>
      <c r="G36" s="16">
        <f>D36</f>
        <v>0</v>
      </c>
      <c r="H36" s="25">
        <f>F36</f>
        <v>0</v>
      </c>
      <c r="I36" s="13"/>
      <c r="J36" s="3"/>
      <c r="K36" s="3"/>
      <c r="L36" s="3"/>
    </row>
    <row r="37" ht="26.25">
      <c r="A37" s="3"/>
      <c r="B37" s="2" t="s">
        <v>328</v>
      </c>
      <c r="C37" s="44">
        <v>444</v>
      </c>
      <c r="D37" s="44">
        <v>433</v>
      </c>
      <c r="E37" s="44">
        <v>414</v>
      </c>
      <c r="F37" s="44">
        <v>404</v>
      </c>
      <c r="G37" s="16">
        <f>D37</f>
        <v>433</v>
      </c>
      <c r="H37" s="20">
        <f>F37+'Cash Flow Statement'!H42</f>
        <v>388</v>
      </c>
      <c r="I37" s="104" t="s">
        <v>329</v>
      </c>
      <c r="J37" s="3"/>
      <c r="K37" s="3"/>
      <c r="L37" s="3"/>
    </row>
    <row r="38" ht="14.624267578125">
      <c r="A38" s="3"/>
      <c r="B38" s="2" t="s">
        <v>330</v>
      </c>
      <c r="C38" s="44">
        <v>1</v>
      </c>
      <c r="D38" s="44">
        <v>2</v>
      </c>
      <c r="E38" s="44">
        <v>2</v>
      </c>
      <c r="F38" s="44">
        <v>2</v>
      </c>
      <c r="G38" s="16">
        <f>D38</f>
        <v>2</v>
      </c>
      <c r="H38" s="25">
        <f>F38</f>
        <v>2</v>
      </c>
      <c r="I38" s="13" t="s">
        <v>331</v>
      </c>
      <c r="J38" s="3"/>
      <c r="K38" s="3"/>
      <c r="L38" s="3"/>
    </row>
    <row r="39">
      <c r="A39" s="3"/>
      <c r="B39" s="2" t="s">
        <v>332</v>
      </c>
      <c r="C39" s="44">
        <v>3</v>
      </c>
      <c r="D39" s="44">
        <v>3</v>
      </c>
      <c r="E39" s="44">
        <v>3</v>
      </c>
      <c r="F39" s="44">
        <v>13</v>
      </c>
      <c r="G39" s="16">
        <f>D39</f>
        <v>3</v>
      </c>
      <c r="H39" s="25">
        <f>F39</f>
        <v>13</v>
      </c>
      <c r="I39" s="13"/>
      <c r="J39" s="3"/>
      <c r="K39" s="3"/>
      <c r="L39" s="3"/>
    </row>
    <row r="40">
      <c r="A40" s="3"/>
      <c r="B40" s="2" t="s">
        <v>333</v>
      </c>
      <c r="C40" s="44">
        <v>223</v>
      </c>
      <c r="D40" s="44">
        <v>163</v>
      </c>
      <c r="E40" s="44">
        <v>11</v>
      </c>
      <c r="F40" s="44">
        <v>30</v>
      </c>
      <c r="G40" s="16">
        <f>D40</f>
        <v>163</v>
      </c>
      <c r="H40" s="25">
        <f>F40</f>
        <v>30</v>
      </c>
      <c r="I40" s="13"/>
      <c r="J40" s="3"/>
      <c r="K40" s="3"/>
      <c r="L40" s="3"/>
    </row>
    <row r="41">
      <c r="A41" s="3"/>
      <c r="B41" s="27" t="s">
        <v>334</v>
      </c>
      <c r="C41" s="23">
        <f>SUM(C36:C40)</f>
        <v>671</v>
      </c>
      <c r="D41" s="23">
        <f>SUM(D36:D40)</f>
        <v>601</v>
      </c>
      <c r="E41" s="23">
        <f>SUM(E36:E40)</f>
        <v>430</v>
      </c>
      <c r="F41" s="23">
        <f>SUM(F36:F40)</f>
        <v>449</v>
      </c>
      <c r="G41" s="23">
        <f>SUM(G36:G40)</f>
        <v>601</v>
      </c>
      <c r="H41" s="38">
        <f>SUM(H36:H40)</f>
        <v>433</v>
      </c>
      <c r="I41" s="13"/>
      <c r="J41" s="3"/>
      <c r="K41" s="3"/>
      <c r="L41" s="3"/>
    </row>
    <row r="42">
      <c r="A42" s="3"/>
      <c r="B42" s="2" t="s">
        <v>335</v>
      </c>
      <c r="C42" s="44">
        <v>1193</v>
      </c>
      <c r="D42" s="44">
        <v>1194</v>
      </c>
      <c r="E42" s="44">
        <v>1250</v>
      </c>
      <c r="F42" s="44">
        <v>1325</v>
      </c>
      <c r="G42" s="16">
        <f>D42</f>
        <v>1194</v>
      </c>
      <c r="H42" s="20">
        <f>F42+'Cash Flow Statement'!H20</f>
        <v>1415</v>
      </c>
      <c r="I42" s="13"/>
      <c r="J42" s="3"/>
      <c r="K42" s="3"/>
      <c r="L42" s="3"/>
    </row>
    <row r="43" ht="37.5">
      <c r="A43" s="3"/>
      <c r="B43" s="2" t="s">
        <v>336</v>
      </c>
      <c r="C43" s="44">
        <v>31</v>
      </c>
      <c r="D43" s="44">
        <v>72</v>
      </c>
      <c r="E43" s="44">
        <v>150</v>
      </c>
      <c r="F43" s="44">
        <v>171</v>
      </c>
      <c r="G43" s="16">
        <f>D43</f>
        <v>72</v>
      </c>
      <c r="H43" s="20">
        <f>F43+'Cash Flow Statement'!H17+'Cash Flow Statement'!H25</f>
        <v>239.4682088237446</v>
      </c>
      <c r="I43" s="104" t="s">
        <v>337</v>
      </c>
      <c r="J43" s="3"/>
      <c r="K43" s="3"/>
      <c r="L43" s="3"/>
    </row>
    <row r="44">
      <c r="A44" s="3"/>
      <c r="B44" s="2" t="s">
        <v>338</v>
      </c>
      <c r="C44" s="44">
        <v>692</v>
      </c>
      <c r="D44" s="44">
        <v>711</v>
      </c>
      <c r="E44" s="44">
        <v>750</v>
      </c>
      <c r="F44" s="44">
        <v>778</v>
      </c>
      <c r="G44" s="16">
        <f>D44</f>
        <v>711</v>
      </c>
      <c r="H44" s="20">
        <f>F44+'Cash Flow Statement'!H21</f>
        <v>798</v>
      </c>
      <c r="I44" s="13"/>
      <c r="J44" s="3"/>
      <c r="K44" s="3"/>
      <c r="L44" s="3"/>
    </row>
    <row r="45">
      <c r="A45" s="3"/>
      <c r="B45" s="2" t="s">
        <v>339</v>
      </c>
      <c r="C45" s="44">
        <v>2519</v>
      </c>
      <c r="D45" s="44">
        <v>2589</v>
      </c>
      <c r="E45" s="44">
        <v>2471</v>
      </c>
      <c r="F45" s="44">
        <v>2573</v>
      </c>
      <c r="G45" s="16">
        <f>D45</f>
        <v>2589</v>
      </c>
      <c r="H45" s="25">
        <f>F45</f>
        <v>2573</v>
      </c>
      <c r="I45" s="13" t="s">
        <v>340</v>
      </c>
      <c r="J45" s="3"/>
      <c r="K45" s="3"/>
      <c r="L45" s="3"/>
    </row>
    <row r="46">
      <c r="A46" s="3"/>
      <c r="B46" s="2" t="s">
        <v>341</v>
      </c>
      <c r="C46" s="44">
        <v>1741</v>
      </c>
      <c r="D46" s="44">
        <v>1458</v>
      </c>
      <c r="E46" s="44">
        <v>0</v>
      </c>
      <c r="F46" s="44">
        <v>0</v>
      </c>
      <c r="G46" s="16">
        <f>D46</f>
        <v>1458</v>
      </c>
      <c r="H46" s="25">
        <f>F46</f>
        <v>0</v>
      </c>
      <c r="I46" s="13"/>
      <c r="J46" s="3"/>
      <c r="K46" s="3"/>
      <c r="L46" s="3"/>
    </row>
    <row r="47">
      <c r="A47" s="3"/>
      <c r="B47" s="2" t="s">
        <v>342</v>
      </c>
      <c r="C47" s="44">
        <v>50</v>
      </c>
      <c r="D47" s="44">
        <v>51</v>
      </c>
      <c r="E47" s="44">
        <v>49</v>
      </c>
      <c r="F47" s="44">
        <v>45</v>
      </c>
      <c r="G47" s="16">
        <f>D47</f>
        <v>51</v>
      </c>
      <c r="H47" s="20">
        <f>F47+'Cash Flow Statement'!H22</f>
        <v>45</v>
      </c>
      <c r="I47" s="13"/>
      <c r="J47" s="3"/>
      <c r="K47" s="3"/>
      <c r="L47" s="3"/>
    </row>
    <row r="48">
      <c r="A48" s="3"/>
      <c r="B48" s="2" t="s">
        <v>343</v>
      </c>
      <c r="C48" s="44">
        <v>13</v>
      </c>
      <c r="D48" s="44">
        <v>10</v>
      </c>
      <c r="E48" s="44">
        <v>18</v>
      </c>
      <c r="F48" s="44">
        <v>22</v>
      </c>
      <c r="G48" s="16">
        <f>D48</f>
        <v>10</v>
      </c>
      <c r="H48" s="25">
        <f>F48</f>
        <v>22</v>
      </c>
      <c r="I48" s="13"/>
      <c r="J48" s="3"/>
      <c r="K48" s="3"/>
      <c r="L48" s="3"/>
    </row>
    <row r="49">
      <c r="A49" s="3"/>
      <c r="B49" s="27" t="s">
        <v>344</v>
      </c>
      <c r="C49" s="23">
        <f>SUM(C42:C48)</f>
        <v>6239</v>
      </c>
      <c r="D49" s="23">
        <f>SUM(D42:D48)</f>
        <v>6085</v>
      </c>
      <c r="E49" s="23">
        <f>SUM(E42:E48)</f>
        <v>4688</v>
      </c>
      <c r="F49" s="23">
        <f>SUM(F42:F48)</f>
        <v>4914</v>
      </c>
      <c r="G49" s="23">
        <f>SUM(G42:G48)</f>
        <v>6085</v>
      </c>
      <c r="H49" s="38">
        <f>SUM(H42:H48)</f>
        <v>5092.468208823744</v>
      </c>
      <c r="I49" s="13"/>
      <c r="J49" s="3"/>
      <c r="K49" s="3"/>
      <c r="L49" s="3"/>
    </row>
    <row r="50">
      <c r="A50" s="3"/>
      <c r="B50" s="27" t="s">
        <v>345</v>
      </c>
      <c r="C50" s="23">
        <f>C41+C49</f>
        <v>6910</v>
      </c>
      <c r="D50" s="23">
        <f>D41+D49</f>
        <v>6686</v>
      </c>
      <c r="E50" s="23">
        <f>E41+E49</f>
        <v>5118</v>
      </c>
      <c r="F50" s="23">
        <f>F41+F49</f>
        <v>5363</v>
      </c>
      <c r="G50" s="23">
        <f>G41+G49</f>
        <v>6686</v>
      </c>
      <c r="H50" s="38">
        <f>H41+H49</f>
        <v>5525.468208823744</v>
      </c>
      <c r="I50" s="13"/>
      <c r="J50" s="3"/>
      <c r="K50" s="3"/>
      <c r="L50" s="3"/>
    </row>
    <row r="51">
      <c r="A51" s="3"/>
      <c r="B51" s="27" t="s">
        <v>346</v>
      </c>
      <c r="C51" s="23">
        <f>C50+C33</f>
        <v>14689</v>
      </c>
      <c r="D51" s="23">
        <f>D50+D33</f>
        <v>15015</v>
      </c>
      <c r="E51" s="23">
        <f>E50+E33</f>
        <v>13128</v>
      </c>
      <c r="F51" s="23">
        <f>F50+F33</f>
        <v>13748</v>
      </c>
      <c r="G51" s="23">
        <f>G50+G33</f>
        <v>15015</v>
      </c>
      <c r="H51" s="38">
        <f>H50+H33</f>
        <v>14226.303150327753</v>
      </c>
      <c r="I51" s="13"/>
      <c r="J51" s="3"/>
      <c r="K51" s="3"/>
      <c r="L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>
      <c r="A53" s="3"/>
      <c r="B53" s="1" t="s">
        <v>347</v>
      </c>
      <c r="C53" s="46">
        <f>ROUND(C25-C50-C33,6)</f>
        <v>0</v>
      </c>
      <c r="D53" s="46">
        <f>ROUND(D25-D50-D33,6)</f>
        <v>0</v>
      </c>
      <c r="E53" s="46">
        <f>ROUND(E25-E50-E33,6)</f>
        <v>0</v>
      </c>
      <c r="F53" s="46">
        <f>ROUND(F25-F50-F33,6)</f>
        <v>0</v>
      </c>
      <c r="G53" s="46">
        <f>ROUND(G25-G50-G33,6)</f>
        <v>0</v>
      </c>
      <c r="H53" s="65">
        <f>ROUND(H25-H50-H33,6)</f>
        <v>0</v>
      </c>
      <c r="I53" s="13"/>
      <c r="J53" s="3"/>
      <c r="K53" s="3"/>
      <c r="L53" s="3"/>
    </row>
    <row r="54">
      <c r="A54" s="3"/>
      <c r="B54" s="2" t="s">
        <v>348</v>
      </c>
      <c r="C54" s="16">
        <f>C22+C21</f>
        <v>9062</v>
      </c>
      <c r="D54" s="16">
        <f>D22+D21</f>
        <v>9467</v>
      </c>
      <c r="E54" s="16">
        <f>E22+E21</f>
        <v>8746</v>
      </c>
      <c r="F54" s="16">
        <f>F22+F21</f>
        <v>9388</v>
      </c>
      <c r="G54" s="16">
        <f>G22+G21</f>
        <v>9467</v>
      </c>
      <c r="H54" s="25">
        <f>H22+H21</f>
        <v>9844.303150327753</v>
      </c>
      <c r="I54" s="13"/>
      <c r="J54" s="3"/>
      <c r="K54" s="3"/>
      <c r="L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L65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6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>
      <c r="A2" s="3"/>
      <c r="B2" s="5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>
      <c r="A3" s="3"/>
      <c r="B3" s="30" t="s">
        <v>349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>
      <c r="A4" s="3"/>
      <c r="B4" s="17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>
      <c r="A5" s="3"/>
      <c r="B5" s="31" t="s">
        <v>48</v>
      </c>
      <c r="C5" s="12" t="s">
        <v>49</v>
      </c>
      <c r="D5" s="12" t="s">
        <v>50</v>
      </c>
      <c r="E5" s="12" t="s">
        <v>51</v>
      </c>
      <c r="F5" s="12" t="s">
        <v>52</v>
      </c>
      <c r="G5" s="12" t="s">
        <v>53</v>
      </c>
      <c r="H5" s="12" t="s">
        <v>4</v>
      </c>
      <c r="I5" s="31" t="s">
        <v>54</v>
      </c>
      <c r="J5" s="3"/>
      <c r="K5" s="3"/>
      <c r="L5" s="3"/>
    </row>
    <row r="6">
      <c r="A6" s="3"/>
      <c r="B6" s="22" t="s">
        <v>5</v>
      </c>
      <c r="C6" s="19">
        <v>45930</v>
      </c>
      <c r="D6" s="19">
        <v>46022</v>
      </c>
      <c r="E6" s="19">
        <v>46112</v>
      </c>
      <c r="F6" s="19">
        <v>46203</v>
      </c>
      <c r="G6" s="19">
        <v>46022</v>
      </c>
      <c r="H6" s="19">
        <v>46295</v>
      </c>
      <c r="I6" s="22"/>
      <c r="J6" s="3"/>
      <c r="K6" s="3"/>
      <c r="L6" s="3"/>
    </row>
    <row r="7">
      <c r="A7" s="3"/>
      <c r="B7" s="10" t="s">
        <v>6</v>
      </c>
      <c r="C7" s="28">
        <f>C6-EOMONTH(C6,-3)</f>
        <v>92</v>
      </c>
      <c r="D7" s="28">
        <f>D6-EOMONTH(D6,-3)</f>
        <v>92</v>
      </c>
      <c r="E7" s="28">
        <f>E6-EOMONTH(E6,-3)</f>
        <v>90</v>
      </c>
      <c r="F7" s="28">
        <f>F6-EOMONTH(F6,-3)</f>
        <v>91</v>
      </c>
      <c r="G7" s="28">
        <f>G6-DATE(YEAR(G6)-1,12,31)</f>
        <v>365</v>
      </c>
      <c r="H7" s="28">
        <f>H6-EOMONTH(H6,-3)</f>
        <v>92</v>
      </c>
      <c r="I7" s="10"/>
      <c r="J7" s="3"/>
      <c r="K7" s="3"/>
      <c r="L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>
      <c r="A9" s="3"/>
      <c r="B9" s="27" t="s">
        <v>350</v>
      </c>
      <c r="C9" s="15"/>
      <c r="D9" s="15"/>
      <c r="E9" s="15"/>
      <c r="F9" s="15"/>
      <c r="G9" s="15"/>
      <c r="H9" s="15"/>
      <c r="I9" s="13"/>
      <c r="J9" s="3"/>
      <c r="K9" s="3"/>
      <c r="L9" s="3"/>
    </row>
    <row r="10">
      <c r="A10" s="3"/>
      <c r="B10" s="2" t="s">
        <v>351</v>
      </c>
      <c r="C10" s="21">
        <f>'Income Statement'!C56</f>
        <v>899</v>
      </c>
      <c r="D10" s="21">
        <f>'Income Statement'!D56</f>
        <v>1174</v>
      </c>
      <c r="E10" s="21">
        <f>'Income Statement'!E56</f>
        <v>721</v>
      </c>
      <c r="F10" s="21">
        <f>'Income Statement'!F56</f>
        <v>545</v>
      </c>
      <c r="G10" s="21">
        <f>'Income Statement'!G56</f>
        <v>2212</v>
      </c>
      <c r="H10" s="20">
        <f>'Income Statement'!H56</f>
        <v>545.8349415040091</v>
      </c>
      <c r="I10" s="13"/>
      <c r="J10" s="3"/>
      <c r="K10" s="3"/>
      <c r="L10" s="3"/>
    </row>
    <row r="11">
      <c r="A11" s="3"/>
      <c r="B11" s="2" t="s">
        <v>352</v>
      </c>
      <c r="C11" s="44">
        <v>19</v>
      </c>
      <c r="D11" s="44">
        <v>20</v>
      </c>
      <c r="E11" s="44">
        <v>20</v>
      </c>
      <c r="F11" s="44">
        <v>24</v>
      </c>
      <c r="G11" s="21">
        <f>Inputs!E174+Inputs!F174+C11+D11</f>
        <v>79</v>
      </c>
      <c r="H11" s="45">
        <v>24</v>
      </c>
      <c r="I11" s="13" t="s">
        <v>353</v>
      </c>
      <c r="J11" s="3"/>
      <c r="K11" s="3"/>
      <c r="L11" s="3"/>
    </row>
    <row r="12">
      <c r="A12" s="3"/>
      <c r="B12" s="2" t="s">
        <v>354</v>
      </c>
      <c r="C12" s="44">
        <v>5</v>
      </c>
      <c r="D12" s="44">
        <v>5</v>
      </c>
      <c r="E12" s="44">
        <v>6</v>
      </c>
      <c r="F12" s="44">
        <v>5</v>
      </c>
      <c r="G12" s="21">
        <f>Inputs!E175+Inputs!F175+C12+D12</f>
        <v>23</v>
      </c>
      <c r="H12" s="45">
        <v>5</v>
      </c>
      <c r="I12" s="13"/>
      <c r="J12" s="3"/>
      <c r="K12" s="3"/>
      <c r="L12" s="3"/>
    </row>
    <row r="13">
      <c r="A13" s="3"/>
      <c r="B13" s="2" t="s">
        <v>355</v>
      </c>
      <c r="C13" s="44">
        <v>5</v>
      </c>
      <c r="D13" s="44">
        <v>0</v>
      </c>
      <c r="E13" s="44">
        <v>4</v>
      </c>
      <c r="F13" s="44">
        <v>0</v>
      </c>
      <c r="G13" s="21">
        <f>Inputs!E176+Inputs!F176+C13+D13</f>
        <v>8</v>
      </c>
      <c r="H13" s="45">
        <v>0</v>
      </c>
      <c r="I13" s="13" t="s">
        <v>356</v>
      </c>
      <c r="J13" s="3"/>
      <c r="K13" s="3"/>
      <c r="L13" s="3"/>
    </row>
    <row r="14">
      <c r="A14" s="3"/>
      <c r="B14" s="2" t="s">
        <v>357</v>
      </c>
      <c r="C14" s="44">
        <v>75</v>
      </c>
      <c r="D14" s="44">
        <v>57</v>
      </c>
      <c r="E14" s="44">
        <v>56</v>
      </c>
      <c r="F14" s="44">
        <v>86</v>
      </c>
      <c r="G14" s="21">
        <f>Inputs!E177+Inputs!F177+C14+D14</f>
        <v>247</v>
      </c>
      <c r="H14" s="45">
        <v>85</v>
      </c>
      <c r="I14" s="13"/>
      <c r="J14" s="3"/>
      <c r="K14" s="3"/>
      <c r="L14" s="3"/>
    </row>
    <row r="15" ht="37.5">
      <c r="A15" s="3"/>
      <c r="B15" s="2" t="s">
        <v>358</v>
      </c>
      <c r="C15" s="21">
        <f>-'Income Statement'!C47</f>
        <v>-262</v>
      </c>
      <c r="D15" s="21">
        <f>-'Income Statement'!D47</f>
        <v>-349</v>
      </c>
      <c r="E15" s="21">
        <f>-'Income Statement'!E47</f>
        <v>-248</v>
      </c>
      <c r="F15" s="21">
        <f>-'Income Statement'!F47</f>
        <v>-86</v>
      </c>
      <c r="G15" s="21">
        <f>-'Income Statement'!G47</f>
        <v>-771</v>
      </c>
      <c r="H15" s="20">
        <f>-'Income Statement'!H47</f>
        <v>-53</v>
      </c>
      <c r="I15" s="104" t="s">
        <v>359</v>
      </c>
      <c r="J15" s="3"/>
      <c r="K15" s="3"/>
      <c r="L15" s="3"/>
    </row>
    <row r="16">
      <c r="A16" s="3"/>
      <c r="B16" s="2" t="s">
        <v>360</v>
      </c>
      <c r="C16" s="21">
        <f>-'Income Statement'!C48</f>
        <v>17</v>
      </c>
      <c r="D16" s="21">
        <f>-'Income Statement'!D48</f>
        <v>29</v>
      </c>
      <c r="E16" s="21">
        <f>-'Income Statement'!E48</f>
        <v>26</v>
      </c>
      <c r="F16" s="21">
        <f>-'Income Statement'!F48</f>
        <v>21</v>
      </c>
      <c r="G16" s="21">
        <f>-'Income Statement'!G48</f>
        <v>745</v>
      </c>
      <c r="H16" s="20">
        <f>-'Income Statement'!H48</f>
        <v>17</v>
      </c>
      <c r="I16" s="13"/>
      <c r="J16" s="3"/>
      <c r="K16" s="3"/>
      <c r="L16" s="3"/>
    </row>
    <row r="17">
      <c r="A17" s="3"/>
      <c r="B17" s="2" t="s">
        <v>361</v>
      </c>
      <c r="C17" s="21">
        <f>'Income Statement'!C52</f>
        <v>-72</v>
      </c>
      <c r="D17" s="21">
        <f>'Income Statement'!D52</f>
        <v>-153</v>
      </c>
      <c r="E17" s="21">
        <f>'Income Statement'!E52</f>
        <v>216</v>
      </c>
      <c r="F17" s="21">
        <f>'Income Statement'!F52</f>
        <v>175</v>
      </c>
      <c r="G17" s="21">
        <f>'Income Statement'!G52</f>
        <v>12</v>
      </c>
      <c r="H17" s="20">
        <f>'Income Statement'!H52</f>
        <v>158.4682088237446</v>
      </c>
      <c r="I17" s="13"/>
      <c r="J17" s="3"/>
      <c r="K17" s="3"/>
      <c r="L17" s="3"/>
    </row>
    <row r="18">
      <c r="A18" s="3"/>
      <c r="B18" s="2" t="s">
        <v>362</v>
      </c>
      <c r="C18" s="44">
        <v>1</v>
      </c>
      <c r="D18" s="44">
        <v>1</v>
      </c>
      <c r="E18" s="44">
        <v>-2</v>
      </c>
      <c r="F18" s="44">
        <v>1</v>
      </c>
      <c r="G18" s="21">
        <f>Inputs!E178+Inputs!F178+C18+D18</f>
        <v>10</v>
      </c>
      <c r="H18" s="45">
        <v>0</v>
      </c>
      <c r="I18" s="13"/>
      <c r="J18" s="3"/>
      <c r="K18" s="3"/>
      <c r="L18" s="3"/>
    </row>
    <row r="19" ht="23.24853515625">
      <c r="A19" s="3"/>
      <c r="B19" s="2" t="s">
        <v>363</v>
      </c>
      <c r="C19" s="44">
        <v>-26</v>
      </c>
      <c r="D19" s="44">
        <v>-66</v>
      </c>
      <c r="E19" s="44">
        <v>91</v>
      </c>
      <c r="F19" s="44">
        <v>-80</v>
      </c>
      <c r="G19" s="21">
        <f>Inputs!E179+Inputs!F179+C19+D19</f>
        <v>-115</v>
      </c>
      <c r="H19" s="45">
        <v>-30</v>
      </c>
      <c r="I19" s="13" t="s">
        <v>364</v>
      </c>
      <c r="J19" s="3"/>
      <c r="K19" s="3"/>
      <c r="L19" s="3"/>
    </row>
    <row r="20" ht="14.624267578125">
      <c r="A20" s="3"/>
      <c r="B20" s="2" t="s">
        <v>365</v>
      </c>
      <c r="C20" s="44">
        <v>100</v>
      </c>
      <c r="D20" s="44">
        <v>70</v>
      </c>
      <c r="E20" s="44">
        <v>-94</v>
      </c>
      <c r="F20" s="44">
        <v>150</v>
      </c>
      <c r="G20" s="21">
        <f>Inputs!E180+Inputs!F180+C20+D20</f>
        <v>281</v>
      </c>
      <c r="H20" s="45">
        <v>90</v>
      </c>
      <c r="I20" s="13" t="s">
        <v>366</v>
      </c>
      <c r="J20" s="3"/>
      <c r="K20" s="3"/>
      <c r="L20" s="3"/>
    </row>
    <row r="21">
      <c r="A21" s="3"/>
      <c r="B21" s="2" t="s">
        <v>367</v>
      </c>
      <c r="C21" s="44">
        <v>25</v>
      </c>
      <c r="D21" s="44">
        <v>20</v>
      </c>
      <c r="E21" s="44">
        <v>35</v>
      </c>
      <c r="F21" s="44">
        <v>25</v>
      </c>
      <c r="G21" s="21">
        <f>Inputs!E181+Inputs!F181+C21+D21</f>
        <v>60</v>
      </c>
      <c r="H21" s="45">
        <v>20</v>
      </c>
      <c r="I21" s="13"/>
      <c r="J21" s="3"/>
      <c r="K21" s="3"/>
      <c r="L21" s="3"/>
    </row>
    <row r="22">
      <c r="A22" s="3"/>
      <c r="B22" s="2" t="s">
        <v>368</v>
      </c>
      <c r="C22" s="44">
        <v>2</v>
      </c>
      <c r="D22" s="44">
        <v>0</v>
      </c>
      <c r="E22" s="44">
        <v>-3</v>
      </c>
      <c r="F22" s="44">
        <v>-6</v>
      </c>
      <c r="G22" s="21">
        <f>Inputs!E182+Inputs!F182+C22+D22</f>
        <v>22</v>
      </c>
      <c r="H22" s="45">
        <v>0</v>
      </c>
      <c r="I22" s="13"/>
      <c r="J22" s="3"/>
      <c r="K22" s="3"/>
      <c r="L22" s="3"/>
    </row>
    <row r="23" ht="48.75">
      <c r="A23" s="3"/>
      <c r="B23" s="2" t="s">
        <v>369</v>
      </c>
      <c r="C23" s="44">
        <v>-11</v>
      </c>
      <c r="D23" s="44">
        <v>-6</v>
      </c>
      <c r="E23" s="44">
        <v>-8</v>
      </c>
      <c r="F23" s="44">
        <v>-7</v>
      </c>
      <c r="G23" s="21">
        <f>Inputs!E183+Inputs!F183+C23+D23</f>
        <v>-36</v>
      </c>
      <c r="H23" s="25">
        <f>-H16</f>
        <v>-17</v>
      </c>
      <c r="I23" s="104" t="s">
        <v>370</v>
      </c>
      <c r="J23" s="3"/>
      <c r="K23" s="3"/>
      <c r="L23" s="3"/>
    </row>
    <row r="24" ht="37.5">
      <c r="A24" s="3"/>
      <c r="B24" s="2" t="s">
        <v>371</v>
      </c>
      <c r="C24" s="44">
        <v>57</v>
      </c>
      <c r="D24" s="44">
        <v>58</v>
      </c>
      <c r="E24" s="44">
        <v>52</v>
      </c>
      <c r="F24" s="44">
        <v>48</v>
      </c>
      <c r="G24" s="21">
        <f>Inputs!E184+Inputs!F184+C24+D24</f>
        <v>242</v>
      </c>
      <c r="H24" s="25">
        <f>-H15</f>
        <v>53</v>
      </c>
      <c r="I24" s="104" t="s">
        <v>372</v>
      </c>
      <c r="J24" s="3"/>
      <c r="K24" s="3"/>
      <c r="L24" s="3"/>
    </row>
    <row r="25">
      <c r="A25" s="3"/>
      <c r="B25" s="2" t="s">
        <v>373</v>
      </c>
      <c r="C25" s="44">
        <v>-5</v>
      </c>
      <c r="D25" s="44">
        <v>-4</v>
      </c>
      <c r="E25" s="44">
        <v>-36</v>
      </c>
      <c r="F25" s="44">
        <v>-85</v>
      </c>
      <c r="G25" s="21">
        <f>Inputs!E185+Inputs!F185+C25+D25</f>
        <v>-86</v>
      </c>
      <c r="H25" s="45">
        <v>-90</v>
      </c>
      <c r="I25" s="13" t="s">
        <v>374</v>
      </c>
      <c r="J25" s="3"/>
      <c r="K25" s="3"/>
      <c r="L25" s="3"/>
    </row>
    <row r="26">
      <c r="A26" s="3"/>
      <c r="B26" s="27" t="s">
        <v>375</v>
      </c>
      <c r="C26" s="23">
        <f>SUM(C10:C25)</f>
        <v>829</v>
      </c>
      <c r="D26" s="23">
        <f>SUM(D10:D25)</f>
        <v>856</v>
      </c>
      <c r="E26" s="23">
        <f>SUM(E10:E25)</f>
        <v>836</v>
      </c>
      <c r="F26" s="23">
        <f>SUM(F10:F25)</f>
        <v>816</v>
      </c>
      <c r="G26" s="23">
        <f>SUM(G10:G25)</f>
        <v>2933</v>
      </c>
      <c r="H26" s="38">
        <f>SUM(H10:H25)</f>
        <v>808.3031503277537</v>
      </c>
      <c r="I26" s="13"/>
      <c r="J26" s="3"/>
      <c r="K26" s="3"/>
      <c r="L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>
      <c r="A28" s="3"/>
      <c r="B28" s="27" t="s">
        <v>376</v>
      </c>
      <c r="C28" s="15"/>
      <c r="D28" s="15"/>
      <c r="E28" s="15"/>
      <c r="F28" s="15"/>
      <c r="G28" s="15"/>
      <c r="H28" s="15"/>
      <c r="I28" s="13"/>
      <c r="J28" s="3"/>
      <c r="K28" s="3"/>
      <c r="L28" s="3"/>
    </row>
    <row r="29" ht="14.624267578125">
      <c r="A29" s="3"/>
      <c r="B29" s="2" t="s">
        <v>377</v>
      </c>
      <c r="C29" s="44">
        <v>0</v>
      </c>
      <c r="D29" s="44">
        <v>-9</v>
      </c>
      <c r="E29" s="44">
        <v>0</v>
      </c>
      <c r="F29" s="44">
        <v>0</v>
      </c>
      <c r="G29" s="21">
        <f>Inputs!E187+Inputs!F187+C29+D29</f>
        <v>-9</v>
      </c>
      <c r="H29" s="45">
        <v>0</v>
      </c>
      <c r="I29" s="13" t="s">
        <v>378</v>
      </c>
      <c r="J29" s="3"/>
      <c r="K29" s="3"/>
      <c r="L29" s="3"/>
    </row>
    <row r="30" ht="23.24853515625">
      <c r="A30" s="3"/>
      <c r="B30" s="2" t="s">
        <v>379</v>
      </c>
      <c r="C30" s="44">
        <v>0</v>
      </c>
      <c r="D30" s="44">
        <v>0</v>
      </c>
      <c r="E30" s="44">
        <v>0</v>
      </c>
      <c r="F30" s="44">
        <v>0</v>
      </c>
      <c r="G30" s="21">
        <f>Inputs!E188+Inputs!F188+C30+D30</f>
        <v>-9</v>
      </c>
      <c r="H30" s="45">
        <v>0</v>
      </c>
      <c r="I30" s="13" t="s">
        <v>380</v>
      </c>
      <c r="J30" s="3"/>
      <c r="K30" s="3"/>
      <c r="L30" s="3"/>
    </row>
    <row r="31">
      <c r="A31" s="3"/>
      <c r="B31" s="2" t="s">
        <v>381</v>
      </c>
      <c r="C31" s="44">
        <v>-23</v>
      </c>
      <c r="D31" s="44">
        <v>-22</v>
      </c>
      <c r="E31" s="44">
        <v>-5</v>
      </c>
      <c r="F31" s="44">
        <v>-20</v>
      </c>
      <c r="G31" s="21">
        <f>Inputs!E189+Inputs!F189+C31+D31</f>
        <v>-61</v>
      </c>
      <c r="H31" s="45">
        <v>-21</v>
      </c>
      <c r="I31" s="13"/>
      <c r="J31" s="3"/>
      <c r="K31" s="3"/>
      <c r="L31" s="3"/>
    </row>
    <row r="32">
      <c r="A32" s="3"/>
      <c r="B32" s="2" t="s">
        <v>382</v>
      </c>
      <c r="C32" s="44">
        <v>-4783</v>
      </c>
      <c r="D32" s="44">
        <v>-5916</v>
      </c>
      <c r="E32" s="44">
        <v>-6740</v>
      </c>
      <c r="F32" s="44">
        <v>-7301</v>
      </c>
      <c r="G32" s="21">
        <f>Inputs!E190+Inputs!F190+C32+D32</f>
        <v>-19271</v>
      </c>
      <c r="H32" s="45">
        <v>0</v>
      </c>
      <c r="I32" s="13" t="s">
        <v>383</v>
      </c>
      <c r="J32" s="3"/>
      <c r="K32" s="3"/>
      <c r="L32" s="3"/>
    </row>
    <row r="33" ht="14.624267578125">
      <c r="A33" s="3"/>
      <c r="B33" s="2" t="s">
        <v>384</v>
      </c>
      <c r="C33" s="44">
        <v>4369</v>
      </c>
      <c r="D33" s="44">
        <v>5318</v>
      </c>
      <c r="E33" s="44">
        <v>7484</v>
      </c>
      <c r="F33" s="44">
        <v>7351</v>
      </c>
      <c r="G33" s="21">
        <f>Inputs!E191+Inputs!F191+C33+D33</f>
        <v>17545</v>
      </c>
      <c r="H33" s="45">
        <v>0</v>
      </c>
      <c r="I33" s="13" t="s">
        <v>385</v>
      </c>
      <c r="J33" s="3"/>
      <c r="K33" s="3"/>
      <c r="L33" s="3"/>
    </row>
    <row r="34">
      <c r="A34" s="3"/>
      <c r="B34" s="2" t="s">
        <v>386</v>
      </c>
      <c r="C34" s="44">
        <v>0</v>
      </c>
      <c r="D34" s="44">
        <v>0</v>
      </c>
      <c r="E34" s="44">
        <v>1</v>
      </c>
      <c r="F34" s="44">
        <v>2</v>
      </c>
      <c r="G34" s="21">
        <f>Inputs!E192+Inputs!F192+C34+D34</f>
        <v>2</v>
      </c>
      <c r="H34" s="45">
        <v>0</v>
      </c>
      <c r="I34" s="13"/>
      <c r="J34" s="3"/>
      <c r="K34" s="3"/>
      <c r="L34" s="3"/>
    </row>
    <row r="35">
      <c r="A35" s="3"/>
      <c r="B35" s="2" t="s">
        <v>387</v>
      </c>
      <c r="C35" s="44">
        <v>1</v>
      </c>
      <c r="D35" s="44">
        <v>0</v>
      </c>
      <c r="E35" s="44">
        <v>0</v>
      </c>
      <c r="F35" s="44">
        <v>29</v>
      </c>
      <c r="G35" s="21">
        <f>Inputs!E193+Inputs!F193+C35+D35</f>
        <v>23</v>
      </c>
      <c r="H35" s="45">
        <v>0</v>
      </c>
      <c r="I35" s="13"/>
      <c r="J35" s="3"/>
      <c r="K35" s="3"/>
      <c r="L35" s="3"/>
    </row>
    <row r="36">
      <c r="A36" s="3"/>
      <c r="B36" s="2" t="s">
        <v>388</v>
      </c>
      <c r="C36" s="44">
        <v>-2</v>
      </c>
      <c r="D36" s="44">
        <v>0</v>
      </c>
      <c r="E36" s="44">
        <v>-8</v>
      </c>
      <c r="F36" s="44">
        <v>1</v>
      </c>
      <c r="G36" s="21">
        <f>Inputs!E194+Inputs!F194+C36+D36</f>
        <v>-5</v>
      </c>
      <c r="H36" s="45">
        <v>0</v>
      </c>
      <c r="I36" s="13"/>
      <c r="J36" s="3"/>
      <c r="K36" s="3"/>
      <c r="L36" s="3"/>
    </row>
    <row r="37">
      <c r="A37" s="3"/>
      <c r="B37" s="27" t="s">
        <v>389</v>
      </c>
      <c r="C37" s="23">
        <f>SUM(C29:C36)</f>
        <v>-438</v>
      </c>
      <c r="D37" s="23">
        <f>SUM(D29:D36)</f>
        <v>-629</v>
      </c>
      <c r="E37" s="23">
        <f>SUM(E29:E36)</f>
        <v>732</v>
      </c>
      <c r="F37" s="23">
        <f>SUM(F29:F36)</f>
        <v>62</v>
      </c>
      <c r="G37" s="23">
        <f>SUM(G29:G36)</f>
        <v>-1785</v>
      </c>
      <c r="H37" s="38">
        <f>SUM(H29:H36)</f>
        <v>-21</v>
      </c>
      <c r="I37" s="13"/>
      <c r="J37" s="3"/>
      <c r="K37" s="3"/>
      <c r="L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>
      <c r="A39" s="3"/>
      <c r="B39" s="27" t="s">
        <v>390</v>
      </c>
      <c r="C39" s="15"/>
      <c r="D39" s="15"/>
      <c r="E39" s="15"/>
      <c r="F39" s="15"/>
      <c r="G39" s="15"/>
      <c r="H39" s="15"/>
      <c r="I39" s="13"/>
      <c r="J39" s="3"/>
      <c r="K39" s="3"/>
      <c r="L39" s="3"/>
    </row>
    <row r="40">
      <c r="A40" s="3"/>
      <c r="B40" s="2" t="s">
        <v>391</v>
      </c>
      <c r="C40" s="44">
        <v>39</v>
      </c>
      <c r="D40" s="44">
        <v>37</v>
      </c>
      <c r="E40" s="44">
        <v>64</v>
      </c>
      <c r="F40" s="44">
        <v>64</v>
      </c>
      <c r="G40" s="21">
        <f>Inputs!E196+Inputs!F196+C40+D40</f>
        <v>372</v>
      </c>
      <c r="H40" s="45">
        <v>45</v>
      </c>
      <c r="I40" s="13" t="s">
        <v>392</v>
      </c>
      <c r="J40" s="3"/>
      <c r="K40" s="3"/>
      <c r="L40" s="3"/>
    </row>
    <row r="41">
      <c r="A41" s="3"/>
      <c r="B41" s="2" t="s">
        <v>393</v>
      </c>
      <c r="C41" s="44">
        <v>-58</v>
      </c>
      <c r="D41" s="44">
        <v>-381</v>
      </c>
      <c r="E41" s="44">
        <v>-306</v>
      </c>
      <c r="F41" s="44">
        <v>-232</v>
      </c>
      <c r="G41" s="21">
        <f>Inputs!E197+Inputs!F197+C41+D41</f>
        <v>-439</v>
      </c>
      <c r="H41" s="45">
        <v>-330</v>
      </c>
      <c r="I41" s="13" t="s">
        <v>394</v>
      </c>
      <c r="J41" s="3"/>
      <c r="K41" s="3"/>
      <c r="L41" s="3"/>
    </row>
    <row r="42">
      <c r="A42" s="3"/>
      <c r="B42" s="2" t="s">
        <v>395</v>
      </c>
      <c r="C42" s="44">
        <v>-15</v>
      </c>
      <c r="D42" s="44">
        <v>-14</v>
      </c>
      <c r="E42" s="44">
        <v>-20</v>
      </c>
      <c r="F42" s="44">
        <v>-16</v>
      </c>
      <c r="G42" s="21">
        <f>Inputs!E198+Inputs!F198+C42+D42</f>
        <v>-73</v>
      </c>
      <c r="H42" s="45">
        <v>-16</v>
      </c>
      <c r="I42" s="13"/>
      <c r="J42" s="3"/>
      <c r="K42" s="3"/>
      <c r="L42" s="3"/>
    </row>
    <row r="43">
      <c r="A43" s="3"/>
      <c r="B43" s="2" t="s">
        <v>396</v>
      </c>
      <c r="C43" s="44">
        <v>0</v>
      </c>
      <c r="D43" s="44">
        <v>0</v>
      </c>
      <c r="E43" s="44">
        <v>-1304</v>
      </c>
      <c r="F43" s="44">
        <v>0</v>
      </c>
      <c r="G43" s="21">
        <f>Inputs!E199+Inputs!F199+C43+D43</f>
        <v>0</v>
      </c>
      <c r="H43" s="45">
        <v>0</v>
      </c>
      <c r="I43" s="13"/>
      <c r="J43" s="3"/>
      <c r="K43" s="3"/>
      <c r="L43" s="3"/>
    </row>
    <row r="44">
      <c r="A44" s="3"/>
      <c r="B44" s="2" t="s">
        <v>397</v>
      </c>
      <c r="C44" s="44">
        <v>-66</v>
      </c>
      <c r="D44" s="44">
        <v>-60</v>
      </c>
      <c r="E44" s="44">
        <v>-45</v>
      </c>
      <c r="F44" s="44">
        <v>-34</v>
      </c>
      <c r="G44" s="21">
        <f>Inputs!E200+Inputs!F200+C44+D44</f>
        <v>-241</v>
      </c>
      <c r="H44" s="45">
        <v>-30</v>
      </c>
      <c r="I44" s="13" t="s">
        <v>398</v>
      </c>
      <c r="J44" s="3"/>
      <c r="K44" s="3"/>
      <c r="L44" s="3"/>
    </row>
    <row r="45">
      <c r="A45" s="3"/>
      <c r="B45" s="27" t="s">
        <v>399</v>
      </c>
      <c r="C45" s="23">
        <f>SUM(C40:C44)</f>
        <v>-100</v>
      </c>
      <c r="D45" s="23">
        <f>SUM(D40:D44)</f>
        <v>-418</v>
      </c>
      <c r="E45" s="23">
        <f>SUM(E40:E44)</f>
        <v>-1611</v>
      </c>
      <c r="F45" s="23">
        <f>SUM(F40:F44)</f>
        <v>-218</v>
      </c>
      <c r="G45" s="23">
        <f>SUM(G40:G44)</f>
        <v>-381</v>
      </c>
      <c r="H45" s="38">
        <f>SUM(H40:H44)</f>
        <v>-331</v>
      </c>
      <c r="I45" s="13"/>
      <c r="J45" s="3"/>
      <c r="K45" s="3"/>
      <c r="L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>
      <c r="A47" s="3"/>
      <c r="B47" s="27" t="s">
        <v>400</v>
      </c>
      <c r="C47" s="23">
        <f>C26+C37+C45</f>
        <v>291</v>
      </c>
      <c r="D47" s="23">
        <f>D26+D37+D45</f>
        <v>-191</v>
      </c>
      <c r="E47" s="23">
        <f>E26+E37+E45</f>
        <v>-43</v>
      </c>
      <c r="F47" s="23">
        <f>F26+F37+F45</f>
        <v>660</v>
      </c>
      <c r="G47" s="23">
        <f>G26+G37+G45</f>
        <v>767</v>
      </c>
      <c r="H47" s="38">
        <f>H26+H37+H45</f>
        <v>456.30315032775366</v>
      </c>
      <c r="I47" s="13"/>
      <c r="J47" s="3"/>
      <c r="K47" s="3"/>
      <c r="L47" s="3"/>
    </row>
    <row r="48">
      <c r="A48" s="3"/>
      <c r="B48" s="2" t="s">
        <v>401</v>
      </c>
      <c r="C48" s="21">
        <f>Inputs!F205</f>
        <v>5161</v>
      </c>
      <c r="D48" s="21">
        <f>'Balance Sheet'!C22</f>
        <v>5456</v>
      </c>
      <c r="E48" s="21">
        <f>'Balance Sheet'!D22</f>
        <v>5258</v>
      </c>
      <c r="F48" s="21">
        <f>'Balance Sheet'!E22</f>
        <v>5255</v>
      </c>
      <c r="G48" s="21">
        <f>Inputs!E203</f>
        <v>4781</v>
      </c>
      <c r="H48" s="20">
        <f>'Balance Sheet'!F22</f>
        <v>5938</v>
      </c>
      <c r="I48" s="13"/>
      <c r="J48" s="3"/>
      <c r="K48" s="3"/>
      <c r="L48" s="3"/>
    </row>
    <row r="49">
      <c r="A49" s="3"/>
      <c r="B49" s="2" t="s">
        <v>402</v>
      </c>
      <c r="C49" s="44">
        <v>4</v>
      </c>
      <c r="D49" s="44">
        <v>-7</v>
      </c>
      <c r="E49" s="44">
        <v>40</v>
      </c>
      <c r="F49" s="44">
        <v>23</v>
      </c>
      <c r="G49" s="21">
        <f>Inputs!E204+Inputs!F204+C49+D49</f>
        <v>-290</v>
      </c>
      <c r="H49" s="45">
        <v>0</v>
      </c>
      <c r="I49" s="13"/>
      <c r="J49" s="3"/>
      <c r="K49" s="3"/>
      <c r="L49" s="3"/>
    </row>
    <row r="50">
      <c r="A50" s="3"/>
      <c r="B50" s="27" t="s">
        <v>403</v>
      </c>
      <c r="C50" s="23">
        <f>C48+C47+C49</f>
        <v>5456</v>
      </c>
      <c r="D50" s="23">
        <f>D48+D47+D49</f>
        <v>5258</v>
      </c>
      <c r="E50" s="23">
        <f>E48+E47+E49</f>
        <v>5255</v>
      </c>
      <c r="F50" s="23">
        <f>F48+F47+F49</f>
        <v>5938</v>
      </c>
      <c r="G50" s="23">
        <f>G48+G47+G49</f>
        <v>5258</v>
      </c>
      <c r="H50" s="38">
        <f>H48+H47+H49</f>
        <v>6394.303150327753</v>
      </c>
      <c r="I50" s="13"/>
      <c r="J50" s="3"/>
      <c r="K50" s="3"/>
      <c r="L50" s="3"/>
    </row>
    <row r="51">
      <c r="A51" s="3"/>
      <c r="B51" s="1" t="s">
        <v>404</v>
      </c>
      <c r="C51" s="24">
        <f>ROUND(C50-'Balance Sheet'!C22,6)</f>
        <v>0</v>
      </c>
      <c r="D51" s="24">
        <f>ROUND(D50-'Balance Sheet'!D22,6)</f>
        <v>0</v>
      </c>
      <c r="E51" s="24">
        <f>ROUND(E50-'Balance Sheet'!E22,6)</f>
        <v>0</v>
      </c>
      <c r="F51" s="24">
        <f>ROUND(F50-'Balance Sheet'!F22,6)</f>
        <v>0</v>
      </c>
      <c r="G51" s="24">
        <f>ROUND(G50-'Balance Sheet'!G22,6)</f>
        <v>0</v>
      </c>
      <c r="H51" s="26">
        <f>ROUND(H50-'Balance Sheet'!H22,6)</f>
        <v>0</v>
      </c>
      <c r="I51" s="13"/>
      <c r="J51" s="3"/>
      <c r="K51" s="3"/>
      <c r="L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23.24853515625">
      <c r="A53" s="3"/>
      <c r="B53" s="27" t="s">
        <v>405</v>
      </c>
      <c r="C53" s="15"/>
      <c r="D53" s="15"/>
      <c r="E53" s="15"/>
      <c r="F53" s="15"/>
      <c r="G53" s="15"/>
      <c r="H53" s="15"/>
      <c r="I53" s="13"/>
      <c r="J53" s="3"/>
      <c r="K53" s="3"/>
      <c r="L53" s="3"/>
    </row>
    <row r="54">
      <c r="A54" s="3"/>
      <c r="B54" s="2" t="s">
        <v>406</v>
      </c>
      <c r="C54" s="44">
        <v>-23</v>
      </c>
      <c r="D54" s="44">
        <v>-22</v>
      </c>
      <c r="E54" s="44">
        <v>-13</v>
      </c>
      <c r="F54" s="44">
        <v>-21</v>
      </c>
      <c r="G54" s="21">
        <f>Inputs!E206+Inputs!F206+C54+D54</f>
        <v>-61</v>
      </c>
      <c r="H54" s="25">
        <f>H31</f>
        <v>-21</v>
      </c>
      <c r="I54" s="13" t="s">
        <v>407</v>
      </c>
      <c r="J54" s="3"/>
      <c r="K54" s="3"/>
      <c r="L54" s="3"/>
    </row>
    <row r="55" ht="14.624267578125">
      <c r="A55" s="3"/>
      <c r="B55" s="2" t="s">
        <v>408</v>
      </c>
      <c r="C55" s="44">
        <v>0</v>
      </c>
      <c r="D55" s="44">
        <v>0</v>
      </c>
      <c r="E55" s="44">
        <v>1</v>
      </c>
      <c r="F55" s="44">
        <v>2</v>
      </c>
      <c r="G55" s="21">
        <f>Inputs!E207+Inputs!F207+C55+D55</f>
        <v>2</v>
      </c>
      <c r="H55" s="25">
        <f>H34</f>
        <v>0</v>
      </c>
      <c r="I55" s="13" t="s">
        <v>409</v>
      </c>
      <c r="J55" s="3"/>
      <c r="K55" s="3"/>
      <c r="L55" s="3"/>
    </row>
    <row r="56">
      <c r="A56" s="3"/>
      <c r="B56" s="27" t="s">
        <v>410</v>
      </c>
      <c r="C56" s="23">
        <f>C26+C54+C55</f>
        <v>806</v>
      </c>
      <c r="D56" s="23">
        <f>D26+D54+D55</f>
        <v>834</v>
      </c>
      <c r="E56" s="23">
        <f>E26+E54+E55</f>
        <v>824</v>
      </c>
      <c r="F56" s="23">
        <f>F26+F54+F55</f>
        <v>797</v>
      </c>
      <c r="G56" s="23">
        <f>G26+G54+G55</f>
        <v>2874</v>
      </c>
      <c r="H56" s="38">
        <f>H26+H54+H55</f>
        <v>787.3031503277537</v>
      </c>
      <c r="I56" s="13"/>
      <c r="J56" s="3"/>
      <c r="K56" s="3"/>
      <c r="L56" s="3"/>
    </row>
    <row r="57">
      <c r="A57" s="3"/>
      <c r="B57" s="1" t="s">
        <v>57</v>
      </c>
      <c r="C57" s="14">
        <f>IFERROR(IF(Inputs!C149&lt;=0,"n.m.",C56/Inputs!C149-1),"n.a.")</f>
        <v>0.13361462728551343</v>
      </c>
      <c r="D57" s="14">
        <f>IFERROR(IF(Inputs!D149&lt;=0,"n.m.",D56/Inputs!D149-1),"n.a.")</f>
        <v>-0.04903078677309003</v>
      </c>
      <c r="E57" s="14">
        <f>IFERROR(IF(Inputs!E149&lt;=0,"n.m.",E56/Inputs!E149-1),"n.a.")</f>
        <v>0.5430711610486891</v>
      </c>
      <c r="F57" s="14">
        <f>IFERROR(IF(Inputs!F149&lt;=0,"n.m.",F56/Inputs!F149-1),"n.a.")</f>
        <v>0.13857142857142857</v>
      </c>
      <c r="G57" s="14">
        <f>IFERROR(IF(Inputs!G149&lt;=0,"n.m.",G56/Inputs!G149-1),"n.a.")</f>
        <v>0.25776805251641144</v>
      </c>
      <c r="H57" s="18">
        <f>IFERROR(IF(C56&lt;=0,"n.m.",H56/C56-1),"n.a.")</f>
        <v>-0.023197083960603382</v>
      </c>
      <c r="I57" s="13"/>
      <c r="J57" s="3"/>
      <c r="K57" s="3"/>
      <c r="L57" s="3"/>
    </row>
    <row r="58">
      <c r="A58" s="3"/>
      <c r="B58" s="2" t="s">
        <v>411</v>
      </c>
      <c r="C58" s="44">
        <v>806</v>
      </c>
      <c r="D58" s="44">
        <v>834</v>
      </c>
      <c r="E58" s="44">
        <v>824</v>
      </c>
      <c r="F58" s="44">
        <v>797</v>
      </c>
      <c r="G58" s="44">
        <v>2874</v>
      </c>
      <c r="H58" s="25" t="s">
        <v>33</v>
      </c>
      <c r="I58" s="13" t="s">
        <v>412</v>
      </c>
      <c r="J58" s="3"/>
      <c r="K58" s="3"/>
      <c r="L58" s="3"/>
    </row>
    <row r="59">
      <c r="A59" s="3"/>
      <c r="B59" s="1" t="s">
        <v>413</v>
      </c>
      <c r="C59" s="46">
        <f>ROUND(C56-C58,6)</f>
        <v>0</v>
      </c>
      <c r="D59" s="46">
        <f>ROUND(D56-D58,6)</f>
        <v>0</v>
      </c>
      <c r="E59" s="46">
        <f>ROUND(E56-E58,6)</f>
        <v>0</v>
      </c>
      <c r="F59" s="46">
        <f>ROUND(F56-F58,6)</f>
        <v>0</v>
      </c>
      <c r="G59" s="46">
        <f>ROUND(G56-G58,6)</f>
        <v>0</v>
      </c>
      <c r="H59" s="65" t="s">
        <v>33</v>
      </c>
      <c r="I59" s="13"/>
      <c r="J59" s="3"/>
      <c r="K59" s="3"/>
      <c r="L59" s="3"/>
    </row>
    <row r="60">
      <c r="A60" s="3"/>
      <c r="B60" s="1" t="s">
        <v>414</v>
      </c>
      <c r="C60" s="14">
        <f>C56/'Income Statement'!C10</f>
        <v>0.18867041198501872</v>
      </c>
      <c r="D60" s="14">
        <f>D56/'Income Statement'!D10</f>
        <v>0.18406532774222026</v>
      </c>
      <c r="E60" s="14">
        <f>E56/'Income Statement'!E10</f>
        <v>0.18177807191705272</v>
      </c>
      <c r="F60" s="14">
        <f>F56/'Income Statement'!F10</f>
        <v>0.16684111366966717</v>
      </c>
      <c r="G60" s="14">
        <f>G56/'Income Statement'!G10</f>
        <v>0.16722913999767253</v>
      </c>
      <c r="H60" s="29">
        <f>H56/'Income Statement'!H10</f>
        <v>0.15844824897544207</v>
      </c>
      <c r="I60" s="13"/>
      <c r="J60" s="3"/>
      <c r="K60" s="3"/>
      <c r="L60" s="3"/>
    </row>
    <row r="61">
      <c r="A61" s="3"/>
      <c r="B61" s="2" t="s">
        <v>96</v>
      </c>
      <c r="C61" s="48">
        <f>IFERROR((C60-Inputs!C150)*10000,"n.a.")</f>
        <v>103.8555742132763</v>
      </c>
      <c r="D61" s="48">
        <f>IFERROR((D60-Inputs!D150)*10000,"n.a.")</f>
        <v>-226.7677503948648</v>
      </c>
      <c r="E61" s="48">
        <f>IFERROR((E60-Inputs!E150)*10000,"n.a.")</f>
        <v>543.3177120106228</v>
      </c>
      <c r="F61" s="48">
        <f>IFERROR((F60-Inputs!F150)*10000,"n.a.")</f>
        <v>-1.0379451063333156</v>
      </c>
      <c r="G61" s="48">
        <f>IFERROR((G60-Inputs!G150)*10000,"n.a.")</f>
        <v>214.37013410548184</v>
      </c>
      <c r="H61" s="42">
        <f>IFERROR((H60-C60)*10000,"n.a.")</f>
        <v>-302.2216300957664</v>
      </c>
      <c r="I61" s="13"/>
      <c r="J61" s="3"/>
      <c r="K61" s="3"/>
      <c r="L61" s="3"/>
    </row>
    <row r="62">
      <c r="A62" s="3"/>
      <c r="B62" s="2" t="s">
        <v>97</v>
      </c>
      <c r="C62" s="48">
        <f>IFERROR((C60-Inputs!F150)*10000,"n.a.")</f>
        <v>217.25503804718215</v>
      </c>
      <c r="D62" s="52">
        <f>IFERROR((D60-C60)*10000,"n.a.")</f>
        <v>-46.05084242798457</v>
      </c>
      <c r="E62" s="52">
        <f>IFERROR((E60-D60)*10000,"n.a.")</f>
        <v>-22.872558251675336</v>
      </c>
      <c r="F62" s="52">
        <f>IFERROR((F60-E60)*10000,"n.a.")</f>
        <v>-149.36958247385556</v>
      </c>
      <c r="G62" s="52" t="s">
        <v>33</v>
      </c>
      <c r="H62" s="42">
        <f>IFERROR((H60-F60)*10000,"n.a.")</f>
        <v>-83.92864694225094</v>
      </c>
      <c r="I62" s="13"/>
      <c r="J62" s="3"/>
      <c r="K62" s="3"/>
      <c r="L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L43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6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>
      <c r="A2" s="3"/>
      <c r="B2" s="5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>
      <c r="A3" s="3"/>
      <c r="B3" s="30" t="s">
        <v>415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>
      <c r="A4" s="3"/>
      <c r="B4" s="17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>
      <c r="A5" s="3"/>
      <c r="B5" s="31" t="s">
        <v>48</v>
      </c>
      <c r="C5" s="12" t="s">
        <v>49</v>
      </c>
      <c r="D5" s="12" t="s">
        <v>50</v>
      </c>
      <c r="E5" s="12" t="s">
        <v>51</v>
      </c>
      <c r="F5" s="12" t="s">
        <v>52</v>
      </c>
      <c r="G5" s="12" t="s">
        <v>53</v>
      </c>
      <c r="H5" s="12" t="s">
        <v>4</v>
      </c>
      <c r="I5" s="31" t="s">
        <v>54</v>
      </c>
      <c r="J5" s="3"/>
      <c r="K5" s="3"/>
      <c r="L5" s="3"/>
    </row>
    <row r="6">
      <c r="A6" s="3"/>
      <c r="B6" s="22" t="s">
        <v>5</v>
      </c>
      <c r="C6" s="19">
        <v>45930</v>
      </c>
      <c r="D6" s="19">
        <v>46022</v>
      </c>
      <c r="E6" s="19">
        <v>46112</v>
      </c>
      <c r="F6" s="19">
        <v>46203</v>
      </c>
      <c r="G6" s="19">
        <v>46022</v>
      </c>
      <c r="H6" s="19">
        <v>46295</v>
      </c>
      <c r="I6" s="22"/>
      <c r="J6" s="3"/>
      <c r="K6" s="3"/>
      <c r="L6" s="3"/>
    </row>
    <row r="7">
      <c r="A7" s="3"/>
      <c r="B7" s="10" t="s">
        <v>6</v>
      </c>
      <c r="C7" s="28">
        <f>C6-EOMONTH(C6,-3)</f>
        <v>92</v>
      </c>
      <c r="D7" s="28">
        <f>D6-EOMONTH(D6,-3)</f>
        <v>92</v>
      </c>
      <c r="E7" s="28">
        <f>E6-EOMONTH(E6,-3)</f>
        <v>90</v>
      </c>
      <c r="F7" s="28">
        <f>F6-EOMONTH(F6,-3)</f>
        <v>91</v>
      </c>
      <c r="G7" s="28">
        <f>G6-DATE(YEAR(G6)-1,12,31)</f>
        <v>365</v>
      </c>
      <c r="H7" s="28">
        <f>H6-EOMONTH(H6,-3)</f>
        <v>92</v>
      </c>
      <c r="I7" s="10"/>
      <c r="J7" s="3"/>
      <c r="K7" s="3"/>
      <c r="L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ht="31.872802734375">
      <c r="A9" s="3"/>
      <c r="B9" s="27" t="s">
        <v>416</v>
      </c>
      <c r="C9" s="15"/>
      <c r="D9" s="15"/>
      <c r="E9" s="15"/>
      <c r="F9" s="15"/>
      <c r="G9" s="15"/>
      <c r="H9" s="15"/>
      <c r="I9" s="13"/>
      <c r="J9" s="3"/>
      <c r="K9" s="3"/>
      <c r="L9" s="3"/>
    </row>
    <row r="10" ht="26.25">
      <c r="A10" s="3"/>
      <c r="B10" s="2" t="s">
        <v>417</v>
      </c>
      <c r="C10" s="44">
        <v>1587</v>
      </c>
      <c r="D10" s="21">
        <f>Inputs!C238-Inputs!C235</f>
        <v>1641</v>
      </c>
      <c r="E10" s="21">
        <f>Inputs!C241-F10</f>
        <v>1592</v>
      </c>
      <c r="F10" s="44">
        <v>1734</v>
      </c>
      <c r="G10" s="21">
        <f>Inputs!E168+Inputs!F168+C10+D10</f>
        <v>6470</v>
      </c>
      <c r="H10" s="25">
        <f>H34*H36</f>
        <v>1803.633931237425</v>
      </c>
      <c r="I10" s="104" t="s">
        <v>418</v>
      </c>
      <c r="J10" s="3"/>
      <c r="K10" s="3"/>
      <c r="L10" s="3"/>
    </row>
    <row r="11">
      <c r="A11" s="3"/>
      <c r="B11" s="1" t="s">
        <v>57</v>
      </c>
      <c r="C11" s="14">
        <f>IFERROR(IF(Inputs!C168&lt;=0,"n.m.",C10/Inputs!C168-1),"n.a.")</f>
        <v>0.006341154090044432</v>
      </c>
      <c r="D11" s="14">
        <f>IFERROR(IF(Inputs!D168&lt;=0,"n.m.",D10/Inputs!D168-1),"n.a.")</f>
        <v>-0.0329994107248085</v>
      </c>
      <c r="E11" s="14">
        <f>IFERROR(IF(Inputs!E168&lt;=0,"n.m.",E10/Inputs!E168-1),"n.a.")</f>
        <v>-0.035151515151515156</v>
      </c>
      <c r="F11" s="14">
        <f>IFERROR(IF(Inputs!F168&lt;=0,"n.m.",F10/Inputs!F168-1),"n.a.")</f>
        <v>0.08919597989949746</v>
      </c>
      <c r="G11" s="14">
        <f>IFERROR(IF(Inputs!G168&lt;=0,"n.m.",G10/Inputs!G168-1),"n.a.")</f>
        <v>0.05443285528031283</v>
      </c>
      <c r="H11" s="18">
        <f>IFERROR(IF(C10&lt;=0,"n.m.",H10/C10-1),"n.a.")</f>
        <v>0.13650531268898858</v>
      </c>
      <c r="I11" s="13"/>
      <c r="J11" s="3"/>
      <c r="K11" s="3"/>
      <c r="L11" s="3"/>
    </row>
    <row r="12">
      <c r="A12" s="3"/>
      <c r="B12" s="1" t="s">
        <v>58</v>
      </c>
      <c r="C12" s="14">
        <f>IFERROR(IF(Inputs!F168&lt;=0,"n.m.",C10/Inputs!F168-1),"n.a.")</f>
        <v>-0.003140703517587995</v>
      </c>
      <c r="D12" s="11">
        <f>IFERROR(IF(C10&lt;=0,"n.m.",D10/C10-1),"n.a.")</f>
        <v>0.03402646502835549</v>
      </c>
      <c r="E12" s="11">
        <f>IFERROR(IF(D10&lt;=0,"n.m.",E10/D10-1),"n.a.")</f>
        <v>-0.029859841560024414</v>
      </c>
      <c r="F12" s="11">
        <f>IFERROR(IF(E10&lt;=0,"n.m.",F10/E10-1),"n.a.")</f>
        <v>0.08919597989949746</v>
      </c>
      <c r="G12" s="11" t="s">
        <v>33</v>
      </c>
      <c r="H12" s="18">
        <f>IFERROR(IF(F10&lt;=0,"n.m.",H10/F10-1),"n.a.")</f>
        <v>0.04015797649217134</v>
      </c>
      <c r="I12" s="13"/>
      <c r="J12" s="3"/>
      <c r="K12" s="3"/>
      <c r="L12" s="3"/>
    </row>
    <row r="13">
      <c r="A13" s="3"/>
      <c r="B13" s="1" t="s">
        <v>59</v>
      </c>
      <c r="C13" s="11">
        <f>C10/C34</f>
        <v>0.3714887640449438</v>
      </c>
      <c r="D13" s="11">
        <f>D10/D34</f>
        <v>0.36217170602516</v>
      </c>
      <c r="E13" s="11">
        <f>E10/E34</f>
        <v>0.3512022942863446</v>
      </c>
      <c r="F13" s="11">
        <f>F10/F34</f>
        <v>0.36298932384341637</v>
      </c>
      <c r="G13" s="11">
        <f>G10/G34</f>
        <v>0.3764692191318515</v>
      </c>
      <c r="H13" s="18">
        <f>H10/H34</f>
        <v>0.36298932384341637</v>
      </c>
      <c r="I13" s="13"/>
      <c r="J13" s="3"/>
      <c r="K13" s="3"/>
      <c r="L13" s="3"/>
    </row>
    <row r="14">
      <c r="A14" s="3"/>
      <c r="B14" s="1" t="s">
        <v>60</v>
      </c>
      <c r="C14" s="11" t="s">
        <v>33</v>
      </c>
      <c r="D14" s="11" t="s">
        <v>33</v>
      </c>
      <c r="E14" s="11" t="s">
        <v>33</v>
      </c>
      <c r="F14" s="11" t="s">
        <v>33</v>
      </c>
      <c r="G14" s="11" t="s">
        <v>33</v>
      </c>
      <c r="H14" s="18" t="s">
        <v>33</v>
      </c>
      <c r="I14" s="13" t="s">
        <v>419</v>
      </c>
      <c r="J14" s="3"/>
      <c r="K14" s="3"/>
      <c r="L14" s="3"/>
    </row>
    <row r="15">
      <c r="A15" s="3"/>
      <c r="B15" s="1" t="s">
        <v>62</v>
      </c>
      <c r="C15" s="11" t="s">
        <v>33</v>
      </c>
      <c r="D15" s="11" t="s">
        <v>33</v>
      </c>
      <c r="E15" s="11" t="s">
        <v>33</v>
      </c>
      <c r="F15" s="11" t="s">
        <v>33</v>
      </c>
      <c r="G15" s="11" t="s">
        <v>33</v>
      </c>
      <c r="H15" s="18" t="s">
        <v>33</v>
      </c>
      <c r="I15" s="13" t="s">
        <v>63</v>
      </c>
      <c r="J15" s="3"/>
      <c r="K15" s="3"/>
      <c r="L15" s="3"/>
    </row>
    <row r="16">
      <c r="A16" s="3"/>
      <c r="B16" s="1" t="s">
        <v>64</v>
      </c>
      <c r="C16" s="11" t="s">
        <v>33</v>
      </c>
      <c r="D16" s="11" t="s">
        <v>33</v>
      </c>
      <c r="E16" s="11" t="s">
        <v>33</v>
      </c>
      <c r="F16" s="11" t="s">
        <v>33</v>
      </c>
      <c r="G16" s="11" t="s">
        <v>33</v>
      </c>
      <c r="H16" s="18" t="s">
        <v>33</v>
      </c>
      <c r="I16" s="13" t="s">
        <v>420</v>
      </c>
      <c r="J16" s="3"/>
      <c r="K16" s="3"/>
      <c r="L16" s="3"/>
    </row>
    <row r="17">
      <c r="A17" s="3"/>
      <c r="B17" s="1" t="s">
        <v>67</v>
      </c>
      <c r="C17" s="14">
        <f>C10/Inputs!C168-1</f>
        <v>0.006341154090044432</v>
      </c>
      <c r="D17" s="14">
        <f>D10/Inputs!D168-1</f>
        <v>-0.0329994107248085</v>
      </c>
      <c r="E17" s="14">
        <f>E10/Inputs!E168-1</f>
        <v>-0.035151515151515156</v>
      </c>
      <c r="F17" s="14">
        <f>F10/Inputs!F168-1</f>
        <v>0.08919597989949746</v>
      </c>
      <c r="G17" s="14">
        <f>G10/Inputs!G168-1</f>
        <v>0.05443285528031283</v>
      </c>
      <c r="H17" s="18">
        <f>H10/C10-1</f>
        <v>0.13650531268898858</v>
      </c>
      <c r="I17" s="13"/>
      <c r="J17" s="3"/>
      <c r="K17" s="3"/>
      <c r="L17" s="3"/>
    </row>
    <row r="18">
      <c r="A18" s="3"/>
      <c r="B18" s="2" t="s">
        <v>421</v>
      </c>
      <c r="C18" s="44">
        <v>3</v>
      </c>
      <c r="D18" s="21">
        <f>Inputs!C239-Inputs!C236</f>
        <v>4</v>
      </c>
      <c r="E18" s="21">
        <f>Inputs!C242-F18</f>
        <v>3</v>
      </c>
      <c r="F18" s="44">
        <v>4</v>
      </c>
      <c r="G18" s="21">
        <f>Inputs!E169+Inputs!F169+C18+D18</f>
        <v>13</v>
      </c>
      <c r="H18" s="45">
        <v>4</v>
      </c>
      <c r="I18" s="13"/>
      <c r="J18" s="3"/>
      <c r="K18" s="3"/>
      <c r="L18" s="3"/>
    </row>
    <row r="19">
      <c r="A19" s="3"/>
      <c r="B19" s="1" t="s">
        <v>57</v>
      </c>
      <c r="C19" s="14">
        <f>IFERROR(IF(Inputs!C169&lt;=0,"n.m.",C18/Inputs!C169-1),"n.a.")</f>
        <v>0.5</v>
      </c>
      <c r="D19" s="14">
        <f>IFERROR(IF(Inputs!D169&lt;=0,"n.m.",D18/Inputs!D169-1),"n.a.")</f>
        <v>0.33333333333333326</v>
      </c>
      <c r="E19" s="14">
        <f>IFERROR(IF(Inputs!E169&lt;=0,"n.m.",E18/Inputs!E169-1),"n.a.")</f>
        <v>0</v>
      </c>
      <c r="F19" s="14">
        <f>IFERROR(IF(Inputs!F169&lt;=0,"n.m.",F18/Inputs!F169-1),"n.a.")</f>
        <v>0.33333333333333326</v>
      </c>
      <c r="G19" s="14">
        <f>IFERROR(IF(Inputs!G169&lt;=0,"n.m.",G18/Inputs!G169-1),"n.a.")</f>
        <v>0.30000000000000004</v>
      </c>
      <c r="H19" s="18">
        <f>IFERROR(IF(C18&lt;=0,"n.m.",H18/C18-1),"n.a.")</f>
        <v>0.33333333333333326</v>
      </c>
      <c r="I19" s="13"/>
      <c r="J19" s="3"/>
      <c r="K19" s="3"/>
      <c r="L19" s="3"/>
    </row>
    <row r="20">
      <c r="A20" s="3"/>
      <c r="B20" s="1" t="s">
        <v>58</v>
      </c>
      <c r="C20" s="14">
        <f>IFERROR(IF(Inputs!F169&lt;=0,"n.m.",C18/Inputs!F169-1),"n.a.")</f>
        <v>0</v>
      </c>
      <c r="D20" s="11">
        <f>IFERROR(IF(C18&lt;=0,"n.m.",D18/C18-1),"n.a.")</f>
        <v>0.33333333333333326</v>
      </c>
      <c r="E20" s="11">
        <f>IFERROR(IF(D18&lt;=0,"n.m.",E18/D18-1),"n.a.")</f>
        <v>-0.25</v>
      </c>
      <c r="F20" s="11">
        <f>IFERROR(IF(E18&lt;=0,"n.m.",F18/E18-1),"n.a.")</f>
        <v>0.33333333333333326</v>
      </c>
      <c r="G20" s="11" t="s">
        <v>33</v>
      </c>
      <c r="H20" s="18">
        <f>IFERROR(IF(F18&lt;=0,"n.m.",H18/F18-1),"n.a.")</f>
        <v>0</v>
      </c>
      <c r="I20" s="13"/>
      <c r="J20" s="3"/>
      <c r="K20" s="3"/>
      <c r="L20" s="3"/>
    </row>
    <row r="21">
      <c r="A21" s="3"/>
      <c r="B21" s="1" t="s">
        <v>59</v>
      </c>
      <c r="C21" s="11">
        <f>C18/C34</f>
        <v>0.0007022471910112359</v>
      </c>
      <c r="D21" s="11">
        <f>D18/D34</f>
        <v>0.0008828073273008167</v>
      </c>
      <c r="E21" s="11">
        <f>E18/E34</f>
        <v>0.0006618133686300463</v>
      </c>
      <c r="F21" s="11">
        <f>F18/F34</f>
        <v>0.0008373456144023446</v>
      </c>
      <c r="G21" s="11">
        <f>G18/G34</f>
        <v>0.0007564296520423601</v>
      </c>
      <c r="H21" s="18">
        <f>H18/H34</f>
        <v>0.0008050177312740599</v>
      </c>
      <c r="I21" s="13"/>
      <c r="J21" s="3"/>
      <c r="K21" s="3"/>
      <c r="L21" s="3"/>
    </row>
    <row r="22">
      <c r="A22" s="3"/>
      <c r="B22" s="1" t="s">
        <v>60</v>
      </c>
      <c r="C22" s="11" t="s">
        <v>33</v>
      </c>
      <c r="D22" s="11" t="s">
        <v>33</v>
      </c>
      <c r="E22" s="11" t="s">
        <v>33</v>
      </c>
      <c r="F22" s="11" t="s">
        <v>33</v>
      </c>
      <c r="G22" s="11" t="s">
        <v>33</v>
      </c>
      <c r="H22" s="18" t="s">
        <v>33</v>
      </c>
      <c r="I22" s="13" t="s">
        <v>419</v>
      </c>
      <c r="J22" s="3"/>
      <c r="K22" s="3"/>
      <c r="L22" s="3"/>
    </row>
    <row r="23">
      <c r="A23" s="3"/>
      <c r="B23" s="1" t="s">
        <v>62</v>
      </c>
      <c r="C23" s="11" t="s">
        <v>33</v>
      </c>
      <c r="D23" s="11" t="s">
        <v>33</v>
      </c>
      <c r="E23" s="11" t="s">
        <v>33</v>
      </c>
      <c r="F23" s="11" t="s">
        <v>33</v>
      </c>
      <c r="G23" s="11" t="s">
        <v>33</v>
      </c>
      <c r="H23" s="18" t="s">
        <v>33</v>
      </c>
      <c r="I23" s="13" t="s">
        <v>63</v>
      </c>
      <c r="J23" s="3"/>
      <c r="K23" s="3"/>
      <c r="L23" s="3"/>
    </row>
    <row r="24">
      <c r="A24" s="3"/>
      <c r="B24" s="1" t="s">
        <v>64</v>
      </c>
      <c r="C24" s="11" t="s">
        <v>33</v>
      </c>
      <c r="D24" s="11" t="s">
        <v>33</v>
      </c>
      <c r="E24" s="11" t="s">
        <v>33</v>
      </c>
      <c r="F24" s="11" t="s">
        <v>33</v>
      </c>
      <c r="G24" s="11" t="s">
        <v>33</v>
      </c>
      <c r="H24" s="18" t="s">
        <v>33</v>
      </c>
      <c r="I24" s="13" t="s">
        <v>420</v>
      </c>
      <c r="J24" s="3"/>
      <c r="K24" s="3"/>
      <c r="L24" s="3"/>
    </row>
    <row r="25">
      <c r="A25" s="3"/>
      <c r="B25" s="1" t="s">
        <v>67</v>
      </c>
      <c r="C25" s="14">
        <f>C18/Inputs!C169-1</f>
        <v>0.5</v>
      </c>
      <c r="D25" s="14">
        <f>D18/Inputs!D169-1</f>
        <v>0.33333333333333326</v>
      </c>
      <c r="E25" s="14">
        <f>E18/Inputs!E169-1</f>
        <v>0</v>
      </c>
      <c r="F25" s="14">
        <f>F18/Inputs!F169-1</f>
        <v>0.33333333333333326</v>
      </c>
      <c r="G25" s="14">
        <f>G18/Inputs!G169-1</f>
        <v>0.30000000000000004</v>
      </c>
      <c r="H25" s="18">
        <f>H18/C18-1</f>
        <v>0.33333333333333326</v>
      </c>
      <c r="I25" s="13"/>
      <c r="J25" s="3"/>
      <c r="K25" s="3"/>
      <c r="L25" s="3"/>
    </row>
    <row r="26">
      <c r="A26" s="3"/>
      <c r="B26" s="2" t="s">
        <v>422</v>
      </c>
      <c r="C26" s="44">
        <v>2682</v>
      </c>
      <c r="D26" s="21">
        <f>Inputs!C240-Inputs!C237</f>
        <v>2886</v>
      </c>
      <c r="E26" s="21">
        <f>Inputs!C243-F26</f>
        <v>2938</v>
      </c>
      <c r="F26" s="44">
        <v>3039</v>
      </c>
      <c r="G26" s="21">
        <f>Inputs!E170+Inputs!F170+C26+D26</f>
        <v>10703</v>
      </c>
      <c r="H26" s="25">
        <f>H34-H10-H18</f>
        <v>3161.2007224656772</v>
      </c>
      <c r="I26" s="13" t="s">
        <v>423</v>
      </c>
      <c r="J26" s="3"/>
      <c r="K26" s="3"/>
      <c r="L26" s="3"/>
    </row>
    <row r="27">
      <c r="A27" s="3"/>
      <c r="B27" s="1" t="s">
        <v>57</v>
      </c>
      <c r="C27" s="14">
        <f>IFERROR(IF(Inputs!C170&lt;=0,"n.m.",C26/Inputs!C170-1),"n.a.")</f>
        <v>0.11332503113325032</v>
      </c>
      <c r="D27" s="14">
        <f>IFERROR(IF(Inputs!D170&lt;=0,"n.m.",D26/Inputs!D170-1),"n.a.")</f>
        <v>0.13532651455546807</v>
      </c>
      <c r="E27" s="14">
        <f>IFERROR(IF(Inputs!E170&lt;=0,"n.m.",E26/Inputs!E170-1),"n.a.")</f>
        <v>0.158060701616082</v>
      </c>
      <c r="F27" s="14">
        <f>IFERROR(IF(Inputs!F170&lt;=0,"n.m.",F26/Inputs!F170-1),"n.a.")</f>
        <v>0.1697459584295613</v>
      </c>
      <c r="G27" s="14">
        <f>IFERROR(IF(Inputs!G170&lt;=0,"n.m.",G26/Inputs!G170-1),"n.a.")</f>
        <v>0.12343864805290217</v>
      </c>
      <c r="H27" s="18">
        <f>IFERROR(IF(C26&lt;=0,"n.m.",H26/C26-1),"n.a.")</f>
        <v>0.17867290173962602</v>
      </c>
      <c r="I27" s="13"/>
      <c r="J27" s="3"/>
      <c r="K27" s="3"/>
      <c r="L27" s="3"/>
    </row>
    <row r="28">
      <c r="A28" s="3"/>
      <c r="B28" s="1" t="s">
        <v>58</v>
      </c>
      <c r="C28" s="14">
        <f>IFERROR(IF(Inputs!F170&lt;=0,"n.m.",C26/Inputs!F170-1),"n.a.")</f>
        <v>0.0323325635103926</v>
      </c>
      <c r="D28" s="11">
        <f>IFERROR(IF(C26&lt;=0,"n.m.",D26/C26-1),"n.a.")</f>
        <v>0.07606263982102912</v>
      </c>
      <c r="E28" s="11">
        <f>IFERROR(IF(D26&lt;=0,"n.m.",E26/D26-1),"n.a.")</f>
        <v>0.018018018018018056</v>
      </c>
      <c r="F28" s="11">
        <f>IFERROR(IF(E26&lt;=0,"n.m.",F26/E26-1),"n.a.")</f>
        <v>0.034377127297481325</v>
      </c>
      <c r="G28" s="11" t="s">
        <v>33</v>
      </c>
      <c r="H28" s="18">
        <f>IFERROR(IF(F26&lt;=0,"n.m.",H26/F26-1),"n.a.")</f>
        <v>0.04021083332203923</v>
      </c>
      <c r="I28" s="13"/>
      <c r="J28" s="3"/>
      <c r="K28" s="3"/>
      <c r="L28" s="3"/>
    </row>
    <row r="29">
      <c r="A29" s="3"/>
      <c r="B29" s="1" t="s">
        <v>59</v>
      </c>
      <c r="C29" s="11">
        <f>C26/C34</f>
        <v>0.6278089887640449</v>
      </c>
      <c r="D29" s="11">
        <f>D26/D34</f>
        <v>0.6369454866475391</v>
      </c>
      <c r="E29" s="11">
        <f>E26/E34</f>
        <v>0.6481358923450253</v>
      </c>
      <c r="F29" s="11">
        <f>F26/F34</f>
        <v>0.6361733305421813</v>
      </c>
      <c r="G29" s="11">
        <f>G26/G34</f>
        <v>0.6227743512161061</v>
      </c>
      <c r="H29" s="18">
        <f>H26/H34</f>
        <v>0.6362056584253096</v>
      </c>
      <c r="I29" s="13"/>
      <c r="J29" s="3"/>
      <c r="K29" s="3"/>
      <c r="L29" s="3"/>
    </row>
    <row r="30">
      <c r="A30" s="3"/>
      <c r="B30" s="1" t="s">
        <v>60</v>
      </c>
      <c r="C30" s="11" t="s">
        <v>33</v>
      </c>
      <c r="D30" s="11" t="s">
        <v>33</v>
      </c>
      <c r="E30" s="11" t="s">
        <v>33</v>
      </c>
      <c r="F30" s="11" t="s">
        <v>33</v>
      </c>
      <c r="G30" s="11" t="s">
        <v>33</v>
      </c>
      <c r="H30" s="18" t="s">
        <v>33</v>
      </c>
      <c r="I30" s="13" t="s">
        <v>419</v>
      </c>
      <c r="J30" s="3"/>
      <c r="K30" s="3"/>
      <c r="L30" s="3"/>
    </row>
    <row r="31">
      <c r="A31" s="3"/>
      <c r="B31" s="1" t="s">
        <v>62</v>
      </c>
      <c r="C31" s="11" t="s">
        <v>33</v>
      </c>
      <c r="D31" s="11" t="s">
        <v>33</v>
      </c>
      <c r="E31" s="11" t="s">
        <v>33</v>
      </c>
      <c r="F31" s="11" t="s">
        <v>33</v>
      </c>
      <c r="G31" s="11" t="s">
        <v>33</v>
      </c>
      <c r="H31" s="18" t="s">
        <v>33</v>
      </c>
      <c r="I31" s="13" t="s">
        <v>63</v>
      </c>
      <c r="J31" s="3"/>
      <c r="K31" s="3"/>
      <c r="L31" s="3"/>
    </row>
    <row r="32">
      <c r="A32" s="3"/>
      <c r="B32" s="1" t="s">
        <v>64</v>
      </c>
      <c r="C32" s="11" t="s">
        <v>33</v>
      </c>
      <c r="D32" s="11" t="s">
        <v>33</v>
      </c>
      <c r="E32" s="11" t="s">
        <v>33</v>
      </c>
      <c r="F32" s="11" t="s">
        <v>33</v>
      </c>
      <c r="G32" s="11" t="s">
        <v>33</v>
      </c>
      <c r="H32" s="18" t="s">
        <v>33</v>
      </c>
      <c r="I32" s="13" t="s">
        <v>420</v>
      </c>
      <c r="J32" s="3"/>
      <c r="K32" s="3"/>
      <c r="L32" s="3"/>
    </row>
    <row r="33">
      <c r="A33" s="3"/>
      <c r="B33" s="1" t="s">
        <v>67</v>
      </c>
      <c r="C33" s="14">
        <f>C26/Inputs!C170-1</f>
        <v>0.11332503113325032</v>
      </c>
      <c r="D33" s="14">
        <f>D26/Inputs!D170-1</f>
        <v>0.13532651455546807</v>
      </c>
      <c r="E33" s="14">
        <f>E26/Inputs!E170-1</f>
        <v>0.158060701616082</v>
      </c>
      <c r="F33" s="14">
        <f>F26/Inputs!F170-1</f>
        <v>0.1697459584295613</v>
      </c>
      <c r="G33" s="14">
        <f>G26/Inputs!G170-1</f>
        <v>0.12343864805290217</v>
      </c>
      <c r="H33" s="18">
        <f>H26/C26-1</f>
        <v>0.17867290173962602</v>
      </c>
      <c r="I33" s="13"/>
      <c r="J33" s="3"/>
      <c r="K33" s="3"/>
      <c r="L33" s="3"/>
    </row>
    <row r="34">
      <c r="A34" s="3"/>
      <c r="B34" s="27" t="s">
        <v>424</v>
      </c>
      <c r="C34" s="23">
        <f>C10+C18+C26</f>
        <v>4272</v>
      </c>
      <c r="D34" s="23">
        <f>D10+D18+D26</f>
        <v>4531</v>
      </c>
      <c r="E34" s="23">
        <f>E10+E18+E26</f>
        <v>4533</v>
      </c>
      <c r="F34" s="23">
        <f>F10+F18+F26</f>
        <v>4777</v>
      </c>
      <c r="G34" s="23">
        <f>G10+G18+G26</f>
        <v>17186</v>
      </c>
      <c r="H34" s="41">
        <f>'Income Statement'!H10</f>
        <v>4968.834653703102</v>
      </c>
      <c r="I34" s="13"/>
      <c r="J34" s="3"/>
      <c r="K34" s="3"/>
      <c r="L34" s="3"/>
    </row>
    <row r="35">
      <c r="A35" s="3"/>
      <c r="B35" s="1" t="s">
        <v>57</v>
      </c>
      <c r="C35" s="14">
        <f>IFERROR(IF(Inputs!C171&lt;=0,"n.m.",C34/Inputs!C171-1),"n.a.")</f>
        <v>0.07121364092276838</v>
      </c>
      <c r="D35" s="14">
        <f>IFERROR(IF(Inputs!D171&lt;=0,"n.m.",D34/Inputs!D171-1),"n.a.")</f>
        <v>0.06812824139556817</v>
      </c>
      <c r="E35" s="14">
        <f>IFERROR(IF(Inputs!E171&lt;=0,"n.m.",E34/Inputs!E171-1),"n.a.")</f>
        <v>0.0818615751789975</v>
      </c>
      <c r="F35" s="14">
        <f>IFERROR(IF(Inputs!F171&lt;=0,"n.m.",F34/Inputs!F171-1),"n.a.")</f>
        <v>0.13927975196756504</v>
      </c>
      <c r="G35" s="14">
        <f>IFERROR(IF(Inputs!G171&lt;=0,"n.m.",G34/Inputs!G171-1),"n.a.")</f>
        <v>0.0965354431187393</v>
      </c>
      <c r="H35" s="18">
        <f>IFERROR(IF(C34&lt;=0,"n.m.",H34/C34-1),"n.a.")</f>
        <v>0.16311672605409688</v>
      </c>
      <c r="I35" s="13"/>
      <c r="J35" s="3"/>
      <c r="K35" s="3"/>
      <c r="L35" s="3"/>
    </row>
    <row r="36" ht="26.25">
      <c r="A36" s="3"/>
      <c r="B36" s="1" t="s">
        <v>425</v>
      </c>
      <c r="C36" s="11">
        <f>C10/C34</f>
        <v>0.3714887640449438</v>
      </c>
      <c r="D36" s="11">
        <f>D10/D34</f>
        <v>0.36217170602516</v>
      </c>
      <c r="E36" s="11">
        <f>E10/E34</f>
        <v>0.3512022942863446</v>
      </c>
      <c r="F36" s="11">
        <f>F10/F34</f>
        <v>0.36298932384341637</v>
      </c>
      <c r="G36" s="11">
        <f>G10/G34</f>
        <v>0.3764692191318515</v>
      </c>
      <c r="H36" s="18">
        <f>F36</f>
        <v>0.36298932384341637</v>
      </c>
      <c r="I36" s="104" t="s">
        <v>426</v>
      </c>
      <c r="J36" s="3"/>
      <c r="K36" s="3"/>
      <c r="L36" s="3"/>
    </row>
    <row r="37">
      <c r="A37" s="3"/>
      <c r="B37" s="2" t="s">
        <v>96</v>
      </c>
      <c r="C37" s="48">
        <f>IFERROR((C36-Inputs!C172)*10000,"n.a.")</f>
        <v>-239.47544881836535</v>
      </c>
      <c r="D37" s="48">
        <f>IFERROR((D36-Inputs!D172)*10000,"n.a.")</f>
        <v>-378.7544154674005</v>
      </c>
      <c r="E37" s="48">
        <f>IFERROR((E36-Inputs!E172)*10000,"n.a.")</f>
        <v>-425.9245511699672</v>
      </c>
      <c r="F37" s="48">
        <f>IFERROR((F36-Inputs!F172)*10000,"n.a.")</f>
        <v>-166.91095903781317</v>
      </c>
      <c r="G37" s="48">
        <f>IFERROR((G36-Inputs!G172)*10000,"n.a.")</f>
        <v>-150.32088850028157</v>
      </c>
      <c r="H37" s="42">
        <f>IFERROR((H36-C36)*10000,"n.a.")</f>
        <v>-84.9944020152743</v>
      </c>
      <c r="I37" s="13"/>
      <c r="J37" s="3"/>
      <c r="K37" s="3"/>
      <c r="L37" s="3"/>
    </row>
    <row r="38">
      <c r="A38" s="3"/>
      <c r="B38" s="2" t="s">
        <v>97</v>
      </c>
      <c r="C38" s="48">
        <f>IFERROR((C36-Inputs!F172)*10000,"n.a.")</f>
        <v>-81.91655702253885</v>
      </c>
      <c r="D38" s="52">
        <f>IFERROR((D36-C36)*10000,"n.a.")</f>
        <v>-93.17058019783775</v>
      </c>
      <c r="E38" s="52">
        <f>IFERROR((E36-D36)*10000,"n.a.")</f>
        <v>-109.69411738815438</v>
      </c>
      <c r="F38" s="52">
        <f>IFERROR((F36-E36)*10000,"n.a.")</f>
        <v>117.87029557071781</v>
      </c>
      <c r="G38" s="52" t="s">
        <v>33</v>
      </c>
      <c r="H38" s="42">
        <f>IFERROR((H36-F36)*10000,"n.a.")</f>
        <v>0</v>
      </c>
      <c r="I38" s="13"/>
      <c r="J38" s="3"/>
      <c r="K38" s="3"/>
      <c r="L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>
      <c r="A40" s="3"/>
      <c r="B40" s="1" t="s">
        <v>427</v>
      </c>
      <c r="C40" s="24">
        <f>ROUND(C34-'Income Statement'!C10,6)</f>
        <v>0</v>
      </c>
      <c r="D40" s="24">
        <f>ROUND(D34-'Income Statement'!D10,6)</f>
        <v>0</v>
      </c>
      <c r="E40" s="24">
        <f>ROUND(E34-'Income Statement'!E10,6)</f>
        <v>0</v>
      </c>
      <c r="F40" s="24">
        <f>ROUND(F34-'Income Statement'!F10,6)</f>
        <v>0</v>
      </c>
      <c r="G40" s="24">
        <f>ROUND(G34-'Income Statement'!G10,6)</f>
        <v>0</v>
      </c>
      <c r="H40" s="26">
        <f>ROUND(H34-'Income Statement'!H10,6)</f>
        <v>0</v>
      </c>
      <c r="I40" s="13"/>
      <c r="J40" s="3"/>
      <c r="K40" s="3"/>
      <c r="L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L42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6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>
      <c r="A2" s="3"/>
      <c r="B2" s="5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>
      <c r="A3" s="3"/>
      <c r="B3" s="30" t="s">
        <v>428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>
      <c r="A4" s="3"/>
      <c r="B4" s="17" t="s">
        <v>429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>
      <c r="A5" s="3"/>
      <c r="B5" s="31" t="s">
        <v>48</v>
      </c>
      <c r="C5" s="12" t="s">
        <v>49</v>
      </c>
      <c r="D5" s="12" t="s">
        <v>50</v>
      </c>
      <c r="E5" s="12" t="s">
        <v>51</v>
      </c>
      <c r="F5" s="12" t="s">
        <v>52</v>
      </c>
      <c r="G5" s="12" t="s">
        <v>53</v>
      </c>
      <c r="H5" s="12" t="s">
        <v>4</v>
      </c>
      <c r="I5" s="31" t="s">
        <v>54</v>
      </c>
      <c r="J5" s="3"/>
      <c r="K5" s="3"/>
      <c r="L5" s="3"/>
    </row>
    <row r="6">
      <c r="A6" s="3"/>
      <c r="B6" s="22" t="s">
        <v>5</v>
      </c>
      <c r="C6" s="19">
        <v>45930</v>
      </c>
      <c r="D6" s="19">
        <v>46022</v>
      </c>
      <c r="E6" s="19">
        <v>46112</v>
      </c>
      <c r="F6" s="19">
        <v>46203</v>
      </c>
      <c r="G6" s="19">
        <v>46022</v>
      </c>
      <c r="H6" s="19">
        <v>46295</v>
      </c>
      <c r="I6" s="22"/>
      <c r="J6" s="3"/>
      <c r="K6" s="3"/>
      <c r="L6" s="3"/>
    </row>
    <row r="7">
      <c r="A7" s="3"/>
      <c r="B7" s="10" t="s">
        <v>6</v>
      </c>
      <c r="C7" s="28">
        <f>C6-EOMONTH(C6,-3)</f>
        <v>92</v>
      </c>
      <c r="D7" s="28">
        <f>D6-EOMONTH(D6,-3)</f>
        <v>92</v>
      </c>
      <c r="E7" s="28">
        <f>E6-EOMONTH(E6,-3)</f>
        <v>90</v>
      </c>
      <c r="F7" s="28">
        <f>F6-EOMONTH(F6,-3)</f>
        <v>91</v>
      </c>
      <c r="G7" s="28">
        <f>G6-DATE(YEAR(G6)-1,12,31)</f>
        <v>365</v>
      </c>
      <c r="H7" s="28">
        <f>H6-EOMONTH(H6,-3)</f>
        <v>92</v>
      </c>
      <c r="I7" s="10"/>
      <c r="J7" s="3"/>
      <c r="K7" s="3"/>
      <c r="L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>
      <c r="A9" s="3"/>
      <c r="B9" s="27" t="s">
        <v>430</v>
      </c>
      <c r="C9" s="15"/>
      <c r="D9" s="15"/>
      <c r="E9" s="15"/>
      <c r="F9" s="15"/>
      <c r="G9" s="15"/>
      <c r="H9" s="15"/>
      <c r="I9" s="13"/>
      <c r="J9" s="3"/>
      <c r="K9" s="3"/>
      <c r="L9" s="3"/>
    </row>
    <row r="10">
      <c r="A10" s="3"/>
      <c r="B10" s="27" t="s">
        <v>431</v>
      </c>
      <c r="C10" s="47">
        <v>205.964504</v>
      </c>
      <c r="D10" s="47">
        <v>205.771982</v>
      </c>
      <c r="E10" s="47">
        <v>205.716853</v>
      </c>
      <c r="F10" s="47">
        <v>205.788241</v>
      </c>
      <c r="G10" s="47">
        <v>205.412951</v>
      </c>
      <c r="H10" s="38">
        <f>F10-H33+H34</f>
        <v>205.7861821764706</v>
      </c>
      <c r="I10" s="13" t="s">
        <v>432</v>
      </c>
      <c r="J10" s="3"/>
      <c r="K10" s="3"/>
      <c r="L10" s="3"/>
    </row>
    <row r="11">
      <c r="A11" s="3"/>
      <c r="B11" s="1" t="s">
        <v>57</v>
      </c>
      <c r="C11" s="14">
        <f>IFERROR(IF(Inputs!C143&lt;=0,"n.m.",C10/Inputs!C143-1),"n.a.")</f>
        <v>0.021773154571986586</v>
      </c>
      <c r="D11" s="14">
        <f>IFERROR(IF(Inputs!D143&lt;=0,"n.m.",D10/Inputs!D143-1),"n.a.")</f>
        <v>0.014117281432897366</v>
      </c>
      <c r="E11" s="14">
        <f>IFERROR(IF(Inputs!E143&lt;=0,"n.m.",E10/Inputs!E143-1),"n.a.")</f>
        <v>0.006108175586873266</v>
      </c>
      <c r="F11" s="14">
        <f>IFERROR(IF(Inputs!F143&lt;=0,"n.m.",F10/Inputs!F143-1),"n.a.")</f>
        <v>0.0017584932932792618</v>
      </c>
      <c r="G11" s="14">
        <f>IFERROR(IF(Inputs!G143&lt;=0,"n.m.",G10/Inputs!G143-1),"n.a.")</f>
        <v>0.02387784306445595</v>
      </c>
      <c r="H11" s="18">
        <f>IFERROR(IF(C10&lt;=0,"n.m.",H10/C10-1),"n.a.")</f>
        <v>-0.0008657891047547661</v>
      </c>
      <c r="I11" s="13"/>
      <c r="J11" s="3"/>
      <c r="K11" s="3"/>
      <c r="L11" s="3"/>
    </row>
    <row r="12">
      <c r="A12" s="3"/>
      <c r="B12" s="2" t="s">
        <v>91</v>
      </c>
      <c r="C12" s="21">
        <f>C10-Inputs!F143</f>
        <v>0.5375050000000101</v>
      </c>
      <c r="D12" s="16">
        <f>D10-C10</f>
        <v>-0.19252199999999675</v>
      </c>
      <c r="E12" s="16">
        <f>E10-D10</f>
        <v>-0.05512900000002219</v>
      </c>
      <c r="F12" s="16">
        <f>F10-E10</f>
        <v>0.07138800000001311</v>
      </c>
      <c r="G12" s="16" t="s">
        <v>33</v>
      </c>
      <c r="H12" s="25">
        <f>H10-F10</f>
        <v>-0.002058823529409892</v>
      </c>
      <c r="I12" s="13"/>
      <c r="J12" s="3"/>
      <c r="K12" s="3"/>
      <c r="L12" s="3"/>
    </row>
    <row r="13">
      <c r="A13" s="3"/>
      <c r="B13" s="2" t="s">
        <v>433</v>
      </c>
      <c r="C13" s="44">
        <v>2.911498</v>
      </c>
      <c r="D13" s="44">
        <v>2.373333</v>
      </c>
      <c r="E13" s="44">
        <v>0</v>
      </c>
      <c r="F13" s="44">
        <v>0</v>
      </c>
      <c r="G13" s="44">
        <v>0</v>
      </c>
      <c r="H13" s="45">
        <v>0</v>
      </c>
      <c r="I13" s="13" t="s">
        <v>434</v>
      </c>
      <c r="J13" s="3"/>
      <c r="K13" s="3"/>
      <c r="L13" s="3"/>
    </row>
    <row r="14">
      <c r="A14" s="3"/>
      <c r="B14" s="2" t="s">
        <v>435</v>
      </c>
      <c r="C14" s="44">
        <v>3.614107</v>
      </c>
      <c r="D14" s="44">
        <v>3.283972</v>
      </c>
      <c r="E14" s="44">
        <v>2.772641</v>
      </c>
      <c r="F14" s="44">
        <v>2.396155</v>
      </c>
      <c r="G14" s="44">
        <v>3.741907</v>
      </c>
      <c r="H14" s="45">
        <v>2.5</v>
      </c>
      <c r="I14" s="13" t="s">
        <v>436</v>
      </c>
      <c r="J14" s="3"/>
      <c r="K14" s="3"/>
      <c r="L14" s="3"/>
    </row>
    <row r="15">
      <c r="A15" s="3"/>
      <c r="B15" s="2" t="s">
        <v>437</v>
      </c>
      <c r="C15" s="44">
        <v>1.292184</v>
      </c>
      <c r="D15" s="44">
        <v>1.056325</v>
      </c>
      <c r="E15" s="44">
        <v>0.787102</v>
      </c>
      <c r="F15" s="44">
        <v>0.674073</v>
      </c>
      <c r="G15" s="44">
        <v>1.344826</v>
      </c>
      <c r="H15" s="45">
        <v>0.7</v>
      </c>
      <c r="I15" s="13"/>
      <c r="J15" s="3"/>
      <c r="K15" s="3"/>
      <c r="L15" s="3"/>
    </row>
    <row r="16" ht="14.624267578125">
      <c r="A16" s="3"/>
      <c r="B16" s="2" t="s">
        <v>438</v>
      </c>
      <c r="C16" s="44">
        <v>0.007442</v>
      </c>
      <c r="D16" s="44">
        <v>0.007706</v>
      </c>
      <c r="E16" s="44">
        <v>0.003853</v>
      </c>
      <c r="F16" s="44">
        <v>0</v>
      </c>
      <c r="G16" s="44">
        <v>0.009489</v>
      </c>
      <c r="H16" s="45">
        <v>0</v>
      </c>
      <c r="I16" s="13" t="s">
        <v>439</v>
      </c>
      <c r="J16" s="3"/>
      <c r="K16" s="3"/>
      <c r="L16" s="3"/>
    </row>
    <row r="17">
      <c r="A17" s="3"/>
      <c r="B17" s="27" t="s">
        <v>440</v>
      </c>
      <c r="C17" s="23">
        <f>SUM(C10,C13:C16)</f>
        <v>213.789735</v>
      </c>
      <c r="D17" s="23">
        <f>SUM(D10,D13:D16)</f>
        <v>212.49331800000002</v>
      </c>
      <c r="E17" s="23">
        <f>SUM(E10,E13:E16)</f>
        <v>209.28044899999998</v>
      </c>
      <c r="F17" s="23">
        <f>SUM(F10,F13:F16)</f>
        <v>208.85846899999999</v>
      </c>
      <c r="G17" s="23">
        <f>SUM(G10,G13:G16)</f>
        <v>210.509173</v>
      </c>
      <c r="H17" s="38">
        <f>SUM(H10,H13:H16)</f>
        <v>208.98618217647058</v>
      </c>
      <c r="I17" s="13"/>
      <c r="J17" s="3"/>
      <c r="K17" s="3"/>
      <c r="L17" s="3"/>
    </row>
    <row r="18">
      <c r="A18" s="3"/>
      <c r="B18" s="1" t="s">
        <v>57</v>
      </c>
      <c r="C18" s="14">
        <f>IFERROR(IF(Inputs!C144&lt;=0,"n.m.",C17/Inputs!C144-1),"n.a.")</f>
        <v>0.030811231315354126</v>
      </c>
      <c r="D18" s="14">
        <f>IFERROR(IF(Inputs!D144&lt;=0,"n.m.",D17/Inputs!D144-1),"n.a.")</f>
        <v>0.01665361122771114</v>
      </c>
      <c r="E18" s="14">
        <f>IFERROR(IF(Inputs!E144&lt;=0,"n.m.",E17/Inputs!E144-1),"n.a.")</f>
        <v>-0.004580541613757094</v>
      </c>
      <c r="F18" s="14">
        <f>IFERROR(IF(Inputs!F144&lt;=0,"n.m.",F17/Inputs!F144-1),"n.a.")</f>
        <v>0.016704084743992098</v>
      </c>
      <c r="G18" s="14">
        <f>IFERROR(IF(Inputs!G144&lt;=0,"n.m.",G17/Inputs!G144-1),"n.a.")</f>
        <v>0.016999844084533366</v>
      </c>
      <c r="H18" s="18">
        <f>IFERROR(IF(C17&lt;=0,"n.m.",H17/C17-1),"n.a.")</f>
        <v>-0.022468584955818494</v>
      </c>
      <c r="I18" s="13"/>
      <c r="J18" s="3"/>
      <c r="K18" s="3"/>
      <c r="L18" s="3"/>
    </row>
    <row r="19">
      <c r="A19" s="3"/>
      <c r="B19" s="2" t="s">
        <v>91</v>
      </c>
      <c r="C19" s="21">
        <f>C17-Inputs!F144</f>
        <v>8.362736000000012</v>
      </c>
      <c r="D19" s="16">
        <f>D17-C17</f>
        <v>-1.296416999999991</v>
      </c>
      <c r="E19" s="16">
        <f>E17-D17</f>
        <v>-3.2128690000000404</v>
      </c>
      <c r="F19" s="16">
        <f>F17-E17</f>
        <v>-0.4219799999999907</v>
      </c>
      <c r="G19" s="16" t="s">
        <v>33</v>
      </c>
      <c r="H19" s="25">
        <f>H17-F17</f>
        <v>0.12771317647059277</v>
      </c>
      <c r="I19" s="13"/>
      <c r="J19" s="3"/>
      <c r="K19" s="3"/>
      <c r="L19" s="3"/>
    </row>
    <row r="20">
      <c r="A20" s="3"/>
      <c r="B20" s="2" t="s">
        <v>441</v>
      </c>
      <c r="C20" s="44">
        <v>213.789735</v>
      </c>
      <c r="D20" s="44">
        <v>212.493318</v>
      </c>
      <c r="E20" s="44">
        <v>209.280449</v>
      </c>
      <c r="F20" s="44">
        <v>208.858469</v>
      </c>
      <c r="G20" s="44">
        <v>210.509173</v>
      </c>
      <c r="H20" s="25" t="s">
        <v>33</v>
      </c>
      <c r="I20" s="13"/>
      <c r="J20" s="3"/>
      <c r="K20" s="3"/>
      <c r="L20" s="3"/>
    </row>
    <row r="21">
      <c r="A21" s="3"/>
      <c r="B21" s="1" t="s">
        <v>442</v>
      </c>
      <c r="C21" s="46">
        <f>ROUND(C17-C20,6)</f>
        <v>0</v>
      </c>
      <c r="D21" s="46">
        <f>ROUND(D17-D20,6)</f>
        <v>0</v>
      </c>
      <c r="E21" s="46">
        <f>ROUND(E17-E20,6)</f>
        <v>0</v>
      </c>
      <c r="F21" s="46">
        <f>ROUND(F17-F20,6)</f>
        <v>0</v>
      </c>
      <c r="G21" s="46">
        <f>ROUND(G17-G20,6)</f>
        <v>0</v>
      </c>
      <c r="H21" s="65" t="s">
        <v>33</v>
      </c>
      <c r="I21" s="13" t="s">
        <v>443</v>
      </c>
      <c r="J21" s="3"/>
      <c r="K21" s="3"/>
      <c r="L21" s="3"/>
    </row>
    <row r="22">
      <c r="A22" s="3"/>
      <c r="B22" s="1" t="s">
        <v>444</v>
      </c>
      <c r="C22" s="11">
        <f>(C17-C10)/C10</f>
        <v>0.037993104870147926</v>
      </c>
      <c r="D22" s="11">
        <f>(D17-D10)/D10</f>
        <v>0.03266399990257181</v>
      </c>
      <c r="E22" s="11">
        <f>(E17-E10)/E10</f>
        <v>0.01732281992472435</v>
      </c>
      <c r="F22" s="11">
        <f>(F17-F10)/F10</f>
        <v>0.014919355863486807</v>
      </c>
      <c r="G22" s="11">
        <f>(G17-G10)/G10</f>
        <v>0.024809643088180997</v>
      </c>
      <c r="H22" s="18">
        <f>(H17-H10)/H10</f>
        <v>0.015550120839774605</v>
      </c>
      <c r="I22" s="13"/>
      <c r="J22" s="3"/>
      <c r="K22" s="3"/>
      <c r="L22" s="3"/>
    </row>
    <row r="23">
      <c r="A23" s="3"/>
      <c r="B23" s="2" t="s">
        <v>96</v>
      </c>
      <c r="C23" s="48">
        <f>IFERROR((C22-Inputs!C145)*10000,"n.a.")</f>
        <v>91.01046880263048</v>
      </c>
      <c r="D23" s="48">
        <f>IFERROR((D22-Inputs!D145)*10000,"n.a.")</f>
        <v>25.76272234769656</v>
      </c>
      <c r="E23" s="48">
        <f>IFERROR((E22-Inputs!E145)*10000,"n.a.")</f>
        <v>-109.23913363670594</v>
      </c>
      <c r="F23" s="48">
        <f>IFERROR((F22-Inputs!F145)*10000,"n.a.")</f>
        <v>149.19355863486805</v>
      </c>
      <c r="G23" s="48">
        <f>IFERROR((G22-Inputs!G145)*10000,"n.a.")</f>
        <v>-69.30816873546596</v>
      </c>
      <c r="H23" s="42">
        <f>IFERROR((H22-C22)*10000,"n.a.")</f>
        <v>-224.42984030373322</v>
      </c>
      <c r="I23" s="13"/>
      <c r="J23" s="3"/>
      <c r="K23" s="3"/>
      <c r="L23" s="3"/>
    </row>
    <row r="24">
      <c r="A24" s="3"/>
      <c r="B24" s="2" t="s">
        <v>97</v>
      </c>
      <c r="C24" s="48">
        <f>IFERROR((C22-Inputs!F145)*10000,"n.a.")</f>
        <v>379.93104870147926</v>
      </c>
      <c r="D24" s="52">
        <f>IFERROR((D22-C22)*10000,"n.a.")</f>
        <v>-53.29104967576118</v>
      </c>
      <c r="E24" s="52">
        <f>IFERROR((E22-D22)*10000,"n.a.")</f>
        <v>-153.4117997784746</v>
      </c>
      <c r="F24" s="52">
        <f>IFERROR((F22-E22)*10000,"n.a.")</f>
        <v>-24.03464061237542</v>
      </c>
      <c r="G24" s="52" t="s">
        <v>33</v>
      </c>
      <c r="H24" s="42">
        <f>IFERROR((H22-F22)*10000,"n.a.")</f>
        <v>6.307649762877978</v>
      </c>
      <c r="I24" s="13"/>
      <c r="J24" s="3"/>
      <c r="K24" s="3"/>
      <c r="L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>
      <c r="A26" s="3"/>
      <c r="B26" s="27" t="s">
        <v>445</v>
      </c>
      <c r="C26" s="15"/>
      <c r="D26" s="15"/>
      <c r="E26" s="15"/>
      <c r="F26" s="15"/>
      <c r="G26" s="15"/>
      <c r="H26" s="15"/>
      <c r="I26" s="13"/>
      <c r="J26" s="3"/>
      <c r="K26" s="3"/>
      <c r="L26" s="3"/>
    </row>
    <row r="27">
      <c r="A27" s="3"/>
      <c r="B27" s="2" t="s">
        <v>446</v>
      </c>
      <c r="C27" s="21">
        <f>-'Cash Flow Statement'!C41</f>
        <v>58</v>
      </c>
      <c r="D27" s="21">
        <f>-'Cash Flow Statement'!D41</f>
        <v>381</v>
      </c>
      <c r="E27" s="21">
        <f>-'Cash Flow Statement'!E41</f>
        <v>306</v>
      </c>
      <c r="F27" s="21">
        <f>-'Cash Flow Statement'!F41</f>
        <v>232</v>
      </c>
      <c r="G27" s="21">
        <f>-'Cash Flow Statement'!G41</f>
        <v>439</v>
      </c>
      <c r="H27" s="20">
        <f>-'Cash Flow Statement'!H41</f>
        <v>330</v>
      </c>
      <c r="I27" s="13" t="s">
        <v>447</v>
      </c>
      <c r="J27" s="3"/>
      <c r="K27" s="3"/>
      <c r="L27" s="3"/>
    </row>
    <row r="28" ht="26.25">
      <c r="A28" s="3"/>
      <c r="B28" s="2" t="s">
        <v>448</v>
      </c>
      <c r="C28" s="16" t="s">
        <v>33</v>
      </c>
      <c r="D28" s="16" t="s">
        <v>33</v>
      </c>
      <c r="E28" s="21">
        <f>Inputs!C244-F28</f>
        <v>0.77335</v>
      </c>
      <c r="F28" s="44">
        <v>0.575866</v>
      </c>
      <c r="G28" s="16" t="s">
        <v>33</v>
      </c>
      <c r="H28" s="25">
        <f>H27/H29</f>
        <v>0.7441176470588234</v>
      </c>
      <c r="I28" s="104" t="s">
        <v>449</v>
      </c>
      <c r="J28" s="3"/>
      <c r="K28" s="3"/>
      <c r="L28" s="3"/>
    </row>
    <row r="29">
      <c r="A29" s="3"/>
      <c r="B29" s="2" t="s">
        <v>450</v>
      </c>
      <c r="C29" s="36" t="s">
        <v>33</v>
      </c>
      <c r="D29" s="36" t="s">
        <v>33</v>
      </c>
      <c r="E29" s="36">
        <f>E27/E28</f>
        <v>395.681127561906</v>
      </c>
      <c r="F29" s="36">
        <f>F27/F28</f>
        <v>402.8715013562183</v>
      </c>
      <c r="G29" s="36" t="s">
        <v>33</v>
      </c>
      <c r="H29" s="64">
        <f>H30/H31</f>
        <v>443.47826086956525</v>
      </c>
      <c r="I29" s="13" t="s">
        <v>451</v>
      </c>
      <c r="J29" s="3"/>
      <c r="K29" s="3"/>
      <c r="L29" s="3"/>
    </row>
    <row r="30">
      <c r="A30" s="3"/>
      <c r="B30" s="2" t="s">
        <v>452</v>
      </c>
      <c r="C30" s="36" t="s">
        <v>33</v>
      </c>
      <c r="D30" s="36" t="s">
        <v>33</v>
      </c>
      <c r="E30" s="36" t="s">
        <v>33</v>
      </c>
      <c r="F30" s="36" t="s">
        <v>33</v>
      </c>
      <c r="G30" s="36" t="s">
        <v>33</v>
      </c>
      <c r="H30" s="63">
        <v>510</v>
      </c>
      <c r="I30" s="13" t="s">
        <v>453</v>
      </c>
      <c r="J30" s="3"/>
      <c r="K30" s="3"/>
      <c r="L30" s="3"/>
    </row>
    <row r="31">
      <c r="A31" s="3"/>
      <c r="B31" s="2" t="s">
        <v>454</v>
      </c>
      <c r="C31" s="36" t="s">
        <v>33</v>
      </c>
      <c r="D31" s="36" t="s">
        <v>33</v>
      </c>
      <c r="E31" s="36" t="s">
        <v>33</v>
      </c>
      <c r="F31" s="36" t="s">
        <v>33</v>
      </c>
      <c r="G31" s="36" t="s">
        <v>33</v>
      </c>
      <c r="H31" s="63">
        <v>1.15</v>
      </c>
      <c r="I31" s="13" t="s">
        <v>455</v>
      </c>
      <c r="J31" s="3"/>
      <c r="K31" s="3"/>
      <c r="L31" s="3"/>
    </row>
    <row r="32">
      <c r="A32" s="3"/>
      <c r="B32" s="1" t="s">
        <v>456</v>
      </c>
      <c r="C32" s="11" t="s">
        <v>33</v>
      </c>
      <c r="D32" s="11" t="s">
        <v>33</v>
      </c>
      <c r="E32" s="11" t="s">
        <v>33</v>
      </c>
      <c r="F32" s="11" t="s">
        <v>33</v>
      </c>
      <c r="G32" s="11" t="s">
        <v>33</v>
      </c>
      <c r="H32" s="62">
        <v>0.5</v>
      </c>
      <c r="I32" s="13" t="s">
        <v>457</v>
      </c>
      <c r="J32" s="3"/>
      <c r="K32" s="3"/>
      <c r="L32" s="3"/>
    </row>
    <row r="33" ht="60">
      <c r="A33" s="3"/>
      <c r="B33" s="2" t="s">
        <v>458</v>
      </c>
      <c r="C33" s="16" t="s">
        <v>33</v>
      </c>
      <c r="D33" s="16" t="s">
        <v>33</v>
      </c>
      <c r="E33" s="16" t="s">
        <v>33</v>
      </c>
      <c r="F33" s="16" t="s">
        <v>33</v>
      </c>
      <c r="G33" s="16" t="s">
        <v>33</v>
      </c>
      <c r="H33" s="25">
        <f>H28*H32</f>
        <v>0.3720588235294117</v>
      </c>
      <c r="I33" s="104" t="s">
        <v>459</v>
      </c>
      <c r="J33" s="3"/>
      <c r="K33" s="3"/>
      <c r="L33" s="3"/>
    </row>
    <row r="34" ht="26.25">
      <c r="A34" s="3"/>
      <c r="B34" s="2" t="s">
        <v>460</v>
      </c>
      <c r="C34" s="16" t="s">
        <v>33</v>
      </c>
      <c r="D34" s="16" t="s">
        <v>33</v>
      </c>
      <c r="E34" s="16" t="s">
        <v>33</v>
      </c>
      <c r="F34" s="16" t="s">
        <v>33</v>
      </c>
      <c r="G34" s="16" t="s">
        <v>33</v>
      </c>
      <c r="H34" s="45">
        <v>0.37</v>
      </c>
      <c r="I34" s="104" t="s">
        <v>461</v>
      </c>
      <c r="J34" s="3"/>
      <c r="K34" s="3"/>
      <c r="L34" s="3"/>
    </row>
    <row r="35" ht="26.25">
      <c r="A35" s="3"/>
      <c r="B35" s="2" t="s">
        <v>462</v>
      </c>
      <c r="C35" s="16" t="s">
        <v>33</v>
      </c>
      <c r="D35" s="44">
        <v>205.832527</v>
      </c>
      <c r="E35" s="16" t="s">
        <v>33</v>
      </c>
      <c r="F35" s="16" t="s">
        <v>33</v>
      </c>
      <c r="G35" s="16">
        <f>D35</f>
        <v>205.832527</v>
      </c>
      <c r="H35" s="25" t="s">
        <v>33</v>
      </c>
      <c r="I35" s="104" t="s">
        <v>463</v>
      </c>
      <c r="J35" s="3"/>
      <c r="K35" s="3"/>
      <c r="L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>
      <c r="A37" s="3"/>
      <c r="B37" s="27" t="s">
        <v>464</v>
      </c>
      <c r="C37" s="15"/>
      <c r="D37" s="15"/>
      <c r="E37" s="15"/>
      <c r="F37" s="15"/>
      <c r="G37" s="15"/>
      <c r="H37" s="15"/>
      <c r="I37" s="13"/>
      <c r="J37" s="3"/>
      <c r="K37" s="3"/>
      <c r="L37" s="3"/>
    </row>
    <row r="38">
      <c r="A38" s="3"/>
      <c r="B38" s="27" t="s">
        <v>465</v>
      </c>
      <c r="C38" s="23" t="s">
        <v>33</v>
      </c>
      <c r="D38" s="23" t="s">
        <v>33</v>
      </c>
      <c r="E38" s="23" t="s">
        <v>33</v>
      </c>
      <c r="F38" s="23" t="s">
        <v>33</v>
      </c>
      <c r="G38" s="23" t="s">
        <v>33</v>
      </c>
      <c r="H38" s="38">
        <f>H17</f>
        <v>208.98618217647058</v>
      </c>
      <c r="I38" s="13"/>
      <c r="J38" s="3"/>
      <c r="K38" s="3"/>
      <c r="L38" s="3"/>
    </row>
    <row r="39">
      <c r="A39" s="3"/>
      <c r="B39" s="2" t="s">
        <v>466</v>
      </c>
      <c r="C39" s="36" t="s">
        <v>33</v>
      </c>
      <c r="D39" s="36" t="s">
        <v>33</v>
      </c>
      <c r="E39" s="36" t="s">
        <v>33</v>
      </c>
      <c r="F39" s="36" t="s">
        <v>33</v>
      </c>
      <c r="G39" s="36" t="s">
        <v>33</v>
      </c>
      <c r="H39" s="56">
        <f>'Income Statement'!H83</f>
        <v>2.611823115860833</v>
      </c>
      <c r="I39" s="13"/>
      <c r="J39" s="3"/>
      <c r="K39" s="3"/>
      <c r="L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M54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10" width="12" customWidth="1"/>
    <col min="11" max="11" width="28" customWidth="1"/>
    <col min="12" max="12" width="4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>
      <c r="A2" s="3"/>
      <c r="B2" s="5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>
      <c r="A3" s="3"/>
      <c r="B3" s="30" t="s">
        <v>467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s="3"/>
      <c r="B4" s="17" t="s">
        <v>129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3"/>
      <c r="B5" s="31" t="s">
        <v>3</v>
      </c>
      <c r="C5" s="8" t="s">
        <v>4</v>
      </c>
      <c r="D5" s="8"/>
      <c r="E5" s="8"/>
      <c r="F5" s="8"/>
      <c r="G5" s="8"/>
      <c r="H5" s="8"/>
      <c r="I5" s="8"/>
      <c r="J5" s="8"/>
      <c r="K5" s="8"/>
      <c r="L5" s="3"/>
      <c r="M5" s="3"/>
    </row>
    <row r="6">
      <c r="A6" s="3"/>
      <c r="B6" s="22" t="s">
        <v>5</v>
      </c>
      <c r="C6" s="98">
        <v>46295</v>
      </c>
      <c r="D6" s="6"/>
      <c r="E6" s="6"/>
      <c r="F6" s="6"/>
      <c r="G6" s="6"/>
      <c r="H6" s="19"/>
      <c r="I6" s="6"/>
      <c r="J6" s="6"/>
      <c r="K6" s="6"/>
      <c r="L6" s="3"/>
      <c r="M6" s="3"/>
    </row>
    <row r="7">
      <c r="A7" s="3"/>
      <c r="B7" s="10" t="s">
        <v>6</v>
      </c>
      <c r="C7" s="99">
        <f>C6-EOMONTH(C6,-3)</f>
        <v>92</v>
      </c>
      <c r="D7" s="9"/>
      <c r="E7" s="9"/>
      <c r="F7" s="9"/>
      <c r="G7" s="9"/>
      <c r="H7" s="28"/>
      <c r="I7" s="9"/>
      <c r="J7" s="9"/>
      <c r="K7" s="9"/>
      <c r="L7" s="3"/>
      <c r="M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ht="46.5">
      <c r="A9" s="3"/>
      <c r="B9" s="7" t="s">
        <v>468</v>
      </c>
      <c r="C9" s="34" t="s">
        <v>469</v>
      </c>
      <c r="D9" s="34" t="s">
        <v>48</v>
      </c>
      <c r="E9" s="34" t="s">
        <v>470</v>
      </c>
      <c r="F9" s="34" t="s">
        <v>471</v>
      </c>
      <c r="G9" s="34" t="s">
        <v>472</v>
      </c>
      <c r="H9" s="34" t="s">
        <v>473</v>
      </c>
      <c r="I9" s="34" t="s">
        <v>474</v>
      </c>
      <c r="J9" s="97" t="s">
        <v>475</v>
      </c>
      <c r="K9" s="7" t="s">
        <v>476</v>
      </c>
      <c r="L9" s="3"/>
      <c r="M9" s="3"/>
    </row>
    <row r="10">
      <c r="A10" s="3"/>
      <c r="B10" s="2" t="s">
        <v>477</v>
      </c>
      <c r="C10" s="50">
        <v>45867</v>
      </c>
      <c r="D10" s="51" t="s">
        <v>49</v>
      </c>
      <c r="E10" s="44">
        <v>710</v>
      </c>
      <c r="F10" s="44">
        <v>710</v>
      </c>
      <c r="G10" s="16">
        <f>AVERAGE(E10:F10)</f>
        <v>710</v>
      </c>
      <c r="H10" s="21">
        <f>'Segment - Ad-Supported'!C16</f>
        <v>713</v>
      </c>
      <c r="I10" s="16">
        <f>H10-G10</f>
        <v>3</v>
      </c>
      <c r="J10" s="95" t="str">
        <f>IF(I10&gt;0,"Beat",IF(I10&lt;0,"Miss","In line"))</f>
        <v>Beat</v>
      </c>
      <c r="K10" s="2" t="s">
        <v>478</v>
      </c>
      <c r="L10" s="3"/>
      <c r="M10" s="3"/>
    </row>
    <row r="11">
      <c r="A11" s="3"/>
      <c r="B11" s="2" t="s">
        <v>479</v>
      </c>
      <c r="C11" s="50">
        <v>45867</v>
      </c>
      <c r="D11" s="51" t="s">
        <v>49</v>
      </c>
      <c r="E11" s="44">
        <v>281</v>
      </c>
      <c r="F11" s="44">
        <v>281</v>
      </c>
      <c r="G11" s="16">
        <f>AVERAGE(E11:F11)</f>
        <v>281</v>
      </c>
      <c r="H11" s="21">
        <f>'Segment - Premium'!C16</f>
        <v>281</v>
      </c>
      <c r="I11" s="16">
        <f>H11-G11</f>
        <v>0</v>
      </c>
      <c r="J11" s="95" t="str">
        <f>IF(I11&gt;0,"Beat",IF(I11&lt;0,"Miss","In line"))</f>
        <v>In line</v>
      </c>
      <c r="K11" s="2" t="s">
        <v>480</v>
      </c>
      <c r="L11" s="3"/>
      <c r="M11" s="3"/>
    </row>
    <row r="12">
      <c r="A12" s="3"/>
      <c r="B12" s="2" t="s">
        <v>481</v>
      </c>
      <c r="C12" s="50">
        <v>45867</v>
      </c>
      <c r="D12" s="51" t="s">
        <v>49</v>
      </c>
      <c r="E12" s="44">
        <v>4200</v>
      </c>
      <c r="F12" s="44">
        <v>4200</v>
      </c>
      <c r="G12" s="16">
        <f>AVERAGE(E12:F12)</f>
        <v>4200</v>
      </c>
      <c r="H12" s="21">
        <f>'Income Statement'!C10</f>
        <v>4272</v>
      </c>
      <c r="I12" s="16">
        <f>H12-G12</f>
        <v>72</v>
      </c>
      <c r="J12" s="95" t="str">
        <f>IF(I12&gt;0,"Beat",IF(I12&lt;0,"Miss","In line"))</f>
        <v>Beat</v>
      </c>
      <c r="K12" s="2" t="s">
        <v>478</v>
      </c>
      <c r="L12" s="3"/>
      <c r="M12" s="3"/>
    </row>
    <row r="13">
      <c r="A13" s="3"/>
      <c r="B13" s="1" t="s">
        <v>32</v>
      </c>
      <c r="C13" s="54">
        <v>45867</v>
      </c>
      <c r="D13" s="59" t="s">
        <v>49</v>
      </c>
      <c r="E13" s="55">
        <v>0.311</v>
      </c>
      <c r="F13" s="55">
        <v>0.311</v>
      </c>
      <c r="G13" s="11">
        <f>AVERAGE(E13:F13)</f>
        <v>0.311</v>
      </c>
      <c r="H13" s="14">
        <f>'Income Statement'!C17</f>
        <v>0.31624531835205993</v>
      </c>
      <c r="I13" s="93">
        <f>(H13-G13)*10000</f>
        <v>52.45318352059935</v>
      </c>
      <c r="J13" s="95" t="str">
        <f>IF(I13&gt;0,"Beat",IF(I13&lt;0,"Miss","In line"))</f>
        <v>Beat</v>
      </c>
      <c r="K13" s="2" t="s">
        <v>478</v>
      </c>
      <c r="L13" s="3"/>
      <c r="M13" s="3"/>
    </row>
    <row r="14">
      <c r="A14" s="3"/>
      <c r="B14" s="2" t="s">
        <v>34</v>
      </c>
      <c r="C14" s="50">
        <v>45867</v>
      </c>
      <c r="D14" s="51" t="s">
        <v>49</v>
      </c>
      <c r="E14" s="44">
        <v>485</v>
      </c>
      <c r="F14" s="44">
        <v>485</v>
      </c>
      <c r="G14" s="16">
        <f>AVERAGE(E14:F14)</f>
        <v>485</v>
      </c>
      <c r="H14" s="21">
        <f>'Income Statement'!C41</f>
        <v>582</v>
      </c>
      <c r="I14" s="16">
        <f>H14-G14</f>
        <v>97</v>
      </c>
      <c r="J14" s="95" t="str">
        <f>IF(I14&gt;0,"Beat",IF(I14&lt;0,"Miss","In line"))</f>
        <v>Beat</v>
      </c>
      <c r="K14" s="2" t="s">
        <v>478</v>
      </c>
      <c r="L14" s="3"/>
      <c r="M14" s="3"/>
    </row>
    <row r="15">
      <c r="A15" s="3"/>
      <c r="B15" s="2" t="s">
        <v>482</v>
      </c>
      <c r="C15" s="50">
        <v>45867</v>
      </c>
      <c r="D15" s="51" t="s">
        <v>49</v>
      </c>
      <c r="E15" s="44">
        <v>25</v>
      </c>
      <c r="F15" s="44">
        <v>25</v>
      </c>
      <c r="G15" s="16">
        <f>AVERAGE(E15:F15)</f>
        <v>25</v>
      </c>
      <c r="H15" s="21">
        <f>'Income Statement'!C91</f>
        <v>-16</v>
      </c>
      <c r="I15" s="16">
        <f>H15-G15</f>
        <v>-41</v>
      </c>
      <c r="J15" s="95" t="s">
        <v>33</v>
      </c>
      <c r="K15" s="2" t="s">
        <v>483</v>
      </c>
      <c r="L15" s="3"/>
      <c r="M15" s="3"/>
    </row>
    <row r="16">
      <c r="A16" s="3"/>
      <c r="B16" s="2" t="s">
        <v>484</v>
      </c>
      <c r="C16" s="50">
        <v>45867</v>
      </c>
      <c r="D16" s="51" t="s">
        <v>49</v>
      </c>
      <c r="E16" s="49">
        <v>-490</v>
      </c>
      <c r="F16" s="49">
        <v>-490</v>
      </c>
      <c r="G16" s="52">
        <f>AVERAGE(E16:F16)</f>
        <v>-490</v>
      </c>
      <c r="H16" s="48">
        <f>('Revenue summary'!C37)*10000</f>
        <v>-446.33901705115164</v>
      </c>
      <c r="I16" s="52">
        <f>H16-G16</f>
        <v>43.66098294884836</v>
      </c>
      <c r="J16" s="95" t="s">
        <v>33</v>
      </c>
      <c r="K16" s="2" t="s">
        <v>33</v>
      </c>
      <c r="L16" s="3"/>
      <c r="M16" s="3"/>
    </row>
    <row r="17">
      <c r="A17" s="3"/>
      <c r="B17" s="3"/>
      <c r="C17" s="4"/>
      <c r="D17" s="51"/>
      <c r="E17" s="51"/>
      <c r="F17" s="51"/>
      <c r="G17" s="51"/>
      <c r="H17" s="51"/>
      <c r="I17" s="51"/>
      <c r="J17" s="95"/>
      <c r="K17" s="2"/>
      <c r="L17" s="3"/>
      <c r="M17" s="3"/>
    </row>
    <row r="18">
      <c r="A18" s="3"/>
      <c r="B18" s="2" t="s">
        <v>477</v>
      </c>
      <c r="C18" s="50">
        <v>45965</v>
      </c>
      <c r="D18" s="51" t="s">
        <v>50</v>
      </c>
      <c r="E18" s="44">
        <v>745</v>
      </c>
      <c r="F18" s="44">
        <v>745</v>
      </c>
      <c r="G18" s="16">
        <f>AVERAGE(E18:F18)</f>
        <v>745</v>
      </c>
      <c r="H18" s="21">
        <f>'Segment - Ad-Supported'!D16</f>
        <v>751</v>
      </c>
      <c r="I18" s="16">
        <f>H18-G18</f>
        <v>6</v>
      </c>
      <c r="J18" s="95" t="str">
        <f>IF(I18&gt;0,"Beat",IF(I18&lt;0,"Miss","In line"))</f>
        <v>Beat</v>
      </c>
      <c r="K18" s="2" t="s">
        <v>478</v>
      </c>
      <c r="L18" s="3"/>
      <c r="M18" s="3"/>
    </row>
    <row r="19">
      <c r="A19" s="3"/>
      <c r="B19" s="2" t="s">
        <v>479</v>
      </c>
      <c r="C19" s="50">
        <v>45965</v>
      </c>
      <c r="D19" s="51" t="s">
        <v>50</v>
      </c>
      <c r="E19" s="44">
        <v>289</v>
      </c>
      <c r="F19" s="44">
        <v>289</v>
      </c>
      <c r="G19" s="16">
        <f>AVERAGE(E19:F19)</f>
        <v>289</v>
      </c>
      <c r="H19" s="21">
        <f>'Segment - Premium'!D16</f>
        <v>290</v>
      </c>
      <c r="I19" s="16">
        <f>H19-G19</f>
        <v>1</v>
      </c>
      <c r="J19" s="95" t="str">
        <f>IF(I19&gt;0,"Beat",IF(I19&lt;0,"Miss","In line"))</f>
        <v>Beat</v>
      </c>
      <c r="K19" s="2" t="s">
        <v>478</v>
      </c>
      <c r="L19" s="3"/>
      <c r="M19" s="3"/>
    </row>
    <row r="20">
      <c r="A20" s="3"/>
      <c r="B20" s="2" t="s">
        <v>481</v>
      </c>
      <c r="C20" s="50">
        <v>45965</v>
      </c>
      <c r="D20" s="51" t="s">
        <v>50</v>
      </c>
      <c r="E20" s="44">
        <v>4500</v>
      </c>
      <c r="F20" s="44">
        <v>4500</v>
      </c>
      <c r="G20" s="16">
        <f>AVERAGE(E20:F20)</f>
        <v>4500</v>
      </c>
      <c r="H20" s="21">
        <f>'Income Statement'!D10</f>
        <v>4531</v>
      </c>
      <c r="I20" s="16">
        <f>H20-G20</f>
        <v>31</v>
      </c>
      <c r="J20" s="95" t="str">
        <f>IF(I20&gt;0,"Beat",IF(I20&lt;0,"Miss","In line"))</f>
        <v>Beat</v>
      </c>
      <c r="K20" s="2" t="s">
        <v>480</v>
      </c>
      <c r="L20" s="3"/>
      <c r="M20" s="3"/>
    </row>
    <row r="21">
      <c r="A21" s="3"/>
      <c r="B21" s="1" t="s">
        <v>32</v>
      </c>
      <c r="C21" s="54">
        <v>45965</v>
      </c>
      <c r="D21" s="59" t="s">
        <v>50</v>
      </c>
      <c r="E21" s="55">
        <v>0.329</v>
      </c>
      <c r="F21" s="55">
        <v>0.329</v>
      </c>
      <c r="G21" s="11">
        <f>AVERAGE(E21:F21)</f>
        <v>0.329</v>
      </c>
      <c r="H21" s="14">
        <f>'Income Statement'!D17</f>
        <v>0.33083204590598103</v>
      </c>
      <c r="I21" s="93">
        <f>(H21-G21)*10000</f>
        <v>18.32045905981017</v>
      </c>
      <c r="J21" s="95" t="str">
        <f>IF(I21&gt;0,"Beat",IF(I21&lt;0,"Miss","In line"))</f>
        <v>Beat</v>
      </c>
      <c r="K21" s="2" t="s">
        <v>478</v>
      </c>
      <c r="L21" s="3"/>
      <c r="M21" s="3"/>
    </row>
    <row r="22">
      <c r="A22" s="3"/>
      <c r="B22" s="2" t="s">
        <v>34</v>
      </c>
      <c r="C22" s="50">
        <v>45965</v>
      </c>
      <c r="D22" s="51" t="s">
        <v>50</v>
      </c>
      <c r="E22" s="44">
        <v>620</v>
      </c>
      <c r="F22" s="44">
        <v>620</v>
      </c>
      <c r="G22" s="16">
        <f>AVERAGE(E22:F22)</f>
        <v>620</v>
      </c>
      <c r="H22" s="21">
        <f>'Income Statement'!D41</f>
        <v>701</v>
      </c>
      <c r="I22" s="16">
        <f>H22-G22</f>
        <v>81</v>
      </c>
      <c r="J22" s="95" t="str">
        <f>IF(I22&gt;0,"Beat",IF(I22&lt;0,"Miss","In line"))</f>
        <v>Beat</v>
      </c>
      <c r="K22" s="2" t="s">
        <v>478</v>
      </c>
      <c r="L22" s="3"/>
      <c r="M22" s="3"/>
    </row>
    <row r="23">
      <c r="A23" s="3"/>
      <c r="B23" s="2" t="s">
        <v>482</v>
      </c>
      <c r="C23" s="50">
        <v>45965</v>
      </c>
      <c r="D23" s="51" t="s">
        <v>50</v>
      </c>
      <c r="E23" s="44">
        <v>17</v>
      </c>
      <c r="F23" s="44">
        <v>17</v>
      </c>
      <c r="G23" s="16">
        <f>AVERAGE(E23:F23)</f>
        <v>17</v>
      </c>
      <c r="H23" s="21">
        <f>'Income Statement'!D91</f>
        <v>-50</v>
      </c>
      <c r="I23" s="16">
        <f>H23-G23</f>
        <v>-67</v>
      </c>
      <c r="J23" s="95" t="s">
        <v>33</v>
      </c>
      <c r="K23" s="2" t="s">
        <v>483</v>
      </c>
      <c r="L23" s="3"/>
      <c r="M23" s="3"/>
    </row>
    <row r="24">
      <c r="A24" s="3"/>
      <c r="B24" s="2" t="s">
        <v>484</v>
      </c>
      <c r="C24" s="50">
        <v>45965</v>
      </c>
      <c r="D24" s="51" t="s">
        <v>50</v>
      </c>
      <c r="E24" s="49">
        <v>-620</v>
      </c>
      <c r="F24" s="49">
        <v>-620</v>
      </c>
      <c r="G24" s="52">
        <f>AVERAGE(E24:F24)</f>
        <v>-620</v>
      </c>
      <c r="H24" s="48">
        <f>('Revenue summary'!D37)*10000</f>
        <v>-584.629891560584</v>
      </c>
      <c r="I24" s="52">
        <f>H24-G24</f>
        <v>35.37010843941596</v>
      </c>
      <c r="J24" s="95" t="s">
        <v>33</v>
      </c>
      <c r="K24" s="2" t="s">
        <v>33</v>
      </c>
      <c r="L24" s="3"/>
      <c r="M24" s="3"/>
    </row>
    <row r="25">
      <c r="A25" s="3"/>
      <c r="B25" s="3"/>
      <c r="C25" s="4"/>
      <c r="D25" s="51"/>
      <c r="E25" s="51"/>
      <c r="F25" s="51"/>
      <c r="G25" s="51"/>
      <c r="H25" s="51"/>
      <c r="I25" s="51"/>
      <c r="J25" s="95"/>
      <c r="K25" s="2"/>
      <c r="L25" s="3"/>
      <c r="M25" s="3"/>
    </row>
    <row r="26">
      <c r="A26" s="3"/>
      <c r="B26" s="2" t="s">
        <v>477</v>
      </c>
      <c r="C26" s="50">
        <v>46063</v>
      </c>
      <c r="D26" s="51" t="s">
        <v>51</v>
      </c>
      <c r="E26" s="44">
        <v>759</v>
      </c>
      <c r="F26" s="44">
        <v>759</v>
      </c>
      <c r="G26" s="16">
        <f>AVERAGE(E26:F26)</f>
        <v>759</v>
      </c>
      <c r="H26" s="21">
        <f>'Segment - Ad-Supported'!E16</f>
        <v>761</v>
      </c>
      <c r="I26" s="16">
        <f>H26-G26</f>
        <v>2</v>
      </c>
      <c r="J26" s="95" t="str">
        <f>IF(I26&gt;0,"Beat",IF(I26&lt;0,"Miss","In line"))</f>
        <v>Beat</v>
      </c>
      <c r="K26" s="2" t="s">
        <v>478</v>
      </c>
      <c r="L26" s="3"/>
      <c r="M26" s="3"/>
    </row>
    <row r="27">
      <c r="A27" s="3"/>
      <c r="B27" s="2" t="s">
        <v>479</v>
      </c>
      <c r="C27" s="50">
        <v>46063</v>
      </c>
      <c r="D27" s="51" t="s">
        <v>51</v>
      </c>
      <c r="E27" s="44">
        <v>293</v>
      </c>
      <c r="F27" s="44">
        <v>293</v>
      </c>
      <c r="G27" s="16">
        <f>AVERAGE(E27:F27)</f>
        <v>293</v>
      </c>
      <c r="H27" s="21">
        <f>'Segment - Premium'!E16</f>
        <v>293</v>
      </c>
      <c r="I27" s="16">
        <f>H27-G27</f>
        <v>0</v>
      </c>
      <c r="J27" s="95" t="str">
        <f>IF(I27&gt;0,"Beat",IF(I27&lt;0,"Miss","In line"))</f>
        <v>In line</v>
      </c>
      <c r="K27" s="2" t="s">
        <v>480</v>
      </c>
      <c r="L27" s="3"/>
      <c r="M27" s="3"/>
    </row>
    <row r="28">
      <c r="A28" s="3"/>
      <c r="B28" s="2" t="s">
        <v>481</v>
      </c>
      <c r="C28" s="50">
        <v>46063</v>
      </c>
      <c r="D28" s="51" t="s">
        <v>51</v>
      </c>
      <c r="E28" s="44">
        <v>4500</v>
      </c>
      <c r="F28" s="44">
        <v>4500</v>
      </c>
      <c r="G28" s="16">
        <f>AVERAGE(E28:F28)</f>
        <v>4500</v>
      </c>
      <c r="H28" s="21">
        <f>'Income Statement'!E10</f>
        <v>4533</v>
      </c>
      <c r="I28" s="16">
        <f>H28-G28</f>
        <v>33</v>
      </c>
      <c r="J28" s="95" t="str">
        <f>IF(I28&gt;0,"Beat",IF(I28&lt;0,"Miss","In line"))</f>
        <v>Beat</v>
      </c>
      <c r="K28" s="2" t="s">
        <v>480</v>
      </c>
      <c r="L28" s="3"/>
      <c r="M28" s="3"/>
    </row>
    <row r="29">
      <c r="A29" s="3"/>
      <c r="B29" s="1" t="s">
        <v>32</v>
      </c>
      <c r="C29" s="54">
        <v>46063</v>
      </c>
      <c r="D29" s="59" t="s">
        <v>51</v>
      </c>
      <c r="E29" s="55">
        <v>0.328</v>
      </c>
      <c r="F29" s="55">
        <v>0.328</v>
      </c>
      <c r="G29" s="11">
        <f>AVERAGE(E29:F29)</f>
        <v>0.328</v>
      </c>
      <c r="H29" s="14">
        <f>'Income Statement'!E17</f>
        <v>0.3298036620339731</v>
      </c>
      <c r="I29" s="93">
        <f>(H29-G29)*10000</f>
        <v>18.03662033973086</v>
      </c>
      <c r="J29" s="95" t="str">
        <f>IF(I29&gt;0,"Beat",IF(I29&lt;0,"Miss","In line"))</f>
        <v>Beat</v>
      </c>
      <c r="K29" s="2" t="s">
        <v>478</v>
      </c>
      <c r="L29" s="3"/>
      <c r="M29" s="3"/>
    </row>
    <row r="30">
      <c r="A30" s="3"/>
      <c r="B30" s="2" t="s">
        <v>34</v>
      </c>
      <c r="C30" s="50">
        <v>46063</v>
      </c>
      <c r="D30" s="51" t="s">
        <v>51</v>
      </c>
      <c r="E30" s="44">
        <v>660</v>
      </c>
      <c r="F30" s="44">
        <v>660</v>
      </c>
      <c r="G30" s="16">
        <f>AVERAGE(E30:F30)</f>
        <v>660</v>
      </c>
      <c r="H30" s="21">
        <f>'Income Statement'!E41</f>
        <v>715</v>
      </c>
      <c r="I30" s="16">
        <f>H30-G30</f>
        <v>55</v>
      </c>
      <c r="J30" s="95" t="str">
        <f>IF(I30&gt;0,"Beat",IF(I30&lt;0,"Miss","In line"))</f>
        <v>Beat</v>
      </c>
      <c r="K30" s="2" t="s">
        <v>478</v>
      </c>
      <c r="L30" s="3"/>
      <c r="M30" s="3"/>
    </row>
    <row r="31">
      <c r="A31" s="3"/>
      <c r="B31" s="2" t="s">
        <v>482</v>
      </c>
      <c r="C31" s="50">
        <v>46063</v>
      </c>
      <c r="D31" s="51" t="s">
        <v>51</v>
      </c>
      <c r="E31" s="44">
        <v>10</v>
      </c>
      <c r="F31" s="44">
        <v>10</v>
      </c>
      <c r="G31" s="16">
        <f>AVERAGE(E31:F31)</f>
        <v>10</v>
      </c>
      <c r="H31" s="21">
        <f>'Income Statement'!E91</f>
        <v>-39</v>
      </c>
      <c r="I31" s="16">
        <f>H31-G31</f>
        <v>-49</v>
      </c>
      <c r="J31" s="95" t="s">
        <v>33</v>
      </c>
      <c r="K31" s="2" t="s">
        <v>483</v>
      </c>
      <c r="L31" s="3"/>
      <c r="M31" s="3"/>
    </row>
    <row r="32">
      <c r="A32" s="3"/>
      <c r="B32" s="2" t="s">
        <v>484</v>
      </c>
      <c r="C32" s="50">
        <v>46063</v>
      </c>
      <c r="D32" s="51" t="s">
        <v>51</v>
      </c>
      <c r="E32" s="49">
        <v>-670</v>
      </c>
      <c r="F32" s="49">
        <v>-670</v>
      </c>
      <c r="G32" s="52">
        <f>AVERAGE(E32:F32)</f>
        <v>-670</v>
      </c>
      <c r="H32" s="48">
        <f>('Revenue summary'!E37)*10000</f>
        <v>-596.658711217184</v>
      </c>
      <c r="I32" s="52">
        <f>H32-G32</f>
        <v>73.34128878281604</v>
      </c>
      <c r="J32" s="95" t="s">
        <v>33</v>
      </c>
      <c r="K32" s="2" t="s">
        <v>33</v>
      </c>
      <c r="L32" s="3"/>
      <c r="M32" s="3"/>
    </row>
    <row r="33">
      <c r="A33" s="3"/>
      <c r="B33" s="3"/>
      <c r="C33" s="4"/>
      <c r="D33" s="51"/>
      <c r="E33" s="51"/>
      <c r="F33" s="51"/>
      <c r="G33" s="51"/>
      <c r="H33" s="51"/>
      <c r="I33" s="51"/>
      <c r="J33" s="95"/>
      <c r="K33" s="2"/>
      <c r="L33" s="3"/>
      <c r="M33" s="3"/>
    </row>
    <row r="34">
      <c r="A34" s="3"/>
      <c r="B34" s="2" t="s">
        <v>477</v>
      </c>
      <c r="C34" s="50">
        <v>46140</v>
      </c>
      <c r="D34" s="51" t="s">
        <v>52</v>
      </c>
      <c r="E34" s="44">
        <v>778</v>
      </c>
      <c r="F34" s="44">
        <v>778</v>
      </c>
      <c r="G34" s="16">
        <f>AVERAGE(E34:F34)</f>
        <v>778</v>
      </c>
      <c r="H34" s="21">
        <f>'Segment - Ad-Supported'!F16</f>
        <v>777</v>
      </c>
      <c r="I34" s="16">
        <f>H34-G34</f>
        <v>-1</v>
      </c>
      <c r="J34" s="95" t="str">
        <f>IF(I34&gt;0,"Beat",IF(I34&lt;0,"Miss","In line"))</f>
        <v>Miss</v>
      </c>
      <c r="K34" s="2" t="s">
        <v>485</v>
      </c>
      <c r="L34" s="3"/>
      <c r="M34" s="3"/>
    </row>
    <row r="35">
      <c r="A35" s="3"/>
      <c r="B35" s="2" t="s">
        <v>479</v>
      </c>
      <c r="C35" s="50">
        <v>46140</v>
      </c>
      <c r="D35" s="51" t="s">
        <v>52</v>
      </c>
      <c r="E35" s="44">
        <v>299</v>
      </c>
      <c r="F35" s="44">
        <v>299</v>
      </c>
      <c r="G35" s="16">
        <f>AVERAGE(E35:F35)</f>
        <v>299</v>
      </c>
      <c r="H35" s="21">
        <f>'Segment - Premium'!F16</f>
        <v>300</v>
      </c>
      <c r="I35" s="16">
        <f>H35-G35</f>
        <v>1</v>
      </c>
      <c r="J35" s="95" t="str">
        <f>IF(I35&gt;0,"Beat",IF(I35&lt;0,"Miss","In line"))</f>
        <v>Beat</v>
      </c>
      <c r="K35" s="2" t="s">
        <v>478</v>
      </c>
      <c r="L35" s="3"/>
      <c r="M35" s="3"/>
    </row>
    <row r="36">
      <c r="A36" s="3"/>
      <c r="B36" s="2" t="s">
        <v>481</v>
      </c>
      <c r="C36" s="50">
        <v>46140</v>
      </c>
      <c r="D36" s="51" t="s">
        <v>52</v>
      </c>
      <c r="E36" s="44">
        <v>4800</v>
      </c>
      <c r="F36" s="44">
        <v>4800</v>
      </c>
      <c r="G36" s="16">
        <f>AVERAGE(E36:F36)</f>
        <v>4800</v>
      </c>
      <c r="H36" s="21">
        <f>'Income Statement'!F10</f>
        <v>4777</v>
      </c>
      <c r="I36" s="16">
        <f>H36-G36</f>
        <v>-23</v>
      </c>
      <c r="J36" s="95" t="str">
        <f>IF(I36&gt;0,"Beat",IF(I36&lt;0,"Miss","In line"))</f>
        <v>Miss</v>
      </c>
      <c r="K36" s="2" t="s">
        <v>480</v>
      </c>
      <c r="L36" s="3"/>
      <c r="M36" s="3"/>
    </row>
    <row r="37">
      <c r="A37" s="3"/>
      <c r="B37" s="1" t="s">
        <v>32</v>
      </c>
      <c r="C37" s="54">
        <v>46140</v>
      </c>
      <c r="D37" s="59" t="s">
        <v>52</v>
      </c>
      <c r="E37" s="55">
        <v>0.331</v>
      </c>
      <c r="F37" s="55">
        <v>0.331</v>
      </c>
      <c r="G37" s="11">
        <f>AVERAGE(E37:F37)</f>
        <v>0.331</v>
      </c>
      <c r="H37" s="14">
        <f>'Income Statement'!F17</f>
        <v>0.3341009001465355</v>
      </c>
      <c r="I37" s="93">
        <f>(H37-G37)*10000</f>
        <v>31.00900146535468</v>
      </c>
      <c r="J37" s="95" t="str">
        <f>IF(I37&gt;0,"Beat",IF(I37&lt;0,"Miss","In line"))</f>
        <v>Beat</v>
      </c>
      <c r="K37" s="2" t="s">
        <v>478</v>
      </c>
      <c r="L37" s="3"/>
      <c r="M37" s="3"/>
    </row>
    <row r="38">
      <c r="A38" s="3"/>
      <c r="B38" s="2" t="s">
        <v>34</v>
      </c>
      <c r="C38" s="50">
        <v>46140</v>
      </c>
      <c r="D38" s="51" t="s">
        <v>52</v>
      </c>
      <c r="E38" s="44">
        <v>630</v>
      </c>
      <c r="F38" s="44">
        <v>630</v>
      </c>
      <c r="G38" s="16">
        <f>AVERAGE(E38:F38)</f>
        <v>630</v>
      </c>
      <c r="H38" s="21">
        <f>'Income Statement'!F41</f>
        <v>655</v>
      </c>
      <c r="I38" s="16">
        <f>H38-G38</f>
        <v>25</v>
      </c>
      <c r="J38" s="95" t="str">
        <f>IF(I38&gt;0,"Beat",IF(I38&lt;0,"Miss","In line"))</f>
        <v>Beat</v>
      </c>
      <c r="K38" s="2" t="s">
        <v>478</v>
      </c>
      <c r="L38" s="3"/>
      <c r="M38" s="3"/>
    </row>
    <row r="39">
      <c r="A39" s="3"/>
      <c r="B39" s="2" t="s">
        <v>482</v>
      </c>
      <c r="C39" s="50">
        <v>46140</v>
      </c>
      <c r="D39" s="51" t="s">
        <v>52</v>
      </c>
      <c r="E39" s="44">
        <v>10</v>
      </c>
      <c r="F39" s="44">
        <v>10</v>
      </c>
      <c r="G39" s="16">
        <f>AVERAGE(E39:F39)</f>
        <v>10</v>
      </c>
      <c r="H39" s="21">
        <f>'Income Statement'!F91</f>
        <v>1</v>
      </c>
      <c r="I39" s="16">
        <f>H39-G39</f>
        <v>-9</v>
      </c>
      <c r="J39" s="95" t="s">
        <v>33</v>
      </c>
      <c r="K39" s="2" t="s">
        <v>483</v>
      </c>
      <c r="L39" s="3"/>
      <c r="M39" s="3"/>
    </row>
    <row r="40">
      <c r="A40" s="3"/>
      <c r="B40" s="2" t="s">
        <v>484</v>
      </c>
      <c r="C40" s="50">
        <v>46140</v>
      </c>
      <c r="D40" s="51" t="s">
        <v>52</v>
      </c>
      <c r="E40" s="49">
        <v>-80</v>
      </c>
      <c r="F40" s="49">
        <v>-80</v>
      </c>
      <c r="G40" s="52">
        <f>AVERAGE(E40:F40)</f>
        <v>-80</v>
      </c>
      <c r="H40" s="48">
        <f>('Revenue summary'!F37)*10000</f>
        <v>-71.54781779155739</v>
      </c>
      <c r="I40" s="52">
        <f>H40-G40</f>
        <v>8.452182208442608</v>
      </c>
      <c r="J40" s="95" t="s">
        <v>33</v>
      </c>
      <c r="K40" s="2" t="s">
        <v>33</v>
      </c>
      <c r="L40" s="3"/>
      <c r="M40" s="3"/>
    </row>
    <row r="41">
      <c r="A41" s="3"/>
      <c r="B41" s="3"/>
      <c r="C41" s="4"/>
      <c r="D41" s="51"/>
      <c r="E41" s="51"/>
      <c r="F41" s="51"/>
      <c r="G41" s="51"/>
      <c r="H41" s="51"/>
      <c r="I41" s="51"/>
      <c r="J41" s="95"/>
      <c r="K41" s="2"/>
      <c r="L41" s="3"/>
      <c r="M41" s="3"/>
    </row>
    <row r="42">
      <c r="A42" s="3"/>
      <c r="B42" s="2" t="s">
        <v>477</v>
      </c>
      <c r="C42" s="50">
        <v>46238</v>
      </c>
      <c r="D42" s="51" t="s">
        <v>4</v>
      </c>
      <c r="E42" s="44">
        <v>788</v>
      </c>
      <c r="F42" s="44">
        <v>788</v>
      </c>
      <c r="G42" s="16">
        <f>AVERAGE(E42:F42)</f>
        <v>788</v>
      </c>
      <c r="H42" s="20">
        <f>'Segment - Ad-Supported'!H16</f>
        <v>788</v>
      </c>
      <c r="I42" s="16">
        <f>H42-G42</f>
        <v>0</v>
      </c>
      <c r="J42" s="96" t="str">
        <f>IF(I42&gt;0,"Beat",IF(I42&lt;0,"Miss","In line"))</f>
        <v>In line</v>
      </c>
      <c r="K42" s="2" t="s">
        <v>486</v>
      </c>
      <c r="L42" s="3"/>
      <c r="M42" s="3"/>
    </row>
    <row r="43">
      <c r="A43" s="3"/>
      <c r="B43" s="2" t="s">
        <v>479</v>
      </c>
      <c r="C43" s="50">
        <v>46238</v>
      </c>
      <c r="D43" s="51" t="s">
        <v>4</v>
      </c>
      <c r="E43" s="44">
        <v>305</v>
      </c>
      <c r="F43" s="44">
        <v>305</v>
      </c>
      <c r="G43" s="16">
        <f>AVERAGE(E43:F43)</f>
        <v>305</v>
      </c>
      <c r="H43" s="20">
        <f>'Segment - Premium'!H16</f>
        <v>305</v>
      </c>
      <c r="I43" s="16">
        <f>H43-G43</f>
        <v>0</v>
      </c>
      <c r="J43" s="96" t="str">
        <f>IF(I43&gt;0,"Beat",IF(I43&lt;0,"Miss","In line"))</f>
        <v>In line</v>
      </c>
      <c r="K43" s="2" t="s">
        <v>486</v>
      </c>
      <c r="L43" s="3"/>
      <c r="M43" s="3"/>
    </row>
    <row r="44">
      <c r="A44" s="3"/>
      <c r="B44" s="2" t="s">
        <v>481</v>
      </c>
      <c r="C44" s="50">
        <v>46238</v>
      </c>
      <c r="D44" s="51" t="s">
        <v>4</v>
      </c>
      <c r="E44" s="44">
        <v>5000</v>
      </c>
      <c r="F44" s="44">
        <v>5000</v>
      </c>
      <c r="G44" s="16">
        <f>AVERAGE(E44:F44)</f>
        <v>5000</v>
      </c>
      <c r="H44" s="20">
        <f>'Income Statement'!H10</f>
        <v>4968.834653703102</v>
      </c>
      <c r="I44" s="16">
        <f>H44-G44</f>
        <v>-31.16534629689795</v>
      </c>
      <c r="J44" s="96" t="str">
        <f>IF(I44&gt;0,"Beat",IF(I44&lt;0,"Miss","In line"))</f>
        <v>Miss</v>
      </c>
      <c r="K44" s="2" t="s">
        <v>486</v>
      </c>
      <c r="L44" s="3"/>
      <c r="M44" s="3"/>
    </row>
    <row r="45">
      <c r="A45" s="3"/>
      <c r="B45" s="1" t="s">
        <v>32</v>
      </c>
      <c r="C45" s="54">
        <v>46238</v>
      </c>
      <c r="D45" s="59" t="s">
        <v>4</v>
      </c>
      <c r="E45" s="55">
        <v>0.329</v>
      </c>
      <c r="F45" s="55">
        <v>0.329</v>
      </c>
      <c r="G45" s="11">
        <f>AVERAGE(E45:F45)</f>
        <v>0.329</v>
      </c>
      <c r="H45" s="29">
        <f>'Income Statement'!H17</f>
        <v>0.33027952059410653</v>
      </c>
      <c r="I45" s="93">
        <f>(H45-G45)*10000</f>
        <v>12.795205941065202</v>
      </c>
      <c r="J45" s="96" t="str">
        <f>IF(I45&gt;0,"Beat",IF(I45&lt;0,"Miss","In line"))</f>
        <v>Beat</v>
      </c>
      <c r="K45" s="2" t="s">
        <v>486</v>
      </c>
      <c r="L45" s="3"/>
      <c r="M45" s="3"/>
    </row>
    <row r="46">
      <c r="A46" s="3"/>
      <c r="B46" s="2" t="s">
        <v>34</v>
      </c>
      <c r="C46" s="50">
        <v>46238</v>
      </c>
      <c r="D46" s="51" t="s">
        <v>4</v>
      </c>
      <c r="E46" s="44">
        <v>670</v>
      </c>
      <c r="F46" s="44">
        <v>670</v>
      </c>
      <c r="G46" s="16">
        <f>AVERAGE(E46:F46)</f>
        <v>670</v>
      </c>
      <c r="H46" s="20">
        <f>'Income Statement'!H41</f>
        <v>668.3031503277537</v>
      </c>
      <c r="I46" s="16">
        <f>H46-G46</f>
        <v>-1.6968496722463442</v>
      </c>
      <c r="J46" s="96" t="str">
        <f>IF(I46&gt;0,"Beat",IF(I46&lt;0,"Miss","In line"))</f>
        <v>Miss</v>
      </c>
      <c r="K46" s="2" t="s">
        <v>486</v>
      </c>
      <c r="L46" s="3"/>
      <c r="M46" s="3"/>
    </row>
    <row r="47">
      <c r="A47" s="3"/>
      <c r="B47" s="2" t="s">
        <v>482</v>
      </c>
      <c r="C47" s="50">
        <v>46238</v>
      </c>
      <c r="D47" s="51" t="s">
        <v>4</v>
      </c>
      <c r="E47" s="44">
        <v>9</v>
      </c>
      <c r="F47" s="44">
        <v>9</v>
      </c>
      <c r="G47" s="16">
        <f>AVERAGE(E47:F47)</f>
        <v>9</v>
      </c>
      <c r="H47" s="20">
        <f>'Income Statement'!H91</f>
        <v>21.92117700869033</v>
      </c>
      <c r="I47" s="16">
        <f>H47-G47</f>
        <v>12.921177008690329</v>
      </c>
      <c r="J47" s="95" t="s">
        <v>33</v>
      </c>
      <c r="K47" s="2" t="s">
        <v>486</v>
      </c>
      <c r="L47" s="3"/>
      <c r="M47" s="3"/>
    </row>
    <row r="48">
      <c r="A48" s="3"/>
      <c r="B48" s="2" t="s">
        <v>484</v>
      </c>
      <c r="C48" s="50">
        <v>46238</v>
      </c>
      <c r="D48" s="51" t="s">
        <v>4</v>
      </c>
      <c r="E48" s="49">
        <v>200</v>
      </c>
      <c r="F48" s="49">
        <v>200</v>
      </c>
      <c r="G48" s="52">
        <f>AVERAGE(E48:F48)</f>
        <v>200</v>
      </c>
      <c r="H48" s="61">
        <f>('Revenue summary'!H37)*10000</f>
        <v>179.99999999999795</v>
      </c>
      <c r="I48" s="52">
        <f>H48-G48</f>
        <v>-20.000000000002046</v>
      </c>
      <c r="J48" s="95" t="s">
        <v>33</v>
      </c>
      <c r="K48" s="2" t="s">
        <v>486</v>
      </c>
      <c r="L48" s="3"/>
      <c r="M48" s="3"/>
    </row>
    <row r="49">
      <c r="A49" s="3"/>
      <c r="B49" s="3"/>
      <c r="C49" s="51"/>
      <c r="D49" s="51"/>
      <c r="E49" s="51"/>
      <c r="F49" s="51"/>
      <c r="G49" s="51"/>
      <c r="H49" s="51"/>
      <c r="I49" s="51"/>
      <c r="J49" s="51"/>
      <c r="K49" s="2"/>
      <c r="L49" s="3"/>
      <c r="M49" s="3"/>
    </row>
    <row r="50">
      <c r="A50" s="3"/>
      <c r="B50" s="2" t="s">
        <v>487</v>
      </c>
      <c r="C50" s="51"/>
      <c r="D50" s="51"/>
      <c r="E50" s="51"/>
      <c r="F50" s="51"/>
      <c r="G50" s="21">
        <f>Inputs!C66</f>
        <v>5000</v>
      </c>
      <c r="H50" s="51"/>
      <c r="I50" s="46">
        <f>G50-G44</f>
        <v>0</v>
      </c>
      <c r="J50" s="51"/>
      <c r="K50" s="2" t="s">
        <v>488</v>
      </c>
      <c r="L50" s="3"/>
      <c r="M50" s="3"/>
    </row>
    <row r="51">
      <c r="A51" s="3"/>
      <c r="B51" s="3"/>
      <c r="C51" s="51"/>
      <c r="D51" s="51"/>
      <c r="E51" s="51"/>
      <c r="F51" s="51"/>
      <c r="G51" s="51"/>
      <c r="H51" s="51"/>
      <c r="I51" s="51"/>
      <c r="J51" s="51"/>
      <c r="K51" s="2"/>
      <c r="L51" s="3"/>
      <c r="M51" s="3"/>
    </row>
    <row r="52">
      <c r="A52" s="3"/>
      <c r="B52" s="1" t="s">
        <v>489</v>
      </c>
      <c r="C52" s="51"/>
      <c r="D52" s="51"/>
      <c r="E52" s="51"/>
      <c r="F52" s="51"/>
      <c r="G52" s="51"/>
      <c r="H52" s="51"/>
      <c r="I52" s="51"/>
      <c r="J52" s="51"/>
      <c r="K52" s="2"/>
      <c r="L52" s="3"/>
      <c r="M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M41"/>
  <sheetViews>
    <sheetView showGridLines="0" workbookViewId="0"/>
  </sheetViews>
  <sheetFormatPr defaultColWidth="8.42578125" defaultRowHeight="15"/>
  <cols>
    <col min="1" max="1" width="2" customWidth="1"/>
    <col min="2" max="2" width="40" customWidth="1"/>
    <col min="3" max="3" width="12" customWidth="1"/>
    <col min="4" max="4" width="24" customWidth="1"/>
    <col min="5" max="5" width="70" customWidth="1"/>
    <col min="6" max="6" width="52" customWidth="1"/>
    <col min="7" max="7" width="14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>
      <c r="A2" s="3"/>
      <c r="B2" s="5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>
      <c r="A3" s="3"/>
      <c r="B3" s="30" t="s">
        <v>490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s="3"/>
      <c r="B4" s="17" t="s">
        <v>491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3"/>
      <c r="B5" s="31" t="s">
        <v>3</v>
      </c>
      <c r="C5" s="8" t="s">
        <v>4</v>
      </c>
      <c r="D5" s="8"/>
      <c r="E5" s="8"/>
      <c r="F5" s="8"/>
      <c r="G5" s="8"/>
      <c r="H5" s="3"/>
      <c r="I5" s="3"/>
      <c r="J5" s="3"/>
      <c r="K5" s="3"/>
      <c r="L5" s="3"/>
      <c r="M5" s="3"/>
    </row>
    <row r="6">
      <c r="A6" s="3"/>
      <c r="B6" s="22" t="s">
        <v>5</v>
      </c>
      <c r="C6" s="19">
        <v>46295</v>
      </c>
      <c r="D6" s="6"/>
      <c r="E6" s="6"/>
      <c r="F6" s="6"/>
      <c r="G6" s="6"/>
      <c r="H6" s="3"/>
      <c r="I6" s="3"/>
      <c r="J6" s="3"/>
      <c r="K6" s="3"/>
      <c r="L6" s="3"/>
      <c r="M6" s="3"/>
    </row>
    <row r="7">
      <c r="A7" s="3"/>
      <c r="B7" s="10" t="s">
        <v>6</v>
      </c>
      <c r="C7" s="28">
        <f>C6-EOMONTH(C6,-3)</f>
        <v>92</v>
      </c>
      <c r="D7" s="9"/>
      <c r="E7" s="9"/>
      <c r="F7" s="9"/>
      <c r="G7" s="9"/>
      <c r="H7" s="3"/>
      <c r="I7" s="3"/>
      <c r="J7" s="3"/>
      <c r="K7" s="3"/>
      <c r="L7" s="3"/>
      <c r="M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>
      <c r="A9" s="3"/>
      <c r="B9" s="7" t="s">
        <v>492</v>
      </c>
      <c r="C9" s="34" t="s">
        <v>493</v>
      </c>
      <c r="D9" s="7" t="s">
        <v>494</v>
      </c>
      <c r="E9" s="7" t="s">
        <v>495</v>
      </c>
      <c r="F9" s="7" t="s">
        <v>496</v>
      </c>
      <c r="G9" s="34" t="s">
        <v>497</v>
      </c>
      <c r="H9" s="3"/>
      <c r="I9" s="3"/>
      <c r="J9" s="3"/>
      <c r="K9" s="3"/>
      <c r="L9" s="3"/>
      <c r="M9" s="3"/>
    </row>
    <row r="10">
      <c r="A10" s="3"/>
      <c r="B10" s="2" t="s">
        <v>498</v>
      </c>
      <c r="C10" s="4">
        <v>46313</v>
      </c>
      <c r="D10" s="2" t="s">
        <v>499</v>
      </c>
      <c r="E10" s="2" t="s">
        <v>500</v>
      </c>
      <c r="F10" s="2" t="s">
        <v>501</v>
      </c>
      <c r="G10" s="4" t="s">
        <v>502</v>
      </c>
      <c r="H10" s="3"/>
      <c r="I10" s="3"/>
      <c r="J10" s="3"/>
      <c r="K10" s="3"/>
      <c r="L10" s="3"/>
      <c r="M10" s="3"/>
    </row>
    <row r="11">
      <c r="A11" s="3"/>
      <c r="B11" s="2" t="s">
        <v>503</v>
      </c>
      <c r="C11" s="4">
        <v>46313</v>
      </c>
      <c r="D11" s="2" t="s">
        <v>499</v>
      </c>
      <c r="E11" s="2" t="s">
        <v>504</v>
      </c>
      <c r="F11" s="2" t="s">
        <v>505</v>
      </c>
      <c r="G11" s="4" t="s">
        <v>502</v>
      </c>
      <c r="H11" s="3"/>
      <c r="I11" s="3"/>
      <c r="J11" s="3"/>
      <c r="K11" s="3"/>
      <c r="L11" s="3"/>
      <c r="M11" s="3"/>
    </row>
    <row r="12" ht="26.25">
      <c r="A12" s="3"/>
      <c r="B12" s="2" t="s">
        <v>506</v>
      </c>
      <c r="C12" s="4">
        <v>46238</v>
      </c>
      <c r="D12" s="2" t="s">
        <v>507</v>
      </c>
      <c r="E12" s="105" t="s">
        <v>508</v>
      </c>
      <c r="F12" s="2" t="s">
        <v>509</v>
      </c>
      <c r="G12" s="4">
        <v>46315</v>
      </c>
      <c r="H12" s="3"/>
      <c r="I12" s="3"/>
      <c r="J12" s="3"/>
      <c r="K12" s="3"/>
      <c r="L12" s="3"/>
      <c r="M12" s="3"/>
    </row>
    <row r="13" ht="26.25">
      <c r="A13" s="3"/>
      <c r="B13" s="2" t="s">
        <v>510</v>
      </c>
      <c r="C13" s="4">
        <v>46238</v>
      </c>
      <c r="D13" s="2" t="s">
        <v>507</v>
      </c>
      <c r="E13" s="105" t="s">
        <v>511</v>
      </c>
      <c r="F13" s="105" t="s">
        <v>512</v>
      </c>
      <c r="G13" s="4">
        <v>46315</v>
      </c>
      <c r="H13" s="3"/>
      <c r="I13" s="3"/>
      <c r="J13" s="3"/>
      <c r="K13" s="3"/>
      <c r="L13" s="3"/>
      <c r="M13" s="3"/>
    </row>
    <row r="14" ht="26.25">
      <c r="A14" s="3"/>
      <c r="B14" s="2" t="s">
        <v>513</v>
      </c>
      <c r="C14" s="4">
        <v>46140</v>
      </c>
      <c r="D14" s="2" t="s">
        <v>507</v>
      </c>
      <c r="E14" s="105" t="s">
        <v>514</v>
      </c>
      <c r="F14" s="105" t="s">
        <v>515</v>
      </c>
      <c r="G14" s="4">
        <v>46315</v>
      </c>
      <c r="H14" s="3"/>
      <c r="I14" s="3"/>
      <c r="J14" s="3"/>
      <c r="K14" s="3"/>
      <c r="L14" s="3"/>
      <c r="M14" s="3"/>
    </row>
    <row r="15" ht="26.25">
      <c r="A15" s="3"/>
      <c r="B15" s="2" t="s">
        <v>516</v>
      </c>
      <c r="C15" s="4">
        <v>46063</v>
      </c>
      <c r="D15" s="2" t="s">
        <v>507</v>
      </c>
      <c r="E15" s="105" t="s">
        <v>517</v>
      </c>
      <c r="F15" s="2" t="s">
        <v>518</v>
      </c>
      <c r="G15" s="4">
        <v>46315</v>
      </c>
      <c r="H15" s="3"/>
      <c r="I15" s="3"/>
      <c r="J15" s="3"/>
      <c r="K15" s="3"/>
      <c r="L15" s="3"/>
      <c r="M15" s="3"/>
    </row>
    <row r="16" ht="26.25">
      <c r="A16" s="3"/>
      <c r="B16" s="2" t="s">
        <v>519</v>
      </c>
      <c r="C16" s="4">
        <v>45965</v>
      </c>
      <c r="D16" s="2" t="s">
        <v>507</v>
      </c>
      <c r="E16" s="105" t="s">
        <v>520</v>
      </c>
      <c r="F16" s="2" t="s">
        <v>521</v>
      </c>
      <c r="G16" s="4">
        <v>46315</v>
      </c>
      <c r="H16" s="3"/>
      <c r="I16" s="3"/>
      <c r="J16" s="3"/>
      <c r="K16" s="3"/>
      <c r="L16" s="3"/>
      <c r="M16" s="3"/>
    </row>
    <row r="17" ht="26.25">
      <c r="A17" s="3"/>
      <c r="B17" s="2" t="s">
        <v>522</v>
      </c>
      <c r="C17" s="4">
        <v>45965</v>
      </c>
      <c r="D17" s="2" t="s">
        <v>507</v>
      </c>
      <c r="E17" s="105" t="s">
        <v>523</v>
      </c>
      <c r="F17" s="2" t="s">
        <v>524</v>
      </c>
      <c r="G17" s="4">
        <v>46315</v>
      </c>
      <c r="H17" s="3"/>
      <c r="I17" s="3"/>
      <c r="J17" s="3"/>
      <c r="K17" s="3"/>
      <c r="L17" s="3"/>
      <c r="M17" s="3"/>
    </row>
    <row r="18" ht="26.25">
      <c r="A18" s="3"/>
      <c r="B18" s="2" t="s">
        <v>525</v>
      </c>
      <c r="C18" s="4">
        <v>46063</v>
      </c>
      <c r="D18" s="2" t="s">
        <v>507</v>
      </c>
      <c r="E18" s="105" t="s">
        <v>526</v>
      </c>
      <c r="F18" s="2" t="s">
        <v>527</v>
      </c>
      <c r="G18" s="4">
        <v>46315</v>
      </c>
      <c r="H18" s="3"/>
      <c r="I18" s="3"/>
      <c r="J18" s="3"/>
      <c r="K18" s="3"/>
      <c r="L18" s="3"/>
      <c r="M18" s="3"/>
    </row>
    <row r="19" ht="26.25">
      <c r="A19" s="3"/>
      <c r="B19" s="2" t="s">
        <v>528</v>
      </c>
      <c r="C19" s="4">
        <v>46245</v>
      </c>
      <c r="D19" s="2" t="s">
        <v>529</v>
      </c>
      <c r="E19" s="105" t="s">
        <v>530</v>
      </c>
      <c r="F19" s="2" t="s">
        <v>531</v>
      </c>
      <c r="G19" s="4">
        <v>46315</v>
      </c>
      <c r="H19" s="3"/>
      <c r="I19" s="3"/>
      <c r="J19" s="3"/>
      <c r="K19" s="3"/>
      <c r="L19" s="3"/>
      <c r="M19" s="3"/>
    </row>
    <row r="20" ht="26.25">
      <c r="A20" s="3"/>
      <c r="B20" s="2" t="s">
        <v>532</v>
      </c>
      <c r="C20" s="4">
        <v>46289</v>
      </c>
      <c r="D20" s="2" t="s">
        <v>533</v>
      </c>
      <c r="E20" s="105" t="s">
        <v>534</v>
      </c>
      <c r="F20" s="2" t="s">
        <v>535</v>
      </c>
      <c r="G20" s="4">
        <v>46315</v>
      </c>
      <c r="H20" s="3"/>
      <c r="I20" s="3"/>
      <c r="J20" s="3"/>
      <c r="K20" s="3"/>
      <c r="L20" s="3"/>
      <c r="M20" s="3"/>
    </row>
    <row r="21" ht="26.25">
      <c r="A21" s="3"/>
      <c r="B21" s="2" t="s">
        <v>536</v>
      </c>
      <c r="C21" s="4">
        <v>46295</v>
      </c>
      <c r="D21" s="105" t="s">
        <v>537</v>
      </c>
      <c r="E21" s="105" t="s">
        <v>538</v>
      </c>
      <c r="F21" s="2" t="s">
        <v>539</v>
      </c>
      <c r="G21" s="4">
        <v>46315</v>
      </c>
      <c r="H21" s="3"/>
      <c r="I21" s="3"/>
      <c r="J21" s="3"/>
      <c r="K21" s="3"/>
      <c r="L21" s="3"/>
      <c r="M21" s="3"/>
    </row>
    <row r="22" ht="26.25">
      <c r="A22" s="3"/>
      <c r="B22" s="2" t="s">
        <v>540</v>
      </c>
      <c r="C22" s="4">
        <v>46295</v>
      </c>
      <c r="D22" s="2" t="s">
        <v>541</v>
      </c>
      <c r="E22" s="105" t="s">
        <v>542</v>
      </c>
      <c r="F22" s="2" t="s">
        <v>543</v>
      </c>
      <c r="G22" s="4">
        <v>46315</v>
      </c>
      <c r="H22" s="3"/>
      <c r="I22" s="3"/>
      <c r="J22" s="3"/>
      <c r="K22" s="3"/>
      <c r="L22" s="3"/>
      <c r="M22" s="3"/>
    </row>
    <row r="23" ht="26.25">
      <c r="A23" s="3"/>
      <c r="B23" s="2" t="s">
        <v>544</v>
      </c>
      <c r="C23" s="4">
        <v>46310</v>
      </c>
      <c r="D23" s="2" t="s">
        <v>545</v>
      </c>
      <c r="E23" s="105" t="s">
        <v>546</v>
      </c>
      <c r="F23" s="2" t="s">
        <v>547</v>
      </c>
      <c r="G23" s="4">
        <v>46315</v>
      </c>
      <c r="H23" s="3"/>
      <c r="I23" s="3"/>
      <c r="J23" s="3"/>
      <c r="K23" s="3"/>
      <c r="L23" s="3"/>
      <c r="M23" s="3"/>
    </row>
    <row r="24">
      <c r="A24" s="3"/>
      <c r="B24" s="2" t="s">
        <v>548</v>
      </c>
      <c r="C24" s="4">
        <v>46309</v>
      </c>
      <c r="D24" s="2" t="s">
        <v>549</v>
      </c>
      <c r="E24" s="105" t="s">
        <v>550</v>
      </c>
      <c r="F24" s="2" t="s">
        <v>551</v>
      </c>
      <c r="G24" s="4">
        <v>46315</v>
      </c>
      <c r="H24" s="3"/>
      <c r="I24" s="3"/>
      <c r="J24" s="3"/>
      <c r="K24" s="3"/>
      <c r="L24" s="3"/>
      <c r="M24" s="3"/>
    </row>
    <row r="25" ht="26.25">
      <c r="A25" s="3"/>
      <c r="B25" s="2" t="s">
        <v>552</v>
      </c>
      <c r="C25" s="4">
        <v>46310</v>
      </c>
      <c r="D25" s="2" t="s">
        <v>553</v>
      </c>
      <c r="E25" s="105" t="s">
        <v>554</v>
      </c>
      <c r="F25" s="2" t="s">
        <v>555</v>
      </c>
      <c r="G25" s="4">
        <v>46315</v>
      </c>
      <c r="H25" s="3"/>
      <c r="I25" s="3"/>
      <c r="J25" s="3"/>
      <c r="K25" s="3"/>
      <c r="L25" s="3"/>
      <c r="M25" s="3"/>
    </row>
    <row r="26" ht="26.25">
      <c r="A26" s="3"/>
      <c r="B26" s="2" t="s">
        <v>556</v>
      </c>
      <c r="C26" s="4">
        <v>46292</v>
      </c>
      <c r="D26" s="2" t="s">
        <v>557</v>
      </c>
      <c r="E26" s="105" t="s">
        <v>558</v>
      </c>
      <c r="F26" s="2" t="s">
        <v>559</v>
      </c>
      <c r="G26" s="4">
        <v>46315</v>
      </c>
      <c r="H26" s="3"/>
      <c r="I26" s="3"/>
      <c r="J26" s="3"/>
      <c r="K26" s="3"/>
      <c r="L26" s="3"/>
      <c r="M26" s="3"/>
    </row>
    <row r="27">
      <c r="A27" s="3"/>
      <c r="B27" s="2" t="s">
        <v>560</v>
      </c>
      <c r="C27" s="4">
        <v>46311</v>
      </c>
      <c r="D27" s="2" t="s">
        <v>561</v>
      </c>
      <c r="E27" s="105" t="s">
        <v>562</v>
      </c>
      <c r="F27" s="2" t="s">
        <v>563</v>
      </c>
      <c r="G27" s="4">
        <v>46315</v>
      </c>
      <c r="H27" s="3"/>
      <c r="I27" s="3"/>
      <c r="J27" s="3"/>
      <c r="K27" s="3"/>
      <c r="L27" s="3"/>
      <c r="M27" s="3"/>
    </row>
    <row r="28" ht="26.25">
      <c r="A28" s="3"/>
      <c r="B28" s="2" t="s">
        <v>564</v>
      </c>
      <c r="C28" s="4">
        <v>46246</v>
      </c>
      <c r="D28" s="2" t="s">
        <v>565</v>
      </c>
      <c r="E28" s="105" t="s">
        <v>566</v>
      </c>
      <c r="F28" s="2" t="s">
        <v>567</v>
      </c>
      <c r="G28" s="4">
        <v>46315</v>
      </c>
      <c r="H28" s="3"/>
      <c r="I28" s="3"/>
      <c r="J28" s="3"/>
      <c r="K28" s="3"/>
      <c r="L28" s="3"/>
      <c r="M28" s="3"/>
    </row>
    <row r="29" ht="26.25">
      <c r="A29" s="3"/>
      <c r="B29" s="2" t="s">
        <v>568</v>
      </c>
      <c r="C29" s="4">
        <v>45496</v>
      </c>
      <c r="D29" s="2" t="s">
        <v>507</v>
      </c>
      <c r="E29" s="105" t="s">
        <v>569</v>
      </c>
      <c r="F29" s="2" t="s">
        <v>570</v>
      </c>
      <c r="G29" s="4">
        <v>46315</v>
      </c>
      <c r="H29" s="3"/>
      <c r="I29" s="3"/>
      <c r="J29" s="3"/>
      <c r="K29" s="3"/>
      <c r="L29" s="3"/>
      <c r="M29" s="3"/>
    </row>
    <row r="30" ht="26.25">
      <c r="A30" s="3"/>
      <c r="B30" s="2" t="s">
        <v>571</v>
      </c>
      <c r="C30" s="4">
        <v>46234</v>
      </c>
      <c r="D30" s="2" t="s">
        <v>572</v>
      </c>
      <c r="E30" s="105" t="s">
        <v>573</v>
      </c>
      <c r="F30" s="2" t="s">
        <v>574</v>
      </c>
      <c r="G30" s="4">
        <v>46315</v>
      </c>
      <c r="H30" s="3"/>
      <c r="I30" s="3"/>
      <c r="J30" s="3"/>
      <c r="K30" s="3"/>
      <c r="L30" s="3"/>
      <c r="M30" s="3"/>
    </row>
    <row r="31" ht="26.25">
      <c r="A31" s="3"/>
      <c r="B31" s="2" t="s">
        <v>575</v>
      </c>
      <c r="C31" s="4">
        <v>46238</v>
      </c>
      <c r="D31" s="105" t="s">
        <v>576</v>
      </c>
      <c r="E31" s="105" t="s">
        <v>577</v>
      </c>
      <c r="F31" s="2" t="s">
        <v>578</v>
      </c>
      <c r="G31" s="4">
        <v>46315</v>
      </c>
      <c r="H31" s="3"/>
      <c r="I31" s="3"/>
      <c r="J31" s="3"/>
      <c r="K31" s="3"/>
      <c r="L31" s="3"/>
      <c r="M31" s="3"/>
    </row>
    <row r="32" ht="26.25">
      <c r="A32" s="3"/>
      <c r="B32" s="2" t="s">
        <v>579</v>
      </c>
      <c r="C32" s="4">
        <v>46311</v>
      </c>
      <c r="D32" s="2" t="s">
        <v>580</v>
      </c>
      <c r="E32" s="105" t="s">
        <v>581</v>
      </c>
      <c r="F32" s="2" t="s">
        <v>582</v>
      </c>
      <c r="G32" s="4">
        <v>46315</v>
      </c>
      <c r="H32" s="3"/>
      <c r="I32" s="3"/>
      <c r="J32" s="3"/>
      <c r="K32" s="3"/>
      <c r="L32" s="3"/>
      <c r="M32" s="3"/>
    </row>
    <row r="33" ht="26.25">
      <c r="A33" s="3"/>
      <c r="B33" s="2" t="s">
        <v>583</v>
      </c>
      <c r="C33" s="4">
        <v>46181</v>
      </c>
      <c r="D33" s="2" t="s">
        <v>584</v>
      </c>
      <c r="E33" s="105" t="s">
        <v>585</v>
      </c>
      <c r="F33" s="2" t="s">
        <v>586</v>
      </c>
      <c r="G33" s="4">
        <v>46315</v>
      </c>
      <c r="H33" s="3"/>
      <c r="I33" s="3"/>
      <c r="J33" s="3"/>
      <c r="K33" s="3"/>
      <c r="L33" s="3"/>
      <c r="M33" s="3"/>
    </row>
    <row r="34">
      <c r="A34" s="3"/>
      <c r="B34" s="3"/>
      <c r="C34" s="4"/>
      <c r="D34" s="3"/>
      <c r="E34" s="3"/>
      <c r="F34" s="3"/>
      <c r="G34" s="4"/>
      <c r="H34" s="3"/>
      <c r="I34" s="3"/>
      <c r="J34" s="3"/>
      <c r="K34" s="3"/>
      <c r="L34" s="3"/>
      <c r="M34" s="3"/>
    </row>
    <row r="35">
      <c r="A35" s="3"/>
      <c r="B35" s="1" t="s">
        <v>587</v>
      </c>
      <c r="C35" s="4"/>
      <c r="D35" s="3"/>
      <c r="E35" s="3"/>
      <c r="F35" s="3"/>
      <c r="G35" s="4"/>
      <c r="H35" s="3"/>
      <c r="I35" s="3"/>
      <c r="J35" s="3"/>
      <c r="K35" s="3"/>
      <c r="L35" s="3"/>
      <c r="M35" s="3"/>
    </row>
    <row r="36">
      <c r="A36" s="3"/>
      <c r="B36" s="1" t="s">
        <v>588</v>
      </c>
      <c r="C36" s="4"/>
      <c r="D36" s="3"/>
      <c r="E36" s="3"/>
      <c r="F36" s="3"/>
      <c r="G36" s="4"/>
      <c r="H36" s="3"/>
      <c r="I36" s="3"/>
      <c r="J36" s="3"/>
      <c r="K36" s="3"/>
      <c r="L36" s="3"/>
      <c r="M36" s="3"/>
    </row>
    <row r="37">
      <c r="A37" s="3"/>
      <c r="B37" s="1" t="s">
        <v>589</v>
      </c>
      <c r="C37" s="4"/>
      <c r="D37" s="3"/>
      <c r="E37" s="3"/>
      <c r="F37" s="3"/>
      <c r="G37" s="4"/>
      <c r="H37" s="3"/>
      <c r="I37" s="3"/>
      <c r="J37" s="3"/>
      <c r="K37" s="3"/>
      <c r="L37" s="3"/>
      <c r="M37" s="3"/>
    </row>
    <row r="38">
      <c r="A38" s="3"/>
      <c r="B38" s="1" t="s">
        <v>590</v>
      </c>
      <c r="C38" s="4"/>
      <c r="D38" s="3"/>
      <c r="E38" s="3"/>
      <c r="F38" s="3"/>
      <c r="G38" s="4"/>
      <c r="H38" s="3"/>
      <c r="I38" s="3"/>
      <c r="J38" s="3"/>
      <c r="K38" s="3"/>
      <c r="L38" s="3"/>
      <c r="M38" s="3"/>
    </row>
    <row r="39">
      <c r="A39" s="3"/>
      <c r="B39" s="1" t="s">
        <v>591</v>
      </c>
      <c r="C39" s="4"/>
      <c r="D39" s="3"/>
      <c r="E39" s="3"/>
      <c r="F39" s="3"/>
      <c r="G39" s="4"/>
      <c r="H39" s="3"/>
      <c r="I39" s="3"/>
      <c r="J39" s="3"/>
      <c r="K39" s="3"/>
      <c r="L39" s="3"/>
      <c r="M39" s="3"/>
    </row>
    <row r="40">
      <c r="A40" s="3"/>
      <c r="B40" s="94" t="s">
        <v>592</v>
      </c>
      <c r="C40" s="4"/>
      <c r="D40" s="3"/>
      <c r="E40" s="3"/>
      <c r="F40" s="3"/>
      <c r="G40" s="4"/>
      <c r="H40" s="3"/>
      <c r="I40" s="3"/>
      <c r="J40" s="3"/>
      <c r="K40" s="3"/>
      <c r="L40" s="3"/>
      <c r="M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A1:M250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3" width="14" customWidth="1"/>
    <col min="4" max="9" width="12" customWidth="1"/>
    <col min="10" max="10" width="4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>
      <c r="A2" s="3"/>
      <c r="B2" s="5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>
      <c r="A3" s="3"/>
      <c r="B3" s="30" t="s">
        <v>593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s="3"/>
      <c r="B4" s="17" t="s">
        <v>165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3"/>
      <c r="B5" s="31" t="s">
        <v>3</v>
      </c>
      <c r="C5" s="8" t="s">
        <v>4</v>
      </c>
      <c r="D5" s="8"/>
      <c r="E5" s="8"/>
      <c r="F5" s="8"/>
      <c r="G5" s="8"/>
      <c r="H5" s="8"/>
      <c r="I5" s="3"/>
      <c r="J5" s="3"/>
      <c r="K5" s="3"/>
      <c r="L5" s="3"/>
      <c r="M5" s="3"/>
    </row>
    <row r="6">
      <c r="A6" s="3"/>
      <c r="B6" s="22" t="s">
        <v>5</v>
      </c>
      <c r="C6" s="19">
        <v>46295</v>
      </c>
      <c r="D6" s="6"/>
      <c r="E6" s="6"/>
      <c r="F6" s="6"/>
      <c r="G6" s="6"/>
      <c r="H6" s="6"/>
      <c r="I6" s="3"/>
      <c r="J6" s="3"/>
      <c r="K6" s="3"/>
      <c r="L6" s="3"/>
      <c r="M6" s="3"/>
    </row>
    <row r="7">
      <c r="A7" s="3"/>
      <c r="B7" s="10" t="s">
        <v>6</v>
      </c>
      <c r="C7" s="28">
        <f>C6-EOMONTH(C6,-3)</f>
        <v>92</v>
      </c>
      <c r="D7" s="9"/>
      <c r="E7" s="9"/>
      <c r="F7" s="9"/>
      <c r="G7" s="9"/>
      <c r="H7" s="9"/>
      <c r="I7" s="3"/>
      <c r="J7" s="3"/>
      <c r="K7" s="3"/>
      <c r="L7" s="3"/>
      <c r="M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>
      <c r="A9" s="3"/>
      <c r="B9" s="27" t="s">
        <v>594</v>
      </c>
      <c r="C9" s="15"/>
      <c r="D9" s="15"/>
      <c r="E9" s="15"/>
      <c r="F9" s="15"/>
      <c r="G9" s="15"/>
      <c r="H9" s="15"/>
      <c r="I9" s="15"/>
      <c r="J9" s="3"/>
      <c r="K9" s="3"/>
      <c r="L9" s="3"/>
      <c r="M9" s="3"/>
    </row>
    <row r="10">
      <c r="A10" s="3"/>
      <c r="B10" s="27" t="s">
        <v>595</v>
      </c>
      <c r="C10" s="101" t="s">
        <v>596</v>
      </c>
      <c r="D10" s="101" t="s">
        <v>597</v>
      </c>
      <c r="E10" s="76"/>
      <c r="F10" s="76"/>
      <c r="G10" s="76"/>
      <c r="H10" s="76"/>
      <c r="I10" s="76"/>
      <c r="J10" s="3"/>
      <c r="K10" s="3"/>
      <c r="L10" s="3"/>
      <c r="M10" s="3"/>
    </row>
    <row r="11">
      <c r="A11" s="3"/>
      <c r="B11" s="2" t="s">
        <v>598</v>
      </c>
      <c r="C11" s="73" t="s">
        <v>499</v>
      </c>
      <c r="D11" s="73"/>
      <c r="E11" s="73"/>
      <c r="F11" s="73"/>
      <c r="G11" s="73"/>
      <c r="H11" s="73"/>
      <c r="I11" s="73"/>
      <c r="J11" s="3"/>
      <c r="K11" s="3"/>
      <c r="L11" s="3"/>
      <c r="M11" s="3"/>
    </row>
    <row r="12">
      <c r="A12" s="3"/>
      <c r="B12" s="2" t="s">
        <v>599</v>
      </c>
      <c r="C12" s="73" t="s">
        <v>600</v>
      </c>
      <c r="D12" s="73"/>
      <c r="E12" s="73"/>
      <c r="F12" s="73"/>
      <c r="G12" s="73"/>
      <c r="H12" s="73"/>
      <c r="I12" s="73"/>
      <c r="J12" s="3"/>
      <c r="K12" s="3"/>
      <c r="L12" s="3"/>
      <c r="M12" s="3"/>
    </row>
    <row r="13">
      <c r="A13" s="3"/>
      <c r="B13" s="2" t="s">
        <v>601</v>
      </c>
      <c r="C13" s="73" t="s">
        <v>9</v>
      </c>
      <c r="D13" s="73"/>
      <c r="E13" s="73"/>
      <c r="F13" s="73"/>
      <c r="G13" s="73"/>
      <c r="H13" s="73"/>
      <c r="I13" s="73"/>
      <c r="J13" s="3"/>
      <c r="K13" s="3"/>
      <c r="L13" s="3"/>
      <c r="M13" s="3"/>
    </row>
    <row r="14">
      <c r="A14" s="3"/>
      <c r="B14" s="2" t="s">
        <v>602</v>
      </c>
      <c r="C14" s="73" t="s">
        <v>603</v>
      </c>
      <c r="D14" s="73"/>
      <c r="E14" s="73"/>
      <c r="F14" s="73"/>
      <c r="G14" s="73"/>
      <c r="H14" s="73"/>
      <c r="I14" s="73"/>
      <c r="J14" s="3"/>
      <c r="K14" s="3"/>
      <c r="L14" s="3"/>
      <c r="M14" s="3"/>
    </row>
    <row r="15">
      <c r="A15" s="3"/>
      <c r="B15" s="2" t="s">
        <v>604</v>
      </c>
      <c r="C15" s="84">
        <v>46295</v>
      </c>
      <c r="D15" s="73"/>
      <c r="E15" s="73"/>
      <c r="F15" s="73"/>
      <c r="G15" s="73"/>
      <c r="H15" s="73"/>
      <c r="I15" s="73"/>
      <c r="J15" s="3"/>
      <c r="K15" s="3"/>
      <c r="L15" s="3"/>
      <c r="M15" s="3"/>
    </row>
    <row r="16">
      <c r="A16" s="3"/>
      <c r="B16" s="2" t="s">
        <v>605</v>
      </c>
      <c r="C16" s="84">
        <v>46313</v>
      </c>
      <c r="D16" s="73"/>
      <c r="E16" s="73"/>
      <c r="F16" s="73"/>
      <c r="G16" s="73"/>
      <c r="H16" s="73"/>
      <c r="I16" s="73"/>
      <c r="J16" s="3"/>
      <c r="K16" s="3"/>
      <c r="L16" s="3"/>
      <c r="M16" s="3"/>
    </row>
    <row r="17">
      <c r="A17" s="3"/>
      <c r="B17" s="2" t="s">
        <v>606</v>
      </c>
      <c r="C17" s="72">
        <v>19</v>
      </c>
      <c r="D17" s="73"/>
      <c r="E17" s="73"/>
      <c r="F17" s="73"/>
      <c r="G17" s="73"/>
      <c r="H17" s="73"/>
      <c r="I17" s="73"/>
      <c r="J17" s="3"/>
      <c r="K17" s="3"/>
      <c r="L17" s="3"/>
      <c r="M17" s="3"/>
    </row>
    <row r="18">
      <c r="A18" s="3"/>
      <c r="B18" s="2" t="s">
        <v>607</v>
      </c>
      <c r="C18" s="72">
        <v>2.85</v>
      </c>
      <c r="D18" s="73" t="s">
        <v>608</v>
      </c>
      <c r="E18" s="73"/>
      <c r="F18" s="73"/>
      <c r="G18" s="73"/>
      <c r="H18" s="73"/>
      <c r="I18" s="73"/>
      <c r="J18" s="3"/>
      <c r="K18" s="3"/>
      <c r="L18" s="3"/>
      <c r="M18" s="3"/>
    </row>
    <row r="19">
      <c r="A19" s="3"/>
      <c r="B19" s="2" t="s">
        <v>609</v>
      </c>
      <c r="C19" s="73" t="s">
        <v>610</v>
      </c>
      <c r="D19" s="73"/>
      <c r="E19" s="73"/>
      <c r="F19" s="73"/>
      <c r="G19" s="73"/>
      <c r="H19" s="73"/>
      <c r="I19" s="73"/>
      <c r="J19" s="3"/>
      <c r="K19" s="3"/>
      <c r="L19" s="3"/>
      <c r="M19" s="3"/>
    </row>
    <row r="20">
      <c r="A20" s="3"/>
      <c r="B20" s="2" t="s">
        <v>611</v>
      </c>
      <c r="C20" s="72">
        <v>4978.38</v>
      </c>
      <c r="D20" s="73" t="s">
        <v>612</v>
      </c>
      <c r="E20" s="73"/>
      <c r="F20" s="73"/>
      <c r="G20" s="73"/>
      <c r="H20" s="73"/>
      <c r="I20" s="73"/>
      <c r="J20" s="3"/>
      <c r="K20" s="3"/>
      <c r="L20" s="3"/>
      <c r="M20" s="3"/>
    </row>
    <row r="21">
      <c r="A21" s="3"/>
      <c r="B21" s="2" t="s">
        <v>613</v>
      </c>
      <c r="C21" s="73" t="s">
        <v>614</v>
      </c>
      <c r="D21" s="73"/>
      <c r="E21" s="73"/>
      <c r="F21" s="73"/>
      <c r="G21" s="73"/>
      <c r="H21" s="73"/>
      <c r="I21" s="73"/>
      <c r="J21" s="3"/>
      <c r="K21" s="3"/>
      <c r="L21" s="3"/>
      <c r="M21" s="3"/>
    </row>
    <row r="22">
      <c r="A22" s="3"/>
      <c r="B22" s="2" t="s">
        <v>615</v>
      </c>
      <c r="C22" s="73" t="s">
        <v>616</v>
      </c>
      <c r="D22" s="73"/>
      <c r="E22" s="73"/>
      <c r="F22" s="73"/>
      <c r="G22" s="73"/>
      <c r="H22" s="73"/>
      <c r="I22" s="73"/>
      <c r="J22" s="3"/>
      <c r="K22" s="3"/>
      <c r="L22" s="3"/>
      <c r="M22" s="3"/>
    </row>
    <row r="23">
      <c r="A23" s="3"/>
      <c r="B23" s="2" t="s">
        <v>617</v>
      </c>
      <c r="C23" s="73" t="s">
        <v>618</v>
      </c>
      <c r="D23" s="73"/>
      <c r="E23" s="73"/>
      <c r="F23" s="73"/>
      <c r="G23" s="73"/>
      <c r="H23" s="73"/>
      <c r="I23" s="73"/>
      <c r="J23" s="3"/>
      <c r="K23" s="3"/>
      <c r="L23" s="3"/>
      <c r="M23" s="3"/>
    </row>
    <row r="24">
      <c r="A24" s="3"/>
      <c r="B24" s="2" t="s">
        <v>619</v>
      </c>
      <c r="C24" s="73" t="s">
        <v>620</v>
      </c>
      <c r="D24" s="73"/>
      <c r="E24" s="73"/>
      <c r="F24" s="73"/>
      <c r="G24" s="73"/>
      <c r="H24" s="73"/>
      <c r="I24" s="73"/>
      <c r="J24" s="3"/>
      <c r="K24" s="3"/>
      <c r="L24" s="3"/>
      <c r="M24" s="3"/>
    </row>
    <row r="25">
      <c r="A25" s="3"/>
      <c r="B25" s="2" t="s">
        <v>621</v>
      </c>
      <c r="C25" s="73" t="s">
        <v>614</v>
      </c>
      <c r="D25" s="73"/>
      <c r="E25" s="73"/>
      <c r="F25" s="73"/>
      <c r="G25" s="73"/>
      <c r="H25" s="73"/>
      <c r="I25" s="73"/>
      <c r="J25" s="3"/>
      <c r="K25" s="3"/>
      <c r="L25" s="3"/>
      <c r="M25" s="3"/>
    </row>
    <row r="26">
      <c r="A26" s="3"/>
      <c r="B26" s="2" t="s">
        <v>622</v>
      </c>
      <c r="C26" s="73" t="s">
        <v>623</v>
      </c>
      <c r="D26" s="73"/>
      <c r="E26" s="73"/>
      <c r="F26" s="73"/>
      <c r="G26" s="73"/>
      <c r="H26" s="73"/>
      <c r="I26" s="73"/>
      <c r="J26" s="3"/>
      <c r="K26" s="3"/>
      <c r="L26" s="3"/>
      <c r="M26" s="3"/>
    </row>
    <row r="27">
      <c r="A27" s="3"/>
      <c r="B27" s="2" t="s">
        <v>624</v>
      </c>
      <c r="C27" s="73" t="s">
        <v>614</v>
      </c>
      <c r="D27" s="73"/>
      <c r="E27" s="73"/>
      <c r="F27" s="73"/>
      <c r="G27" s="73"/>
      <c r="H27" s="73"/>
      <c r="I27" s="73"/>
      <c r="J27" s="3"/>
      <c r="K27" s="3"/>
      <c r="L27" s="3"/>
      <c r="M27" s="3"/>
    </row>
    <row r="28">
      <c r="A28" s="3"/>
      <c r="B28" s="2" t="s">
        <v>625</v>
      </c>
      <c r="C28" s="73" t="s">
        <v>626</v>
      </c>
      <c r="D28" s="73"/>
      <c r="E28" s="73"/>
      <c r="F28" s="73"/>
      <c r="G28" s="73"/>
      <c r="H28" s="73"/>
      <c r="I28" s="73"/>
      <c r="J28" s="3"/>
      <c r="K28" s="3"/>
      <c r="L28" s="3"/>
      <c r="M28" s="3"/>
    </row>
    <row r="29">
      <c r="A29" s="3"/>
      <c r="B29" s="2" t="s">
        <v>599</v>
      </c>
      <c r="C29" s="73" t="s">
        <v>600</v>
      </c>
      <c r="D29" s="73"/>
      <c r="E29" s="73"/>
      <c r="F29" s="73"/>
      <c r="G29" s="73"/>
      <c r="H29" s="73"/>
      <c r="I29" s="73"/>
      <c r="J29" s="3"/>
      <c r="K29" s="3"/>
      <c r="L29" s="3"/>
      <c r="M29" s="3"/>
    </row>
    <row r="30">
      <c r="A30" s="3"/>
      <c r="B30" s="2" t="s">
        <v>627</v>
      </c>
      <c r="C30" s="73" t="s">
        <v>9</v>
      </c>
      <c r="D30" s="73"/>
      <c r="E30" s="73"/>
      <c r="F30" s="73"/>
      <c r="G30" s="73"/>
      <c r="H30" s="73"/>
      <c r="I30" s="73"/>
      <c r="J30" s="3"/>
      <c r="K30" s="3"/>
      <c r="L30" s="3"/>
      <c r="M30" s="3"/>
    </row>
    <row r="31">
      <c r="A31" s="3"/>
      <c r="B31" s="2" t="s">
        <v>628</v>
      </c>
      <c r="C31" s="73" t="s">
        <v>629</v>
      </c>
      <c r="D31" s="73"/>
      <c r="E31" s="73"/>
      <c r="F31" s="73"/>
      <c r="G31" s="73"/>
      <c r="H31" s="73"/>
      <c r="I31" s="73"/>
      <c r="J31" s="3"/>
      <c r="K31" s="3"/>
      <c r="L31" s="3"/>
      <c r="M31" s="3"/>
    </row>
    <row r="32">
      <c r="A32" s="3"/>
      <c r="B32" s="2" t="s">
        <v>630</v>
      </c>
      <c r="C32" s="72">
        <v>225595077</v>
      </c>
      <c r="D32" s="73"/>
      <c r="E32" s="73"/>
      <c r="F32" s="73"/>
      <c r="G32" s="73"/>
      <c r="H32" s="73"/>
      <c r="I32" s="73"/>
      <c r="J32" s="3"/>
      <c r="K32" s="3"/>
      <c r="L32" s="3"/>
      <c r="M32" s="3"/>
    </row>
    <row r="33">
      <c r="A33" s="3"/>
      <c r="B33" s="2" t="s">
        <v>631</v>
      </c>
      <c r="C33" s="73" t="s">
        <v>620</v>
      </c>
      <c r="D33" s="73"/>
      <c r="E33" s="73"/>
      <c r="F33" s="73"/>
      <c r="G33" s="73"/>
      <c r="H33" s="73"/>
      <c r="I33" s="73"/>
      <c r="J33" s="3"/>
      <c r="K33" s="3"/>
      <c r="L33" s="3"/>
      <c r="M33" s="3"/>
    </row>
    <row r="34">
      <c r="A34" s="3"/>
      <c r="B34" s="2" t="s">
        <v>632</v>
      </c>
      <c r="C34" s="73" t="s">
        <v>633</v>
      </c>
      <c r="D34" s="73"/>
      <c r="E34" s="73"/>
      <c r="F34" s="73"/>
      <c r="G34" s="73"/>
      <c r="H34" s="73"/>
      <c r="I34" s="73"/>
      <c r="J34" s="3"/>
      <c r="K34" s="3"/>
      <c r="L34" s="3"/>
      <c r="M34" s="3"/>
    </row>
    <row r="35">
      <c r="A35" s="3"/>
      <c r="B35" s="2" t="s">
        <v>634</v>
      </c>
      <c r="C35" s="73" t="s">
        <v>603</v>
      </c>
      <c r="D35" s="73"/>
      <c r="E35" s="73"/>
      <c r="F35" s="73"/>
      <c r="G35" s="73"/>
      <c r="H35" s="73"/>
      <c r="I35" s="73"/>
      <c r="J35" s="3"/>
      <c r="K35" s="3"/>
      <c r="L35" s="3"/>
      <c r="M35" s="3"/>
    </row>
    <row r="36">
      <c r="A36" s="3"/>
      <c r="B36" s="2" t="s">
        <v>635</v>
      </c>
      <c r="C36" s="84">
        <v>46295</v>
      </c>
      <c r="D36" s="73"/>
      <c r="E36" s="73"/>
      <c r="F36" s="73"/>
      <c r="G36" s="73"/>
      <c r="H36" s="73"/>
      <c r="I36" s="73"/>
      <c r="J36" s="3"/>
      <c r="K36" s="3"/>
      <c r="L36" s="3"/>
      <c r="M36" s="3"/>
    </row>
    <row r="37">
      <c r="A37" s="3"/>
      <c r="B37" s="2" t="s">
        <v>636</v>
      </c>
      <c r="C37" s="84">
        <v>46329</v>
      </c>
      <c r="D37" s="73"/>
      <c r="E37" s="73"/>
      <c r="F37" s="73"/>
      <c r="G37" s="73"/>
      <c r="H37" s="73"/>
      <c r="I37" s="73"/>
      <c r="J37" s="3"/>
      <c r="K37" s="3"/>
      <c r="L37" s="3"/>
      <c r="M37" s="3"/>
    </row>
    <row r="38" ht="52.5">
      <c r="A38" s="3"/>
      <c r="B38" s="2" t="s">
        <v>609</v>
      </c>
      <c r="C38" s="82" t="s">
        <v>637</v>
      </c>
      <c r="D38" s="73" t="s">
        <v>638</v>
      </c>
      <c r="E38" s="73"/>
      <c r="F38" s="73"/>
      <c r="G38" s="73"/>
      <c r="H38" s="73"/>
      <c r="I38" s="73"/>
      <c r="J38" s="3"/>
      <c r="K38" s="3"/>
      <c r="L38" s="3"/>
      <c r="M38" s="3"/>
    </row>
    <row r="39">
      <c r="A39" s="3"/>
      <c r="B39" s="2" t="s">
        <v>639</v>
      </c>
      <c r="C39" s="72">
        <v>19</v>
      </c>
      <c r="D39" s="73" t="s">
        <v>638</v>
      </c>
      <c r="E39" s="73"/>
      <c r="F39" s="73"/>
      <c r="G39" s="73"/>
      <c r="H39" s="73"/>
      <c r="I39" s="73"/>
      <c r="J39" s="3"/>
      <c r="K39" s="3"/>
      <c r="L39" s="3"/>
      <c r="M39" s="3"/>
    </row>
    <row r="40">
      <c r="A40" s="3"/>
      <c r="B40" s="2" t="s">
        <v>640</v>
      </c>
      <c r="C40" s="72">
        <v>20</v>
      </c>
      <c r="D40" s="73" t="s">
        <v>638</v>
      </c>
      <c r="E40" s="73"/>
      <c r="F40" s="73"/>
      <c r="G40" s="73"/>
      <c r="H40" s="73"/>
      <c r="I40" s="73"/>
      <c r="J40" s="3"/>
      <c r="K40" s="3"/>
      <c r="L40" s="3"/>
      <c r="M40" s="3"/>
    </row>
    <row r="41">
      <c r="A41" s="3"/>
      <c r="B41" s="2" t="s">
        <v>641</v>
      </c>
      <c r="C41" s="72">
        <v>40</v>
      </c>
      <c r="D41" s="73"/>
      <c r="E41" s="73"/>
      <c r="F41" s="73"/>
      <c r="G41" s="73"/>
      <c r="H41" s="73"/>
      <c r="I41" s="73"/>
      <c r="J41" s="3"/>
      <c r="K41" s="3"/>
      <c r="L41" s="3"/>
      <c r="M41" s="3"/>
    </row>
    <row r="42">
      <c r="A42" s="3"/>
      <c r="B42" s="2" t="s">
        <v>642</v>
      </c>
      <c r="C42" s="72">
        <v>2.85</v>
      </c>
      <c r="D42" s="73" t="s">
        <v>638</v>
      </c>
      <c r="E42" s="73"/>
      <c r="F42" s="73"/>
      <c r="G42" s="73"/>
      <c r="H42" s="73"/>
      <c r="I42" s="73"/>
      <c r="J42" s="3"/>
      <c r="K42" s="3"/>
      <c r="L42" s="3"/>
      <c r="M42" s="3"/>
    </row>
    <row r="43">
      <c r="A43" s="3"/>
      <c r="B43" s="2" t="s">
        <v>643</v>
      </c>
      <c r="C43" s="72">
        <v>2.85</v>
      </c>
      <c r="D43" s="73" t="s">
        <v>638</v>
      </c>
      <c r="E43" s="73"/>
      <c r="F43" s="73"/>
      <c r="G43" s="73"/>
      <c r="H43" s="73"/>
      <c r="I43" s="73"/>
      <c r="J43" s="3"/>
      <c r="K43" s="3"/>
      <c r="L43" s="3"/>
      <c r="M43" s="3"/>
    </row>
    <row r="44">
      <c r="A44" s="3"/>
      <c r="B44" s="2" t="s">
        <v>644</v>
      </c>
      <c r="C44" s="72">
        <v>3.33</v>
      </c>
      <c r="D44" s="73" t="s">
        <v>638</v>
      </c>
      <c r="E44" s="73"/>
      <c r="F44" s="73"/>
      <c r="G44" s="73"/>
      <c r="H44" s="73"/>
      <c r="I44" s="73"/>
      <c r="J44" s="3"/>
      <c r="K44" s="3"/>
      <c r="L44" s="3"/>
      <c r="M44" s="3"/>
    </row>
    <row r="45">
      <c r="A45" s="3"/>
      <c r="B45" s="2" t="s">
        <v>645</v>
      </c>
      <c r="C45" s="72">
        <v>2.51</v>
      </c>
      <c r="D45" s="73" t="s">
        <v>638</v>
      </c>
      <c r="E45" s="73"/>
      <c r="F45" s="73"/>
      <c r="G45" s="73"/>
      <c r="H45" s="73"/>
      <c r="I45" s="73"/>
      <c r="J45" s="3"/>
      <c r="K45" s="3"/>
      <c r="L45" s="3"/>
      <c r="M45" s="3"/>
    </row>
    <row r="46">
      <c r="A46" s="3"/>
      <c r="B46" s="2" t="s">
        <v>646</v>
      </c>
      <c r="C46" s="72">
        <v>0.2</v>
      </c>
      <c r="D46" s="73" t="s">
        <v>638</v>
      </c>
      <c r="E46" s="73"/>
      <c r="F46" s="73"/>
      <c r="G46" s="73"/>
      <c r="H46" s="73"/>
      <c r="I46" s="73"/>
      <c r="J46" s="3"/>
      <c r="K46" s="3"/>
      <c r="L46" s="3"/>
      <c r="M46" s="3"/>
    </row>
    <row r="47">
      <c r="A47" s="3"/>
      <c r="B47" s="2" t="s">
        <v>647</v>
      </c>
      <c r="C47" s="72">
        <v>19</v>
      </c>
      <c r="D47" s="73" t="s">
        <v>638</v>
      </c>
      <c r="E47" s="73"/>
      <c r="F47" s="73"/>
      <c r="G47" s="73"/>
      <c r="H47" s="73"/>
      <c r="I47" s="73"/>
      <c r="J47" s="3"/>
      <c r="K47" s="3"/>
      <c r="L47" s="3"/>
      <c r="M47" s="3"/>
    </row>
    <row r="48">
      <c r="A48" s="3"/>
      <c r="B48" s="2" t="s">
        <v>648</v>
      </c>
      <c r="C48" s="73"/>
      <c r="D48" s="73" t="s">
        <v>649</v>
      </c>
      <c r="E48" s="73"/>
      <c r="F48" s="73"/>
      <c r="G48" s="73"/>
      <c r="H48" s="73"/>
      <c r="I48" s="73"/>
      <c r="J48" s="3"/>
      <c r="K48" s="3"/>
      <c r="L48" s="3"/>
      <c r="M48" s="3"/>
    </row>
    <row r="49">
      <c r="A49" s="3"/>
      <c r="B49" s="2" t="s">
        <v>650</v>
      </c>
      <c r="C49" s="73"/>
      <c r="D49" s="73" t="s">
        <v>649</v>
      </c>
      <c r="E49" s="73"/>
      <c r="F49" s="73"/>
      <c r="G49" s="73"/>
      <c r="H49" s="73"/>
      <c r="I49" s="73"/>
      <c r="J49" s="3"/>
      <c r="K49" s="3"/>
      <c r="L49" s="3"/>
      <c r="M49" s="3"/>
    </row>
    <row r="50">
      <c r="A50" s="3"/>
      <c r="B50" s="2" t="s">
        <v>651</v>
      </c>
      <c r="C50" s="73"/>
      <c r="D50" s="73" t="s">
        <v>649</v>
      </c>
      <c r="E50" s="73"/>
      <c r="F50" s="73"/>
      <c r="G50" s="73"/>
      <c r="H50" s="73"/>
      <c r="I50" s="73"/>
      <c r="J50" s="3"/>
      <c r="K50" s="3"/>
      <c r="L50" s="3"/>
      <c r="M50" s="3"/>
    </row>
    <row r="51">
      <c r="A51" s="3"/>
      <c r="B51" s="2" t="s">
        <v>652</v>
      </c>
      <c r="C51" s="72">
        <v>2.81</v>
      </c>
      <c r="D51" s="73" t="s">
        <v>638</v>
      </c>
      <c r="E51" s="73"/>
      <c r="F51" s="73"/>
      <c r="G51" s="73"/>
      <c r="H51" s="73"/>
      <c r="I51" s="73"/>
      <c r="J51" s="3"/>
      <c r="K51" s="3"/>
      <c r="L51" s="3"/>
      <c r="M51" s="3"/>
    </row>
    <row r="52">
      <c r="A52" s="3"/>
      <c r="B52" s="2" t="s">
        <v>653</v>
      </c>
      <c r="C52" s="72">
        <v>2.83</v>
      </c>
      <c r="D52" s="73" t="s">
        <v>638</v>
      </c>
      <c r="E52" s="73"/>
      <c r="F52" s="73"/>
      <c r="G52" s="73"/>
      <c r="H52" s="73"/>
      <c r="I52" s="73"/>
      <c r="J52" s="3"/>
      <c r="K52" s="3"/>
      <c r="L52" s="3"/>
      <c r="M52" s="3"/>
    </row>
    <row r="53">
      <c r="A53" s="3"/>
      <c r="B53" s="2" t="s">
        <v>654</v>
      </c>
      <c r="C53" s="72">
        <v>3.22</v>
      </c>
      <c r="D53" s="73" t="s">
        <v>638</v>
      </c>
      <c r="E53" s="73"/>
      <c r="F53" s="73"/>
      <c r="G53" s="73"/>
      <c r="H53" s="73"/>
      <c r="I53" s="73"/>
      <c r="J53" s="3"/>
      <c r="K53" s="3"/>
      <c r="L53" s="3"/>
      <c r="M53" s="3"/>
    </row>
    <row r="54">
      <c r="A54" s="3"/>
      <c r="B54" s="2" t="s">
        <v>655</v>
      </c>
      <c r="C54" s="72">
        <v>2.51</v>
      </c>
      <c r="D54" s="73" t="s">
        <v>638</v>
      </c>
      <c r="E54" s="73"/>
      <c r="F54" s="73"/>
      <c r="G54" s="73"/>
      <c r="H54" s="73"/>
      <c r="I54" s="73"/>
      <c r="J54" s="3"/>
      <c r="K54" s="3"/>
      <c r="L54" s="3"/>
      <c r="M54" s="3"/>
    </row>
    <row r="55">
      <c r="A55" s="3"/>
      <c r="B55" s="2" t="s">
        <v>656</v>
      </c>
      <c r="C55" s="72">
        <v>0.17</v>
      </c>
      <c r="D55" s="73" t="s">
        <v>638</v>
      </c>
      <c r="E55" s="73"/>
      <c r="F55" s="73"/>
      <c r="G55" s="73"/>
      <c r="H55" s="73"/>
      <c r="I55" s="73"/>
      <c r="J55" s="3"/>
      <c r="K55" s="3"/>
      <c r="L55" s="3"/>
      <c r="M55" s="3"/>
    </row>
    <row r="56">
      <c r="A56" s="3"/>
      <c r="B56" s="2" t="s">
        <v>657</v>
      </c>
      <c r="C56" s="72">
        <v>26</v>
      </c>
      <c r="D56" s="73" t="s">
        <v>638</v>
      </c>
      <c r="E56" s="73"/>
      <c r="F56" s="73"/>
      <c r="G56" s="73"/>
      <c r="H56" s="73"/>
      <c r="I56" s="73"/>
      <c r="J56" s="3"/>
      <c r="K56" s="3"/>
      <c r="L56" s="3"/>
      <c r="M56" s="3"/>
    </row>
    <row r="57">
      <c r="A57" s="3"/>
      <c r="B57" s="2" t="s">
        <v>658</v>
      </c>
      <c r="C57" s="73"/>
      <c r="D57" s="73" t="s">
        <v>649</v>
      </c>
      <c r="E57" s="73"/>
      <c r="F57" s="73"/>
      <c r="G57" s="73"/>
      <c r="H57" s="73"/>
      <c r="I57" s="73"/>
      <c r="J57" s="3"/>
      <c r="K57" s="3"/>
      <c r="L57" s="3"/>
      <c r="M57" s="3"/>
    </row>
    <row r="58">
      <c r="A58" s="3"/>
      <c r="B58" s="2" t="s">
        <v>659</v>
      </c>
      <c r="C58" s="73"/>
      <c r="D58" s="73" t="s">
        <v>649</v>
      </c>
      <c r="E58" s="73"/>
      <c r="F58" s="73"/>
      <c r="G58" s="73"/>
      <c r="H58" s="73"/>
      <c r="I58" s="73"/>
      <c r="J58" s="3"/>
      <c r="K58" s="3"/>
      <c r="L58" s="3"/>
      <c r="M58" s="3"/>
    </row>
    <row r="59">
      <c r="A59" s="3"/>
      <c r="B59" s="2" t="s">
        <v>660</v>
      </c>
      <c r="C59" s="73"/>
      <c r="D59" s="73" t="s">
        <v>649</v>
      </c>
      <c r="E59" s="73"/>
      <c r="F59" s="73"/>
      <c r="G59" s="73"/>
      <c r="H59" s="73"/>
      <c r="I59" s="73"/>
      <c r="J59" s="3"/>
      <c r="K59" s="3"/>
      <c r="L59" s="3"/>
      <c r="M59" s="3"/>
    </row>
    <row r="60">
      <c r="A60" s="3"/>
      <c r="B60" s="2" t="s">
        <v>661</v>
      </c>
      <c r="C60" s="72">
        <v>4978.38</v>
      </c>
      <c r="D60" s="73" t="s">
        <v>662</v>
      </c>
      <c r="E60" s="73"/>
      <c r="F60" s="73"/>
      <c r="G60" s="73"/>
      <c r="H60" s="73"/>
      <c r="I60" s="73"/>
      <c r="J60" s="3"/>
      <c r="K60" s="3"/>
      <c r="L60" s="3"/>
      <c r="M60" s="3"/>
    </row>
    <row r="61">
      <c r="A61" s="3"/>
      <c r="B61" s="2" t="s">
        <v>663</v>
      </c>
      <c r="C61" s="72">
        <v>4979.87</v>
      </c>
      <c r="D61" s="73" t="s">
        <v>662</v>
      </c>
      <c r="E61" s="73"/>
      <c r="F61" s="73"/>
      <c r="G61" s="73"/>
      <c r="H61" s="73"/>
      <c r="I61" s="73"/>
      <c r="J61" s="3"/>
      <c r="K61" s="3"/>
      <c r="L61" s="3"/>
      <c r="M61" s="3"/>
    </row>
    <row r="62">
      <c r="A62" s="3"/>
      <c r="B62" s="2" t="s">
        <v>664</v>
      </c>
      <c r="C62" s="72">
        <v>5008</v>
      </c>
      <c r="D62" s="73" t="s">
        <v>662</v>
      </c>
      <c r="E62" s="73"/>
      <c r="F62" s="73"/>
      <c r="G62" s="73"/>
      <c r="H62" s="73"/>
      <c r="I62" s="73"/>
      <c r="J62" s="3"/>
      <c r="K62" s="3"/>
      <c r="L62" s="3"/>
      <c r="M62" s="3"/>
    </row>
    <row r="63">
      <c r="A63" s="3"/>
      <c r="B63" s="2" t="s">
        <v>665</v>
      </c>
      <c r="C63" s="72">
        <v>4908</v>
      </c>
      <c r="D63" s="73" t="s">
        <v>662</v>
      </c>
      <c r="E63" s="73"/>
      <c r="F63" s="73"/>
      <c r="G63" s="73"/>
      <c r="H63" s="73"/>
      <c r="I63" s="73"/>
      <c r="J63" s="3"/>
      <c r="K63" s="3"/>
      <c r="L63" s="3"/>
      <c r="M63" s="3"/>
    </row>
    <row r="64">
      <c r="A64" s="3"/>
      <c r="B64" s="2" t="s">
        <v>666</v>
      </c>
      <c r="C64" s="72">
        <v>23.34</v>
      </c>
      <c r="D64" s="73" t="s">
        <v>662</v>
      </c>
      <c r="E64" s="73"/>
      <c r="F64" s="73"/>
      <c r="G64" s="73"/>
      <c r="H64" s="73"/>
      <c r="I64" s="73"/>
      <c r="J64" s="3"/>
      <c r="K64" s="3"/>
      <c r="L64" s="3"/>
      <c r="M64" s="3"/>
    </row>
    <row r="65">
      <c r="A65" s="3"/>
      <c r="B65" s="2" t="s">
        <v>667</v>
      </c>
      <c r="C65" s="72">
        <v>28</v>
      </c>
      <c r="D65" s="73" t="s">
        <v>662</v>
      </c>
      <c r="E65" s="73"/>
      <c r="F65" s="73"/>
      <c r="G65" s="73"/>
      <c r="H65" s="73"/>
      <c r="I65" s="73"/>
      <c r="J65" s="3"/>
      <c r="K65" s="3"/>
      <c r="L65" s="3"/>
      <c r="M65" s="3"/>
    </row>
    <row r="66">
      <c r="A66" s="3"/>
      <c r="B66" s="2" t="s">
        <v>668</v>
      </c>
      <c r="C66" s="72">
        <v>5000</v>
      </c>
      <c r="D66" s="73" t="s">
        <v>662</v>
      </c>
      <c r="E66" s="73"/>
      <c r="F66" s="73"/>
      <c r="G66" s="73"/>
      <c r="H66" s="73"/>
      <c r="I66" s="73"/>
      <c r="J66" s="3"/>
      <c r="K66" s="3"/>
      <c r="L66" s="3"/>
      <c r="M66" s="3"/>
    </row>
    <row r="67">
      <c r="A67" s="3"/>
      <c r="B67" s="2" t="s">
        <v>669</v>
      </c>
      <c r="C67" s="73"/>
      <c r="D67" s="73" t="s">
        <v>670</v>
      </c>
      <c r="E67" s="73"/>
      <c r="F67" s="73"/>
      <c r="G67" s="73"/>
      <c r="H67" s="73"/>
      <c r="I67" s="73"/>
      <c r="J67" s="3"/>
      <c r="K67" s="3"/>
      <c r="L67" s="3"/>
      <c r="M67" s="3"/>
    </row>
    <row r="68">
      <c r="A68" s="3"/>
      <c r="B68" s="2" t="s">
        <v>671</v>
      </c>
      <c r="C68" s="73"/>
      <c r="D68" s="73" t="s">
        <v>670</v>
      </c>
      <c r="E68" s="73"/>
      <c r="F68" s="73"/>
      <c r="G68" s="73"/>
      <c r="H68" s="73"/>
      <c r="I68" s="73"/>
      <c r="J68" s="3"/>
      <c r="K68" s="3"/>
      <c r="L68" s="3"/>
      <c r="M68" s="3"/>
    </row>
    <row r="69">
      <c r="A69" s="3"/>
      <c r="B69" s="2" t="s">
        <v>672</v>
      </c>
      <c r="C69" s="72">
        <v>704.04</v>
      </c>
      <c r="D69" s="73" t="s">
        <v>673</v>
      </c>
      <c r="E69" s="73"/>
      <c r="F69" s="73"/>
      <c r="G69" s="73"/>
      <c r="H69" s="73"/>
      <c r="I69" s="73"/>
      <c r="J69" s="3"/>
      <c r="K69" s="3"/>
      <c r="L69" s="3"/>
      <c r="M69" s="3"/>
    </row>
    <row r="70">
      <c r="A70" s="3"/>
      <c r="B70" s="2" t="s">
        <v>674</v>
      </c>
      <c r="C70" s="72">
        <v>672.01</v>
      </c>
      <c r="D70" s="73" t="s">
        <v>673</v>
      </c>
      <c r="E70" s="73"/>
      <c r="F70" s="73"/>
      <c r="G70" s="73"/>
      <c r="H70" s="73"/>
      <c r="I70" s="73"/>
      <c r="J70" s="3"/>
      <c r="K70" s="3"/>
      <c r="L70" s="3"/>
      <c r="M70" s="3"/>
    </row>
    <row r="71">
      <c r="A71" s="3"/>
      <c r="B71" s="2" t="s">
        <v>675</v>
      </c>
      <c r="C71" s="72">
        <v>744.37</v>
      </c>
      <c r="D71" s="73" t="s">
        <v>673</v>
      </c>
      <c r="E71" s="73"/>
      <c r="F71" s="73"/>
      <c r="G71" s="73"/>
      <c r="H71" s="73"/>
      <c r="I71" s="73"/>
      <c r="J71" s="3"/>
      <c r="K71" s="3"/>
      <c r="L71" s="3"/>
      <c r="M71" s="3"/>
    </row>
    <row r="72">
      <c r="A72" s="3"/>
      <c r="B72" s="2" t="s">
        <v>676</v>
      </c>
      <c r="C72" s="72">
        <v>739.26</v>
      </c>
      <c r="D72" s="73" t="s">
        <v>673</v>
      </c>
      <c r="E72" s="73"/>
      <c r="F72" s="73"/>
      <c r="G72" s="73"/>
      <c r="H72" s="73"/>
      <c r="I72" s="73"/>
      <c r="J72" s="3"/>
      <c r="K72" s="3"/>
      <c r="L72" s="3"/>
      <c r="M72" s="3"/>
    </row>
    <row r="73">
      <c r="A73" s="3"/>
      <c r="B73" s="2" t="s">
        <v>677</v>
      </c>
      <c r="C73" s="72">
        <v>598.47</v>
      </c>
      <c r="D73" s="73" t="s">
        <v>673</v>
      </c>
      <c r="E73" s="73"/>
      <c r="F73" s="73"/>
      <c r="G73" s="73"/>
      <c r="H73" s="73"/>
      <c r="I73" s="73"/>
      <c r="J73" s="3"/>
      <c r="K73" s="3"/>
      <c r="L73" s="3"/>
      <c r="M73" s="3"/>
    </row>
    <row r="74">
      <c r="A74" s="3"/>
      <c r="B74" s="2" t="s">
        <v>678</v>
      </c>
      <c r="C74" s="72">
        <v>591.71</v>
      </c>
      <c r="D74" s="73" t="s">
        <v>673</v>
      </c>
      <c r="E74" s="73"/>
      <c r="F74" s="73"/>
      <c r="G74" s="73"/>
      <c r="H74" s="73"/>
      <c r="I74" s="73"/>
      <c r="J74" s="3"/>
      <c r="K74" s="3"/>
      <c r="L74" s="3"/>
      <c r="M74" s="3"/>
    </row>
    <row r="75">
      <c r="A75" s="3"/>
      <c r="B75" s="2" t="s">
        <v>679</v>
      </c>
      <c r="C75" s="73"/>
      <c r="D75" s="73" t="s">
        <v>680</v>
      </c>
      <c r="E75" s="73"/>
      <c r="F75" s="73"/>
      <c r="G75" s="73"/>
      <c r="H75" s="73"/>
      <c r="I75" s="73"/>
      <c r="J75" s="3"/>
      <c r="K75" s="3"/>
      <c r="L75" s="3"/>
      <c r="M75" s="3"/>
    </row>
    <row r="76">
      <c r="A76" s="3"/>
      <c r="B76" s="2" t="s">
        <v>681</v>
      </c>
      <c r="C76" s="73"/>
      <c r="D76" s="73" t="s">
        <v>680</v>
      </c>
      <c r="E76" s="73"/>
      <c r="F76" s="73"/>
      <c r="G76" s="73"/>
      <c r="H76" s="73"/>
      <c r="I76" s="73"/>
      <c r="J76" s="3"/>
      <c r="K76" s="3"/>
      <c r="L76" s="3"/>
      <c r="M76" s="3"/>
    </row>
    <row r="77">
      <c r="A77" s="3"/>
      <c r="B77" s="2" t="s">
        <v>682</v>
      </c>
      <c r="C77" s="72">
        <v>27.79</v>
      </c>
      <c r="D77" s="73" t="s">
        <v>673</v>
      </c>
      <c r="E77" s="73"/>
      <c r="F77" s="73"/>
      <c r="G77" s="73"/>
      <c r="H77" s="73"/>
      <c r="I77" s="73"/>
      <c r="J77" s="3"/>
      <c r="K77" s="3"/>
      <c r="L77" s="3"/>
      <c r="M77" s="3"/>
    </row>
    <row r="78">
      <c r="A78" s="3"/>
      <c r="B78" s="2" t="s">
        <v>683</v>
      </c>
      <c r="C78" s="73"/>
      <c r="D78" s="73" t="s">
        <v>684</v>
      </c>
      <c r="E78" s="73"/>
      <c r="F78" s="73"/>
      <c r="G78" s="73"/>
      <c r="H78" s="73"/>
      <c r="I78" s="73"/>
      <c r="J78" s="3"/>
      <c r="K78" s="3"/>
      <c r="L78" s="3"/>
      <c r="M78" s="3"/>
    </row>
    <row r="79">
      <c r="A79" s="3"/>
      <c r="B79" s="2" t="s">
        <v>685</v>
      </c>
      <c r="C79" s="73"/>
      <c r="D79" s="73" t="s">
        <v>684</v>
      </c>
      <c r="E79" s="73"/>
      <c r="F79" s="73"/>
      <c r="G79" s="73"/>
      <c r="H79" s="73"/>
      <c r="I79" s="73"/>
      <c r="J79" s="3"/>
      <c r="K79" s="3"/>
      <c r="L79" s="3"/>
      <c r="M79" s="3"/>
    </row>
    <row r="80">
      <c r="A80" s="3"/>
      <c r="B80" s="2" t="s">
        <v>686</v>
      </c>
      <c r="C80" s="73"/>
      <c r="D80" s="73" t="s">
        <v>684</v>
      </c>
      <c r="E80" s="73"/>
      <c r="F80" s="73"/>
      <c r="G80" s="73"/>
      <c r="H80" s="73"/>
      <c r="I80" s="73"/>
      <c r="J80" s="3"/>
      <c r="K80" s="3"/>
      <c r="L80" s="3"/>
      <c r="M80" s="3"/>
    </row>
    <row r="81">
      <c r="A81" s="3"/>
      <c r="B81" s="2" t="s">
        <v>687</v>
      </c>
      <c r="C81" s="72">
        <v>-21.81</v>
      </c>
      <c r="D81" s="73" t="s">
        <v>673</v>
      </c>
      <c r="E81" s="73"/>
      <c r="F81" s="73"/>
      <c r="G81" s="73"/>
      <c r="H81" s="73"/>
      <c r="I81" s="73"/>
      <c r="J81" s="3"/>
      <c r="K81" s="3"/>
      <c r="L81" s="3"/>
      <c r="M81" s="3"/>
    </row>
    <row r="82">
      <c r="A82" s="3"/>
      <c r="B82" s="2" t="s">
        <v>688</v>
      </c>
      <c r="C82" s="72">
        <v>-8165.65</v>
      </c>
      <c r="D82" s="73" t="s">
        <v>673</v>
      </c>
      <c r="E82" s="73"/>
      <c r="F82" s="73"/>
      <c r="G82" s="73"/>
      <c r="H82" s="73"/>
      <c r="I82" s="73"/>
      <c r="J82" s="3"/>
      <c r="K82" s="3"/>
      <c r="L82" s="3"/>
      <c r="M82" s="3"/>
    </row>
    <row r="83">
      <c r="A83" s="3"/>
      <c r="B83" s="2" t="s">
        <v>689</v>
      </c>
      <c r="C83" s="73"/>
      <c r="D83" s="73" t="s">
        <v>684</v>
      </c>
      <c r="E83" s="73"/>
      <c r="F83" s="73"/>
      <c r="G83" s="73"/>
      <c r="H83" s="73"/>
      <c r="I83" s="73"/>
      <c r="J83" s="3"/>
      <c r="K83" s="3"/>
      <c r="L83" s="3"/>
      <c r="M83" s="3"/>
    </row>
    <row r="84">
      <c r="A84" s="3"/>
      <c r="B84" s="2" t="s">
        <v>690</v>
      </c>
      <c r="C84" s="73"/>
      <c r="D84" s="73" t="s">
        <v>680</v>
      </c>
      <c r="E84" s="73"/>
      <c r="F84" s="73"/>
      <c r="G84" s="73"/>
      <c r="H84" s="73"/>
      <c r="I84" s="73"/>
      <c r="J84" s="3"/>
      <c r="K84" s="3"/>
      <c r="L84" s="3"/>
      <c r="M84" s="3"/>
    </row>
    <row r="85">
      <c r="A85" s="3"/>
      <c r="B85" s="2" t="s">
        <v>691</v>
      </c>
      <c r="C85" s="72">
        <v>532.38</v>
      </c>
      <c r="D85" s="73" t="s">
        <v>692</v>
      </c>
      <c r="E85" s="73"/>
      <c r="F85" s="73"/>
      <c r="G85" s="73"/>
      <c r="H85" s="73"/>
      <c r="I85" s="73"/>
      <c r="J85" s="3"/>
      <c r="K85" s="3"/>
      <c r="L85" s="3"/>
      <c r="M85" s="3"/>
    </row>
    <row r="86">
      <c r="A86" s="3"/>
      <c r="B86" s="2" t="s">
        <v>693</v>
      </c>
      <c r="C86" s="72">
        <v>521.48</v>
      </c>
      <c r="D86" s="73" t="s">
        <v>692</v>
      </c>
      <c r="E86" s="73"/>
      <c r="F86" s="73"/>
      <c r="G86" s="73"/>
      <c r="H86" s="73"/>
      <c r="I86" s="73"/>
      <c r="J86" s="3"/>
      <c r="K86" s="3"/>
      <c r="L86" s="3"/>
      <c r="M86" s="3"/>
    </row>
    <row r="87">
      <c r="A87" s="3"/>
      <c r="B87" s="2" t="s">
        <v>694</v>
      </c>
      <c r="C87" s="72">
        <v>625.18</v>
      </c>
      <c r="D87" s="73" t="s">
        <v>692</v>
      </c>
      <c r="E87" s="73"/>
      <c r="F87" s="73"/>
      <c r="G87" s="73"/>
      <c r="H87" s="73"/>
      <c r="I87" s="73"/>
      <c r="J87" s="3"/>
      <c r="K87" s="3"/>
      <c r="L87" s="3"/>
      <c r="M87" s="3"/>
    </row>
    <row r="88">
      <c r="A88" s="3"/>
      <c r="B88" s="2" t="s">
        <v>695</v>
      </c>
      <c r="C88" s="72">
        <v>364.69</v>
      </c>
      <c r="D88" s="73" t="s">
        <v>692</v>
      </c>
      <c r="E88" s="73"/>
      <c r="F88" s="73"/>
      <c r="G88" s="73"/>
      <c r="H88" s="73"/>
      <c r="I88" s="73"/>
      <c r="J88" s="3"/>
      <c r="K88" s="3"/>
      <c r="L88" s="3"/>
      <c r="M88" s="3"/>
    </row>
    <row r="89">
      <c r="A89" s="3"/>
      <c r="B89" s="2" t="s">
        <v>696</v>
      </c>
      <c r="C89" s="72">
        <v>58.94</v>
      </c>
      <c r="D89" s="73" t="s">
        <v>692</v>
      </c>
      <c r="E89" s="73"/>
      <c r="F89" s="73"/>
      <c r="G89" s="73"/>
      <c r="H89" s="73"/>
      <c r="I89" s="73"/>
      <c r="J89" s="3"/>
      <c r="K89" s="3"/>
      <c r="L89" s="3"/>
      <c r="M89" s="3"/>
    </row>
    <row r="90">
      <c r="A90" s="3"/>
      <c r="B90" s="2" t="s">
        <v>697</v>
      </c>
      <c r="C90" s="72">
        <v>37</v>
      </c>
      <c r="D90" s="73" t="s">
        <v>692</v>
      </c>
      <c r="E90" s="73"/>
      <c r="F90" s="73"/>
      <c r="G90" s="73"/>
      <c r="H90" s="73"/>
      <c r="I90" s="73"/>
      <c r="J90" s="3"/>
      <c r="K90" s="3"/>
      <c r="L90" s="3"/>
      <c r="M90" s="3"/>
    </row>
    <row r="91">
      <c r="A91" s="3"/>
      <c r="B91" s="2" t="s">
        <v>698</v>
      </c>
      <c r="C91" s="73" t="s">
        <v>699</v>
      </c>
      <c r="D91" s="73"/>
      <c r="E91" s="73"/>
      <c r="F91" s="73"/>
      <c r="G91" s="73"/>
      <c r="H91" s="73"/>
      <c r="I91" s="73"/>
      <c r="J91" s="3"/>
      <c r="K91" s="3"/>
      <c r="L91" s="3"/>
      <c r="M91" s="3"/>
    </row>
    <row r="92">
      <c r="A92" s="3"/>
      <c r="B92" s="2" t="s">
        <v>700</v>
      </c>
      <c r="C92" s="72">
        <v>1.68</v>
      </c>
      <c r="D92" s="73"/>
      <c r="E92" s="73"/>
      <c r="F92" s="73"/>
      <c r="G92" s="73"/>
      <c r="H92" s="73"/>
      <c r="I92" s="73"/>
      <c r="J92" s="3"/>
      <c r="K92" s="3"/>
      <c r="L92" s="3"/>
      <c r="M92" s="3"/>
    </row>
    <row r="93">
      <c r="A93" s="3"/>
      <c r="B93" s="2" t="s">
        <v>701</v>
      </c>
      <c r="C93" s="72">
        <v>530.46</v>
      </c>
      <c r="D93" s="73" t="s">
        <v>692</v>
      </c>
      <c r="E93" s="73"/>
      <c r="F93" s="73"/>
      <c r="G93" s="73"/>
      <c r="H93" s="73"/>
      <c r="I93" s="73"/>
      <c r="J93" s="3"/>
      <c r="K93" s="3"/>
      <c r="L93" s="3"/>
      <c r="M93" s="3"/>
    </row>
    <row r="94">
      <c r="A94" s="3"/>
      <c r="B94" s="2" t="s">
        <v>702</v>
      </c>
      <c r="C94" s="73" t="s">
        <v>703</v>
      </c>
      <c r="D94" s="73" t="s">
        <v>692</v>
      </c>
      <c r="E94" s="73"/>
      <c r="F94" s="73"/>
      <c r="G94" s="73"/>
      <c r="H94" s="73"/>
      <c r="I94" s="73"/>
      <c r="J94" s="3"/>
      <c r="K94" s="3"/>
      <c r="L94" s="3"/>
      <c r="M94" s="3"/>
    </row>
    <row r="95">
      <c r="A95" s="3"/>
      <c r="B95" s="2" t="s">
        <v>704</v>
      </c>
      <c r="C95" s="84">
        <v>46313</v>
      </c>
      <c r="D95" s="73"/>
      <c r="E95" s="73"/>
      <c r="F95" s="73"/>
      <c r="G95" s="73"/>
      <c r="H95" s="73"/>
      <c r="I95" s="73"/>
      <c r="J95" s="3"/>
      <c r="K95" s="3"/>
      <c r="L95" s="3"/>
      <c r="M95" s="3"/>
    </row>
    <row r="96">
      <c r="A96" s="3"/>
      <c r="B96" s="2" t="s">
        <v>705</v>
      </c>
      <c r="C96" s="73" t="s">
        <v>706</v>
      </c>
      <c r="D96" s="73"/>
      <c r="E96" s="73"/>
      <c r="F96" s="73"/>
      <c r="G96" s="73"/>
      <c r="H96" s="73"/>
      <c r="I96" s="73"/>
      <c r="J96" s="3"/>
      <c r="K96" s="3"/>
      <c r="L96" s="3"/>
      <c r="M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>
      <c r="A98" s="3"/>
      <c r="B98" s="27" t="s">
        <v>707</v>
      </c>
      <c r="C98" s="15"/>
      <c r="D98" s="15"/>
      <c r="E98" s="15"/>
      <c r="F98" s="15"/>
      <c r="G98" s="15"/>
      <c r="H98" s="15"/>
      <c r="I98" s="15"/>
      <c r="J98" s="3"/>
      <c r="K98" s="3"/>
      <c r="L98" s="3"/>
      <c r="M98" s="3"/>
    </row>
    <row r="99" ht="46.5">
      <c r="A99" s="3"/>
      <c r="B99" s="121" t="s">
        <v>604</v>
      </c>
      <c r="C99" s="86" t="s">
        <v>708</v>
      </c>
      <c r="D99" s="86" t="s">
        <v>709</v>
      </c>
      <c r="E99" s="86" t="s">
        <v>710</v>
      </c>
      <c r="F99" s="86" t="s">
        <v>711</v>
      </c>
      <c r="G99" s="86" t="s">
        <v>712</v>
      </c>
      <c r="H99" s="86" t="s">
        <v>713</v>
      </c>
      <c r="I99" s="86" t="s">
        <v>714</v>
      </c>
      <c r="J99" s="3"/>
      <c r="K99" s="3"/>
      <c r="L99" s="3"/>
      <c r="M99" s="3"/>
    </row>
    <row r="100">
      <c r="A100" s="3"/>
      <c r="B100" s="120">
        <v>45747</v>
      </c>
      <c r="C100" s="50">
        <v>45776</v>
      </c>
      <c r="D100" s="75">
        <v>2.33</v>
      </c>
      <c r="E100" s="75">
        <v>1.07</v>
      </c>
      <c r="F100" s="75">
        <v>2.21</v>
      </c>
      <c r="G100" s="75">
        <v>1.07</v>
      </c>
      <c r="H100" s="75">
        <v>4200.25</v>
      </c>
      <c r="I100" s="75">
        <v>4190</v>
      </c>
      <c r="J100" s="3"/>
      <c r="K100" s="3"/>
      <c r="L100" s="3"/>
      <c r="M100" s="3"/>
    </row>
    <row r="101">
      <c r="A101" s="3"/>
      <c r="B101" s="120">
        <v>45838</v>
      </c>
      <c r="C101" s="50">
        <v>45867</v>
      </c>
      <c r="D101" s="75">
        <v>2.02</v>
      </c>
      <c r="E101" s="75">
        <v>-0.42</v>
      </c>
      <c r="F101" s="75">
        <v>1.98</v>
      </c>
      <c r="G101" s="75">
        <v>-0.42</v>
      </c>
      <c r="H101" s="75">
        <v>4264.97</v>
      </c>
      <c r="I101" s="75">
        <v>4193</v>
      </c>
      <c r="J101" s="3"/>
      <c r="K101" s="3"/>
      <c r="L101" s="3"/>
      <c r="M101" s="3"/>
    </row>
    <row r="102">
      <c r="A102" s="3"/>
      <c r="B102" s="120">
        <v>45930</v>
      </c>
      <c r="C102" s="50">
        <v>45965</v>
      </c>
      <c r="D102" s="75">
        <v>2.13</v>
      </c>
      <c r="E102" s="75">
        <v>3.28</v>
      </c>
      <c r="F102" s="75">
        <v>2.02</v>
      </c>
      <c r="G102" s="75">
        <v>3.28</v>
      </c>
      <c r="H102" s="75">
        <v>4232.69</v>
      </c>
      <c r="I102" s="75">
        <v>4272</v>
      </c>
      <c r="J102" s="3"/>
      <c r="K102" s="3"/>
      <c r="L102" s="3"/>
      <c r="M102" s="3"/>
    </row>
    <row r="103">
      <c r="A103" s="3"/>
      <c r="B103" s="120">
        <v>46022</v>
      </c>
      <c r="C103" s="50">
        <v>46063</v>
      </c>
      <c r="D103" s="75">
        <v>2.84</v>
      </c>
      <c r="E103" s="75">
        <v>4.43</v>
      </c>
      <c r="F103" s="75">
        <v>2.78</v>
      </c>
      <c r="G103" s="75">
        <v>4.43</v>
      </c>
      <c r="H103" s="75">
        <v>4519.82</v>
      </c>
      <c r="I103" s="75">
        <v>4531</v>
      </c>
      <c r="J103" s="3"/>
      <c r="K103" s="3"/>
      <c r="L103" s="3"/>
      <c r="M103" s="3"/>
    </row>
    <row r="104">
      <c r="A104" s="3"/>
      <c r="B104" s="120">
        <v>46112</v>
      </c>
      <c r="C104" s="50">
        <v>46140</v>
      </c>
      <c r="D104" s="75">
        <v>2.92</v>
      </c>
      <c r="E104" s="75">
        <v>3.45</v>
      </c>
      <c r="F104" s="75">
        <v>2.94</v>
      </c>
      <c r="G104" s="75">
        <v>3.45</v>
      </c>
      <c r="H104" s="75">
        <v>4521.1</v>
      </c>
      <c r="I104" s="75">
        <v>4533</v>
      </c>
      <c r="J104" s="3"/>
      <c r="K104" s="3"/>
      <c r="L104" s="3"/>
      <c r="M104" s="3"/>
    </row>
    <row r="105">
      <c r="A105" s="3"/>
      <c r="B105" s="120">
        <v>46203</v>
      </c>
      <c r="C105" s="50">
        <v>46238</v>
      </c>
      <c r="D105" s="75">
        <v>2.8</v>
      </c>
      <c r="E105" s="75">
        <v>2.61</v>
      </c>
      <c r="F105" s="75">
        <v>2.75</v>
      </c>
      <c r="G105" s="75">
        <v>2.61</v>
      </c>
      <c r="H105" s="75">
        <v>4793.05</v>
      </c>
      <c r="I105" s="75">
        <v>4777</v>
      </c>
      <c r="J105" s="3"/>
      <c r="K105" s="3"/>
      <c r="L105" s="3"/>
      <c r="M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>
      <c r="A107" s="3"/>
      <c r="B107" s="27" t="s">
        <v>715</v>
      </c>
      <c r="C107" s="15"/>
      <c r="D107" s="15"/>
      <c r="E107" s="15"/>
      <c r="F107" s="15"/>
      <c r="G107" s="15"/>
      <c r="H107" s="15"/>
      <c r="I107" s="15"/>
      <c r="J107" s="3"/>
      <c r="K107" s="3"/>
      <c r="L107" s="3"/>
      <c r="M107" s="3"/>
    </row>
    <row r="108">
      <c r="A108" s="3"/>
      <c r="B108" s="27" t="s">
        <v>48</v>
      </c>
      <c r="C108" s="76" t="s">
        <v>716</v>
      </c>
      <c r="D108" s="76" t="s">
        <v>717</v>
      </c>
      <c r="E108" s="76" t="s">
        <v>718</v>
      </c>
      <c r="F108" s="76" t="s">
        <v>719</v>
      </c>
      <c r="G108" s="76" t="s">
        <v>720</v>
      </c>
      <c r="H108" s="76"/>
      <c r="I108" s="92"/>
      <c r="J108" s="3"/>
      <c r="K108" s="3"/>
      <c r="L108" s="3"/>
      <c r="M108" s="3"/>
    </row>
    <row r="109">
      <c r="A109" s="3"/>
      <c r="B109" s="27" t="s">
        <v>5</v>
      </c>
      <c r="C109" s="88">
        <v>45565</v>
      </c>
      <c r="D109" s="88">
        <v>45657</v>
      </c>
      <c r="E109" s="88">
        <v>45747</v>
      </c>
      <c r="F109" s="88">
        <v>45838</v>
      </c>
      <c r="G109" s="88">
        <v>45657</v>
      </c>
      <c r="H109" s="79"/>
      <c r="I109" s="91"/>
      <c r="J109" s="3"/>
      <c r="K109" s="3"/>
      <c r="L109" s="3"/>
      <c r="M109" s="3"/>
    </row>
    <row r="110">
      <c r="A110" s="3"/>
      <c r="B110" s="2" t="s">
        <v>167</v>
      </c>
      <c r="C110" s="44">
        <v>3988</v>
      </c>
      <c r="D110" s="44">
        <v>4242</v>
      </c>
      <c r="E110" s="44">
        <v>4190</v>
      </c>
      <c r="F110" s="44">
        <v>4193</v>
      </c>
      <c r="G110" s="44">
        <v>15673</v>
      </c>
      <c r="H110" s="16"/>
      <c r="I110" s="74" t="s">
        <v>721</v>
      </c>
      <c r="J110" s="3"/>
      <c r="K110" s="3"/>
      <c r="L110" s="3"/>
      <c r="M110" s="3"/>
    </row>
    <row r="111">
      <c r="A111" s="3"/>
      <c r="B111" s="2" t="s">
        <v>722</v>
      </c>
      <c r="C111" s="44">
        <v>3530</v>
      </c>
      <c r="D111" s="44">
        <v>3721</v>
      </c>
      <c r="E111" s="44">
        <v>3783</v>
      </c>
      <c r="F111" s="44">
        <v>3753</v>
      </c>
      <c r="G111" s="44">
        <v>13875</v>
      </c>
      <c r="H111" s="16"/>
      <c r="I111" s="74" t="s">
        <v>723</v>
      </c>
      <c r="J111" s="3"/>
      <c r="K111" s="3"/>
      <c r="L111" s="3"/>
      <c r="M111" s="3"/>
    </row>
    <row r="112">
      <c r="A112" s="3"/>
      <c r="B112" s="2" t="s">
        <v>724</v>
      </c>
      <c r="C112" s="44">
        <v>458</v>
      </c>
      <c r="D112" s="44">
        <v>521</v>
      </c>
      <c r="E112" s="44">
        <v>407</v>
      </c>
      <c r="F112" s="44">
        <v>440</v>
      </c>
      <c r="G112" s="44">
        <v>1798</v>
      </c>
      <c r="H112" s="16"/>
      <c r="I112" s="74" t="s">
        <v>723</v>
      </c>
      <c r="J112" s="3"/>
      <c r="K112" s="3"/>
      <c r="L112" s="3"/>
      <c r="M112" s="3"/>
    </row>
    <row r="113">
      <c r="A113" s="3"/>
      <c r="B113" s="1" t="s">
        <v>725</v>
      </c>
      <c r="C113" s="16">
        <f>C111+C112-C110</f>
        <v>0</v>
      </c>
      <c r="D113" s="16">
        <f>D111+D112-D110</f>
        <v>0</v>
      </c>
      <c r="E113" s="16">
        <f>E111+E112-E110</f>
        <v>0</v>
      </c>
      <c r="F113" s="16">
        <f>F111+F112-F110</f>
        <v>0</v>
      </c>
      <c r="G113" s="16">
        <f>G111+G112-G110</f>
        <v>0</v>
      </c>
      <c r="H113" s="16"/>
      <c r="I113" s="74"/>
      <c r="J113" s="3"/>
      <c r="K113" s="3"/>
      <c r="L113" s="3"/>
      <c r="M113" s="3"/>
    </row>
    <row r="114">
      <c r="A114" s="3"/>
      <c r="B114" s="2" t="s">
        <v>123</v>
      </c>
      <c r="C114" s="44">
        <v>2346</v>
      </c>
      <c r="D114" s="44">
        <v>2425</v>
      </c>
      <c r="E114" s="44">
        <v>2514</v>
      </c>
      <c r="F114" s="44">
        <v>2509</v>
      </c>
      <c r="G114" s="44">
        <v>9352</v>
      </c>
      <c r="H114" s="16"/>
      <c r="I114" s="74" t="s">
        <v>726</v>
      </c>
      <c r="J114" s="3"/>
      <c r="K114" s="3"/>
      <c r="L114" s="3"/>
      <c r="M114" s="3"/>
    </row>
    <row r="115">
      <c r="A115" s="3"/>
      <c r="B115" s="2" t="s">
        <v>159</v>
      </c>
      <c r="C115" s="44">
        <v>402</v>
      </c>
      <c r="D115" s="44">
        <v>449</v>
      </c>
      <c r="E115" s="44">
        <v>350</v>
      </c>
      <c r="F115" s="44">
        <v>364</v>
      </c>
      <c r="G115" s="44">
        <v>1597</v>
      </c>
      <c r="H115" s="16"/>
      <c r="I115" s="74" t="s">
        <v>726</v>
      </c>
      <c r="J115" s="3"/>
      <c r="K115" s="3"/>
      <c r="L115" s="3"/>
      <c r="M115" s="3"/>
    </row>
    <row r="116">
      <c r="A116" s="3"/>
      <c r="B116" s="2" t="s">
        <v>169</v>
      </c>
      <c r="C116" s="44">
        <v>2748</v>
      </c>
      <c r="D116" s="44">
        <v>2874</v>
      </c>
      <c r="E116" s="44">
        <v>2864</v>
      </c>
      <c r="F116" s="44">
        <v>2873</v>
      </c>
      <c r="G116" s="44">
        <v>10949</v>
      </c>
      <c r="H116" s="16"/>
      <c r="I116" s="74"/>
      <c r="J116" s="3"/>
      <c r="K116" s="3"/>
      <c r="L116" s="3"/>
      <c r="M116" s="3"/>
    </row>
    <row r="117">
      <c r="A117" s="3"/>
      <c r="B117" s="27" t="s">
        <v>170</v>
      </c>
      <c r="C117" s="23">
        <f>C110-C116</f>
        <v>1240</v>
      </c>
      <c r="D117" s="23">
        <f>D110-D116</f>
        <v>1368</v>
      </c>
      <c r="E117" s="23">
        <f>E110-E116</f>
        <v>1326</v>
      </c>
      <c r="F117" s="23">
        <f>F110-F116</f>
        <v>1320</v>
      </c>
      <c r="G117" s="23">
        <f>G110-G116</f>
        <v>4724</v>
      </c>
      <c r="H117" s="23"/>
      <c r="I117" s="87"/>
      <c r="J117" s="3"/>
      <c r="K117" s="3"/>
      <c r="L117" s="3"/>
      <c r="M117" s="3"/>
    </row>
    <row r="118">
      <c r="A118" s="3"/>
      <c r="B118" s="2" t="s">
        <v>125</v>
      </c>
      <c r="C118" s="16">
        <f>C111-C114</f>
        <v>1184</v>
      </c>
      <c r="D118" s="16">
        <f>D111-D114</f>
        <v>1296</v>
      </c>
      <c r="E118" s="16">
        <f>E111-E114</f>
        <v>1269</v>
      </c>
      <c r="F118" s="16">
        <f>F111-F114</f>
        <v>1244</v>
      </c>
      <c r="G118" s="16">
        <f>G111-G114</f>
        <v>4523</v>
      </c>
      <c r="H118" s="16"/>
      <c r="I118" s="74"/>
      <c r="J118" s="3"/>
      <c r="K118" s="3"/>
      <c r="L118" s="3"/>
      <c r="M118" s="3"/>
    </row>
    <row r="119">
      <c r="A119" s="3"/>
      <c r="B119" s="2" t="s">
        <v>161</v>
      </c>
      <c r="C119" s="16">
        <f>C112-C115</f>
        <v>56</v>
      </c>
      <c r="D119" s="16">
        <f>D112-D115</f>
        <v>72</v>
      </c>
      <c r="E119" s="16">
        <f>E112-E115</f>
        <v>57</v>
      </c>
      <c r="F119" s="16">
        <f>F112-F115</f>
        <v>76</v>
      </c>
      <c r="G119" s="16">
        <f>G112-G115</f>
        <v>201</v>
      </c>
      <c r="H119" s="16"/>
      <c r="I119" s="74"/>
      <c r="J119" s="3"/>
      <c r="K119" s="3"/>
      <c r="L119" s="3"/>
      <c r="M119" s="3"/>
    </row>
    <row r="120">
      <c r="A120" s="3"/>
      <c r="B120" s="1" t="s">
        <v>32</v>
      </c>
      <c r="C120" s="11">
        <f>C117/C110</f>
        <v>0.31093279839518556</v>
      </c>
      <c r="D120" s="11">
        <f>D117/D110</f>
        <v>0.32248939179632247</v>
      </c>
      <c r="E120" s="11">
        <f>E117/E110</f>
        <v>0.3164677804295943</v>
      </c>
      <c r="F120" s="11">
        <f>F117/F110</f>
        <v>0.3148103982828524</v>
      </c>
      <c r="G120" s="11">
        <f>G117/G110</f>
        <v>0.3014100682702737</v>
      </c>
      <c r="H120" s="11"/>
      <c r="I120" s="77"/>
      <c r="J120" s="3"/>
      <c r="K120" s="3"/>
      <c r="L120" s="3"/>
      <c r="M120" s="3"/>
    </row>
    <row r="121">
      <c r="A121" s="3"/>
      <c r="B121" s="1" t="s">
        <v>126</v>
      </c>
      <c r="C121" s="11">
        <f>C118/C111</f>
        <v>0.33541076487252125</v>
      </c>
      <c r="D121" s="11">
        <f>D118/D111</f>
        <v>0.34829346949744694</v>
      </c>
      <c r="E121" s="11">
        <f>E118/E111</f>
        <v>0.3354480570975416</v>
      </c>
      <c r="F121" s="11">
        <f>F118/F111</f>
        <v>0.3314681588062883</v>
      </c>
      <c r="G121" s="11">
        <f>G118/G111</f>
        <v>0.32598198198198197</v>
      </c>
      <c r="H121" s="11"/>
      <c r="I121" s="77"/>
      <c r="J121" s="3"/>
      <c r="K121" s="3"/>
      <c r="L121" s="3"/>
      <c r="M121" s="3"/>
    </row>
    <row r="122">
      <c r="A122" s="3"/>
      <c r="B122" s="1" t="s">
        <v>162</v>
      </c>
      <c r="C122" s="11">
        <f>C119/C112</f>
        <v>0.1222707423580786</v>
      </c>
      <c r="D122" s="11">
        <f>D119/D112</f>
        <v>0.1381957773512476</v>
      </c>
      <c r="E122" s="11">
        <f>E119/E112</f>
        <v>0.14004914004914004</v>
      </c>
      <c r="F122" s="11">
        <f>F119/F112</f>
        <v>0.17272727272727273</v>
      </c>
      <c r="G122" s="11">
        <f>G119/G112</f>
        <v>0.1117908787541713</v>
      </c>
      <c r="H122" s="11"/>
      <c r="I122" s="77"/>
      <c r="J122" s="3"/>
      <c r="K122" s="3"/>
      <c r="L122" s="3"/>
      <c r="M122" s="3"/>
    </row>
    <row r="123">
      <c r="A123" s="3"/>
      <c r="B123" s="2" t="s">
        <v>173</v>
      </c>
      <c r="C123" s="44">
        <v>342</v>
      </c>
      <c r="D123" s="44">
        <v>376</v>
      </c>
      <c r="E123" s="44">
        <v>379</v>
      </c>
      <c r="F123" s="44">
        <v>415</v>
      </c>
      <c r="G123" s="44">
        <v>1486</v>
      </c>
      <c r="H123" s="16"/>
      <c r="I123" s="74"/>
      <c r="J123" s="3"/>
      <c r="K123" s="3"/>
      <c r="L123" s="3"/>
      <c r="M123" s="3"/>
    </row>
    <row r="124">
      <c r="A124" s="3"/>
      <c r="B124" s="2" t="s">
        <v>176</v>
      </c>
      <c r="C124" s="44">
        <v>332</v>
      </c>
      <c r="D124" s="44">
        <v>393</v>
      </c>
      <c r="E124" s="44">
        <v>314</v>
      </c>
      <c r="F124" s="44">
        <v>364</v>
      </c>
      <c r="G124" s="44">
        <v>1392</v>
      </c>
      <c r="H124" s="16"/>
      <c r="I124" s="74"/>
      <c r="J124" s="3"/>
      <c r="K124" s="3"/>
      <c r="L124" s="3"/>
      <c r="M124" s="3"/>
    </row>
    <row r="125">
      <c r="A125" s="3"/>
      <c r="B125" s="2" t="s">
        <v>177</v>
      </c>
      <c r="C125" s="44">
        <v>112</v>
      </c>
      <c r="D125" s="44">
        <v>122</v>
      </c>
      <c r="E125" s="44">
        <v>124</v>
      </c>
      <c r="F125" s="44">
        <v>135</v>
      </c>
      <c r="G125" s="44">
        <v>481</v>
      </c>
      <c r="H125" s="16"/>
      <c r="I125" s="74"/>
      <c r="J125" s="3"/>
      <c r="K125" s="3"/>
      <c r="L125" s="3"/>
      <c r="M125" s="3"/>
    </row>
    <row r="126">
      <c r="A126" s="3"/>
      <c r="B126" s="27" t="s">
        <v>178</v>
      </c>
      <c r="C126" s="23">
        <f>SUM(C123:C125)</f>
        <v>786</v>
      </c>
      <c r="D126" s="23">
        <f>SUM(D123:D125)</f>
        <v>891</v>
      </c>
      <c r="E126" s="23">
        <f>SUM(E123:E125)</f>
        <v>817</v>
      </c>
      <c r="F126" s="23">
        <f>SUM(F123:F125)</f>
        <v>914</v>
      </c>
      <c r="G126" s="23">
        <f>SUM(G123:G125)</f>
        <v>3359</v>
      </c>
      <c r="H126" s="23"/>
      <c r="I126" s="87"/>
      <c r="J126" s="3"/>
      <c r="K126" s="3"/>
      <c r="L126" s="3"/>
      <c r="M126" s="3"/>
    </row>
    <row r="127">
      <c r="A127" s="3"/>
      <c r="B127" s="27" t="s">
        <v>180</v>
      </c>
      <c r="C127" s="23">
        <f>C117-C126</f>
        <v>454</v>
      </c>
      <c r="D127" s="23">
        <f>D117-D126</f>
        <v>477</v>
      </c>
      <c r="E127" s="23">
        <f>E117-E126</f>
        <v>509</v>
      </c>
      <c r="F127" s="23">
        <f>F117-F126</f>
        <v>406</v>
      </c>
      <c r="G127" s="23">
        <f>G117-G126</f>
        <v>1365</v>
      </c>
      <c r="H127" s="23"/>
      <c r="I127" s="87"/>
      <c r="J127" s="3"/>
      <c r="K127" s="3"/>
      <c r="L127" s="3"/>
      <c r="M127" s="3"/>
    </row>
    <row r="128">
      <c r="A128" s="3"/>
      <c r="B128" s="1" t="s">
        <v>181</v>
      </c>
      <c r="C128" s="11">
        <f>C127/C110</f>
        <v>0.11384152457372117</v>
      </c>
      <c r="D128" s="11">
        <f>D127/D110</f>
        <v>0.11244695898161244</v>
      </c>
      <c r="E128" s="11">
        <f>E127/E110</f>
        <v>0.12147971360381861</v>
      </c>
      <c r="F128" s="11">
        <f>F127/F110</f>
        <v>0.09682804674457429</v>
      </c>
      <c r="G128" s="11">
        <f>G127/G110</f>
        <v>0.08709245198749442</v>
      </c>
      <c r="H128" s="11"/>
      <c r="I128" s="77"/>
      <c r="J128" s="3"/>
      <c r="K128" s="3"/>
      <c r="L128" s="3"/>
      <c r="M128" s="3"/>
    </row>
    <row r="129">
      <c r="A129" s="3"/>
      <c r="B129" s="1" t="s">
        <v>727</v>
      </c>
      <c r="C129" s="11">
        <f>C123/C110</f>
        <v>0.08575727181544635</v>
      </c>
      <c r="D129" s="11">
        <f>D123/D110</f>
        <v>0.08863743517208864</v>
      </c>
      <c r="E129" s="11">
        <f>E123/E110</f>
        <v>0.09045346062052506</v>
      </c>
      <c r="F129" s="11">
        <f>F123/F110</f>
        <v>0.09897448127832101</v>
      </c>
      <c r="G129" s="11">
        <f>G123/G110</f>
        <v>0.09481273527722836</v>
      </c>
      <c r="H129" s="11"/>
      <c r="I129" s="77"/>
      <c r="J129" s="3"/>
      <c r="K129" s="3"/>
      <c r="L129" s="3"/>
      <c r="M129" s="3"/>
    </row>
    <row r="130">
      <c r="A130" s="3"/>
      <c r="B130" s="1" t="s">
        <v>728</v>
      </c>
      <c r="C130" s="11">
        <f>C124/C110</f>
        <v>0.08324974924774323</v>
      </c>
      <c r="D130" s="11">
        <f>D124/D110</f>
        <v>0.09264497878359264</v>
      </c>
      <c r="E130" s="11">
        <f>E124/E110</f>
        <v>0.07494033412887828</v>
      </c>
      <c r="F130" s="11">
        <f>F124/F110</f>
        <v>0.08681135225375626</v>
      </c>
      <c r="G130" s="11">
        <f>G124/G110</f>
        <v>0.0888151598290053</v>
      </c>
      <c r="H130" s="11"/>
      <c r="I130" s="77"/>
      <c r="J130" s="3"/>
      <c r="K130" s="3"/>
      <c r="L130" s="3"/>
      <c r="M130" s="3"/>
    </row>
    <row r="131">
      <c r="A131" s="3"/>
      <c r="B131" s="1" t="s">
        <v>729</v>
      </c>
      <c r="C131" s="11">
        <f>C125/C110</f>
        <v>0.028084252758274825</v>
      </c>
      <c r="D131" s="11">
        <f>D125/D110</f>
        <v>0.02876001885902876</v>
      </c>
      <c r="E131" s="11">
        <f>E125/E110</f>
        <v>0.029594272076372316</v>
      </c>
      <c r="F131" s="11">
        <f>F125/F110</f>
        <v>0.03219651800620081</v>
      </c>
      <c r="G131" s="11">
        <f>G125/G110</f>
        <v>0.030689721176545653</v>
      </c>
      <c r="H131" s="11"/>
      <c r="I131" s="77"/>
      <c r="J131" s="3"/>
      <c r="K131" s="3"/>
      <c r="L131" s="3"/>
      <c r="M131" s="3"/>
    </row>
    <row r="132">
      <c r="A132" s="3"/>
      <c r="B132" s="1" t="s">
        <v>730</v>
      </c>
      <c r="C132" s="11">
        <f>C126/C110</f>
        <v>0.19709127382146438</v>
      </c>
      <c r="D132" s="11">
        <f>D126/D110</f>
        <v>0.21004243281471005</v>
      </c>
      <c r="E132" s="11">
        <f>E126/E110</f>
        <v>0.19498806682577566</v>
      </c>
      <c r="F132" s="11">
        <f>F126/F110</f>
        <v>0.21798235153827808</v>
      </c>
      <c r="G132" s="11">
        <f>G126/G110</f>
        <v>0.2143176162827793</v>
      </c>
      <c r="H132" s="11"/>
      <c r="I132" s="77"/>
      <c r="J132" s="3"/>
      <c r="K132" s="3"/>
      <c r="L132" s="3"/>
      <c r="M132" s="3"/>
    </row>
    <row r="133">
      <c r="A133" s="3"/>
      <c r="B133" s="2" t="s">
        <v>731</v>
      </c>
      <c r="C133" s="44">
        <v>53</v>
      </c>
      <c r="D133" s="44">
        <v>97</v>
      </c>
      <c r="E133" s="44">
        <v>75</v>
      </c>
      <c r="F133" s="44">
        <v>115</v>
      </c>
      <c r="G133" s="16"/>
      <c r="H133" s="16"/>
      <c r="I133" s="74" t="s">
        <v>732</v>
      </c>
      <c r="J133" s="3"/>
      <c r="K133" s="3"/>
      <c r="L133" s="3"/>
      <c r="M133" s="3"/>
    </row>
    <row r="134">
      <c r="A134" s="3"/>
      <c r="B134" s="2" t="s">
        <v>733</v>
      </c>
      <c r="C134" s="16">
        <f>C126-C133</f>
        <v>733</v>
      </c>
      <c r="D134" s="16">
        <f>D126-D133</f>
        <v>794</v>
      </c>
      <c r="E134" s="16">
        <f>E126-E133</f>
        <v>742</v>
      </c>
      <c r="F134" s="16">
        <f>F126-F133</f>
        <v>799</v>
      </c>
      <c r="G134" s="16"/>
      <c r="H134" s="16"/>
      <c r="I134" s="74"/>
      <c r="J134" s="3"/>
      <c r="K134" s="3"/>
      <c r="L134" s="3"/>
      <c r="M134" s="3"/>
    </row>
    <row r="135">
      <c r="A135" s="3"/>
      <c r="B135" s="2" t="s">
        <v>184</v>
      </c>
      <c r="C135" s="44">
        <v>66</v>
      </c>
      <c r="D135" s="44">
        <v>127</v>
      </c>
      <c r="E135" s="44">
        <v>71</v>
      </c>
      <c r="F135" s="44">
        <v>89</v>
      </c>
      <c r="G135" s="44">
        <v>328</v>
      </c>
      <c r="H135" s="16"/>
      <c r="I135" s="74"/>
      <c r="J135" s="3"/>
      <c r="K135" s="3"/>
      <c r="L135" s="3"/>
      <c r="M135" s="3"/>
    </row>
    <row r="136">
      <c r="A136" s="3"/>
      <c r="B136" s="2" t="s">
        <v>186</v>
      </c>
      <c r="C136" s="44">
        <v>-122</v>
      </c>
      <c r="D136" s="44">
        <v>-105</v>
      </c>
      <c r="E136" s="44">
        <v>-252</v>
      </c>
      <c r="F136" s="44">
        <v>-447</v>
      </c>
      <c r="G136" s="44">
        <v>-352</v>
      </c>
      <c r="H136" s="16"/>
      <c r="I136" s="74"/>
      <c r="J136" s="3"/>
      <c r="K136" s="3"/>
      <c r="L136" s="3"/>
      <c r="M136" s="3"/>
    </row>
    <row r="137">
      <c r="A137" s="3"/>
      <c r="B137" s="27" t="s">
        <v>189</v>
      </c>
      <c r="C137" s="23">
        <f>C127+C135+C136</f>
        <v>398</v>
      </c>
      <c r="D137" s="23">
        <f>D127+D135+D136</f>
        <v>499</v>
      </c>
      <c r="E137" s="23">
        <f>E127+E135+E136</f>
        <v>328</v>
      </c>
      <c r="F137" s="23">
        <f>F127+F135+F136</f>
        <v>48</v>
      </c>
      <c r="G137" s="23">
        <f>G127+G135+G136</f>
        <v>1341</v>
      </c>
      <c r="H137" s="23"/>
      <c r="I137" s="87"/>
      <c r="J137" s="3"/>
      <c r="K137" s="3"/>
      <c r="L137" s="3"/>
      <c r="M137" s="3"/>
    </row>
    <row r="138">
      <c r="A138" s="3"/>
      <c r="B138" s="2" t="s">
        <v>190</v>
      </c>
      <c r="C138" s="44">
        <v>98</v>
      </c>
      <c r="D138" s="44">
        <v>132</v>
      </c>
      <c r="E138" s="44">
        <v>103</v>
      </c>
      <c r="F138" s="44">
        <v>134</v>
      </c>
      <c r="G138" s="44">
        <v>203</v>
      </c>
      <c r="H138" s="16"/>
      <c r="I138" s="74"/>
      <c r="J138" s="3"/>
      <c r="K138" s="3"/>
      <c r="L138" s="3"/>
      <c r="M138" s="3"/>
    </row>
    <row r="139">
      <c r="A139" s="3"/>
      <c r="B139" s="1" t="s">
        <v>192</v>
      </c>
      <c r="C139" s="11">
        <f>C138/C137</f>
        <v>0.24623115577889448</v>
      </c>
      <c r="D139" s="11">
        <f>D138/D137</f>
        <v>0.26452905811623245</v>
      </c>
      <c r="E139" s="11">
        <f>E138/E137</f>
        <v>0.31402439024390244</v>
      </c>
      <c r="F139" s="11">
        <f>F138/F137</f>
        <v>2.7916666666666665</v>
      </c>
      <c r="G139" s="11">
        <f>G138/G137</f>
        <v>0.15137956748695003</v>
      </c>
      <c r="H139" s="11"/>
      <c r="I139" s="77"/>
      <c r="J139" s="3"/>
      <c r="K139" s="3"/>
      <c r="L139" s="3"/>
      <c r="M139" s="3"/>
    </row>
    <row r="140" ht="14.624267578125">
      <c r="A140" s="3"/>
      <c r="B140" s="27" t="s">
        <v>194</v>
      </c>
      <c r="C140" s="23">
        <f>C137-C138</f>
        <v>300</v>
      </c>
      <c r="D140" s="23">
        <f>D137-D138</f>
        <v>367</v>
      </c>
      <c r="E140" s="23">
        <f>E137-E138</f>
        <v>225</v>
      </c>
      <c r="F140" s="23">
        <f>F137-F138</f>
        <v>-86</v>
      </c>
      <c r="G140" s="23">
        <f>G137-G138</f>
        <v>1138</v>
      </c>
      <c r="H140" s="23"/>
      <c r="I140" s="87" t="s">
        <v>195</v>
      </c>
      <c r="J140" s="3"/>
      <c r="K140" s="3"/>
      <c r="L140" s="3"/>
      <c r="M140" s="3"/>
    </row>
    <row r="141">
      <c r="A141" s="3"/>
      <c r="B141" s="1" t="s">
        <v>196</v>
      </c>
      <c r="C141" s="11">
        <f>C140/C110</f>
        <v>0.07522567703109329</v>
      </c>
      <c r="D141" s="11">
        <f>D140/D110</f>
        <v>0.08651579443658651</v>
      </c>
      <c r="E141" s="11">
        <f>E140/E110</f>
        <v>0.05369928400954654</v>
      </c>
      <c r="F141" s="11">
        <f>F140/F110</f>
        <v>-0.020510374433579774</v>
      </c>
      <c r="G141" s="11">
        <f>G140/G110</f>
        <v>0.07260894531997703</v>
      </c>
      <c r="H141" s="11"/>
      <c r="I141" s="77"/>
      <c r="J141" s="3"/>
      <c r="K141" s="3"/>
      <c r="L141" s="3"/>
      <c r="M141" s="3"/>
    </row>
    <row r="142" ht="23.24853515625">
      <c r="A142" s="3"/>
      <c r="B142" s="2" t="s">
        <v>200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16"/>
      <c r="I142" s="74" t="s">
        <v>734</v>
      </c>
      <c r="J142" s="3"/>
      <c r="K142" s="3"/>
      <c r="L142" s="3"/>
      <c r="M142" s="3"/>
    </row>
    <row r="143">
      <c r="A143" s="3"/>
      <c r="B143" s="2" t="s">
        <v>203</v>
      </c>
      <c r="C143" s="44">
        <v>201.575568</v>
      </c>
      <c r="D143" s="44">
        <v>202.90748</v>
      </c>
      <c r="E143" s="44">
        <v>204.467927</v>
      </c>
      <c r="F143" s="44">
        <v>205.426999</v>
      </c>
      <c r="G143" s="44">
        <v>200.622518</v>
      </c>
      <c r="H143" s="16"/>
      <c r="I143" s="74"/>
      <c r="J143" s="3"/>
      <c r="K143" s="3"/>
      <c r="L143" s="3"/>
      <c r="M143" s="3"/>
    </row>
    <row r="144">
      <c r="A144" s="3"/>
      <c r="B144" s="2" t="s">
        <v>204</v>
      </c>
      <c r="C144" s="44">
        <v>207.399501</v>
      </c>
      <c r="D144" s="44">
        <v>209.012505</v>
      </c>
      <c r="E144" s="44">
        <v>210.243478</v>
      </c>
      <c r="F144" s="44">
        <v>205.426999</v>
      </c>
      <c r="G144" s="44">
        <v>206.990369</v>
      </c>
      <c r="H144" s="16"/>
      <c r="I144" s="74"/>
      <c r="J144" s="3"/>
      <c r="K144" s="3"/>
      <c r="L144" s="3"/>
      <c r="M144" s="3"/>
    </row>
    <row r="145">
      <c r="A145" s="3"/>
      <c r="B145" s="1" t="s">
        <v>444</v>
      </c>
      <c r="C145" s="11">
        <f>(C144-C143)/C143</f>
        <v>0.028892057989884878</v>
      </c>
      <c r="D145" s="11">
        <f>(D144-D143)/D143</f>
        <v>0.030087727667802152</v>
      </c>
      <c r="E145" s="11">
        <f>(E144-E143)/E143</f>
        <v>0.028246733288394943</v>
      </c>
      <c r="F145" s="11">
        <f>(F144-F143)/F143</f>
        <v>0</v>
      </c>
      <c r="G145" s="11">
        <f>(G144-G143)/G143</f>
        <v>0.03174045996172759</v>
      </c>
      <c r="H145" s="11"/>
      <c r="I145" s="77"/>
      <c r="J145" s="3"/>
      <c r="K145" s="3"/>
      <c r="L145" s="3"/>
      <c r="M145" s="3"/>
    </row>
    <row r="146">
      <c r="A146" s="3"/>
      <c r="B146" s="2" t="s">
        <v>735</v>
      </c>
      <c r="C146" s="36">
        <f>(C140+C142)/C144</f>
        <v>1.4464837116459601</v>
      </c>
      <c r="D146" s="36">
        <f>(D140+D142)/D144</f>
        <v>1.7558758027420416</v>
      </c>
      <c r="E146" s="36">
        <f>(E140+E142)/E144</f>
        <v>1.0701877753373161</v>
      </c>
      <c r="F146" s="36">
        <f>(F140+F142)/F144</f>
        <v>-0.4186402002591685</v>
      </c>
      <c r="G146" s="36">
        <f>(G140+G142)/G144</f>
        <v>5.497840336716343</v>
      </c>
      <c r="H146" s="36"/>
      <c r="I146" s="78"/>
      <c r="J146" s="3"/>
      <c r="K146" s="3"/>
      <c r="L146" s="3"/>
      <c r="M146" s="3"/>
    </row>
    <row r="147">
      <c r="A147" s="3"/>
      <c r="B147" s="2" t="s">
        <v>736</v>
      </c>
      <c r="C147" s="67">
        <v>1.45</v>
      </c>
      <c r="D147" s="67">
        <v>1.76</v>
      </c>
      <c r="E147" s="67">
        <v>1.07</v>
      </c>
      <c r="F147" s="67">
        <v>-0.42</v>
      </c>
      <c r="G147" s="67">
        <v>5.5</v>
      </c>
      <c r="H147" s="36"/>
      <c r="I147" s="78"/>
      <c r="J147" s="3"/>
      <c r="K147" s="3"/>
      <c r="L147" s="3"/>
      <c r="M147" s="3"/>
    </row>
    <row r="148">
      <c r="A148" s="3"/>
      <c r="B148" s="2" t="s">
        <v>737</v>
      </c>
      <c r="C148" s="67">
        <v>1.49</v>
      </c>
      <c r="D148" s="67">
        <v>1.81</v>
      </c>
      <c r="E148" s="67">
        <v>1.1</v>
      </c>
      <c r="F148" s="67">
        <v>-0.42</v>
      </c>
      <c r="G148" s="67">
        <v>5.67</v>
      </c>
      <c r="H148" s="36"/>
      <c r="I148" s="78"/>
      <c r="J148" s="3"/>
      <c r="K148" s="3"/>
      <c r="L148" s="3"/>
      <c r="M148" s="3"/>
    </row>
    <row r="149" ht="26.25">
      <c r="A149" s="3"/>
      <c r="B149" s="105" t="s">
        <v>738</v>
      </c>
      <c r="C149" s="44">
        <v>711</v>
      </c>
      <c r="D149" s="44">
        <v>877</v>
      </c>
      <c r="E149" s="44">
        <v>534</v>
      </c>
      <c r="F149" s="44">
        <v>700</v>
      </c>
      <c r="G149" s="44">
        <v>2285</v>
      </c>
      <c r="H149" s="16"/>
      <c r="I149" s="74" t="s">
        <v>739</v>
      </c>
      <c r="J149" s="3"/>
      <c r="K149" s="3"/>
      <c r="L149" s="3"/>
      <c r="M149" s="3"/>
    </row>
    <row r="150">
      <c r="A150" s="3"/>
      <c r="B150" s="1" t="s">
        <v>414</v>
      </c>
      <c r="C150" s="11">
        <f>C149/C110</f>
        <v>0.1782848545636911</v>
      </c>
      <c r="D150" s="11">
        <f>D149/D110</f>
        <v>0.20674210278170674</v>
      </c>
      <c r="E150" s="11">
        <f>E149/E110</f>
        <v>0.12744630071599045</v>
      </c>
      <c r="F150" s="11">
        <f>F149/F110</f>
        <v>0.1669449081803005</v>
      </c>
      <c r="G150" s="11">
        <f>G149/G110</f>
        <v>0.14579212658712434</v>
      </c>
      <c r="H150" s="11"/>
      <c r="I150" s="77"/>
      <c r="J150" s="3"/>
      <c r="K150" s="3"/>
      <c r="L150" s="3"/>
      <c r="M150" s="3"/>
    </row>
    <row r="151">
      <c r="A151" s="3"/>
      <c r="B151" s="2" t="s">
        <v>740</v>
      </c>
      <c r="C151" s="44">
        <v>252</v>
      </c>
      <c r="D151" s="44">
        <v>263</v>
      </c>
      <c r="E151" s="44">
        <v>268</v>
      </c>
      <c r="F151" s="44">
        <v>276</v>
      </c>
      <c r="G151" s="44">
        <v>263</v>
      </c>
      <c r="H151" s="16"/>
      <c r="I151" s="74" t="s">
        <v>741</v>
      </c>
      <c r="J151" s="3"/>
      <c r="K151" s="3"/>
      <c r="L151" s="3"/>
      <c r="M151" s="3"/>
    </row>
    <row r="152">
      <c r="A152" s="3"/>
      <c r="B152" s="2" t="s">
        <v>742</v>
      </c>
      <c r="C152" s="44">
        <v>246</v>
      </c>
      <c r="D152" s="44">
        <v>252</v>
      </c>
      <c r="E152" s="44">
        <v>263</v>
      </c>
      <c r="F152" s="44">
        <v>268</v>
      </c>
      <c r="G152" s="44">
        <v>236</v>
      </c>
      <c r="H152" s="16"/>
      <c r="I152" s="74" t="s">
        <v>743</v>
      </c>
      <c r="J152" s="3"/>
      <c r="K152" s="3"/>
      <c r="L152" s="3"/>
      <c r="M152" s="3"/>
    </row>
    <row r="153">
      <c r="A153" s="3"/>
      <c r="B153" s="2" t="s">
        <v>744</v>
      </c>
      <c r="C153" s="16">
        <f>(C151+C152)/2</f>
        <v>249</v>
      </c>
      <c r="D153" s="16">
        <f>(D151+D152)/2</f>
        <v>257.5</v>
      </c>
      <c r="E153" s="16">
        <f>(E151+E152)/2</f>
        <v>265.5</v>
      </c>
      <c r="F153" s="16">
        <f>(F151+F152)/2</f>
        <v>272</v>
      </c>
      <c r="G153" s="16"/>
      <c r="H153" s="16"/>
      <c r="I153" s="74"/>
      <c r="J153" s="3"/>
      <c r="K153" s="3"/>
      <c r="L153" s="3"/>
      <c r="M153" s="3"/>
    </row>
    <row r="154">
      <c r="A154" s="3"/>
      <c r="B154" s="2" t="s">
        <v>745</v>
      </c>
      <c r="C154" s="16">
        <f>C151-C152</f>
        <v>6</v>
      </c>
      <c r="D154" s="16">
        <f>D151-D152</f>
        <v>11</v>
      </c>
      <c r="E154" s="16">
        <f>E151-E152</f>
        <v>5</v>
      </c>
      <c r="F154" s="16">
        <f>F151-F152</f>
        <v>8</v>
      </c>
      <c r="G154" s="16">
        <f>G151-G152</f>
        <v>27</v>
      </c>
      <c r="H154" s="16"/>
      <c r="I154" s="74"/>
      <c r="J154" s="3"/>
      <c r="K154" s="3"/>
      <c r="L154" s="3"/>
      <c r="M154" s="3"/>
    </row>
    <row r="155">
      <c r="A155" s="3"/>
      <c r="B155" s="2" t="s">
        <v>746</v>
      </c>
      <c r="C155" s="36">
        <f>C111/C153/3</f>
        <v>4.7255689424364125</v>
      </c>
      <c r="D155" s="36">
        <f>D111/D153/3</f>
        <v>4.816828478964402</v>
      </c>
      <c r="E155" s="36">
        <f>E111/E153/3</f>
        <v>4.749529190207157</v>
      </c>
      <c r="F155" s="36">
        <f>F111/F153/3</f>
        <v>4.599264705882352</v>
      </c>
      <c r="G155" s="36"/>
      <c r="H155" s="36"/>
      <c r="I155" s="78"/>
      <c r="J155" s="3"/>
      <c r="K155" s="3"/>
      <c r="L155" s="3"/>
      <c r="M155" s="3"/>
    </row>
    <row r="156">
      <c r="A156" s="3"/>
      <c r="B156" s="2" t="s">
        <v>747</v>
      </c>
      <c r="C156" s="44">
        <v>640</v>
      </c>
      <c r="D156" s="44">
        <v>675</v>
      </c>
      <c r="E156" s="44">
        <v>678</v>
      </c>
      <c r="F156" s="44">
        <v>696</v>
      </c>
      <c r="G156" s="44">
        <v>675</v>
      </c>
      <c r="H156" s="16"/>
      <c r="I156" s="74"/>
      <c r="J156" s="3"/>
      <c r="K156" s="3"/>
      <c r="L156" s="3"/>
      <c r="M156" s="3"/>
    </row>
    <row r="157">
      <c r="A157" s="3"/>
      <c r="B157" s="2" t="s">
        <v>748</v>
      </c>
      <c r="C157" s="44">
        <v>626</v>
      </c>
      <c r="D157" s="44">
        <v>640</v>
      </c>
      <c r="E157" s="44">
        <v>675</v>
      </c>
      <c r="F157" s="44">
        <v>678</v>
      </c>
      <c r="G157" s="44">
        <v>602</v>
      </c>
      <c r="H157" s="16"/>
      <c r="I157" s="74" t="s">
        <v>749</v>
      </c>
      <c r="J157" s="3"/>
      <c r="K157" s="3"/>
      <c r="L157" s="3"/>
      <c r="M157" s="3"/>
    </row>
    <row r="158">
      <c r="A158" s="3"/>
      <c r="B158" s="2" t="s">
        <v>750</v>
      </c>
      <c r="C158" s="16">
        <f>(C156+C157)/2</f>
        <v>633</v>
      </c>
      <c r="D158" s="16">
        <f>(D156+D157)/2</f>
        <v>657.5</v>
      </c>
      <c r="E158" s="16">
        <f>(E156+E157)/2</f>
        <v>676.5</v>
      </c>
      <c r="F158" s="16">
        <f>(F156+F157)/2</f>
        <v>687</v>
      </c>
      <c r="G158" s="16"/>
      <c r="H158" s="16"/>
      <c r="I158" s="74"/>
      <c r="J158" s="3"/>
      <c r="K158" s="3"/>
      <c r="L158" s="3"/>
      <c r="M158" s="3"/>
    </row>
    <row r="159">
      <c r="A159" s="3"/>
      <c r="B159" s="2" t="s">
        <v>751</v>
      </c>
      <c r="C159" s="16">
        <f>C156-C157</f>
        <v>14</v>
      </c>
      <c r="D159" s="16">
        <f>D156-D157</f>
        <v>35</v>
      </c>
      <c r="E159" s="16">
        <f>E156-E157</f>
        <v>3</v>
      </c>
      <c r="F159" s="16">
        <f>F156-F157</f>
        <v>18</v>
      </c>
      <c r="G159" s="16">
        <f>G156-G157</f>
        <v>73</v>
      </c>
      <c r="H159" s="16"/>
      <c r="I159" s="74"/>
      <c r="J159" s="3"/>
      <c r="K159" s="3"/>
      <c r="L159" s="3"/>
      <c r="M159" s="3"/>
    </row>
    <row r="160">
      <c r="A160" s="3"/>
      <c r="B160" s="2" t="s">
        <v>752</v>
      </c>
      <c r="C160" s="44">
        <v>402</v>
      </c>
      <c r="D160" s="44">
        <v>425</v>
      </c>
      <c r="E160" s="44">
        <v>423</v>
      </c>
      <c r="F160" s="44">
        <v>433</v>
      </c>
      <c r="G160" s="44">
        <v>425</v>
      </c>
      <c r="H160" s="16"/>
      <c r="I160" s="74"/>
      <c r="J160" s="3"/>
      <c r="K160" s="3"/>
      <c r="L160" s="3"/>
      <c r="M160" s="3"/>
    </row>
    <row r="161">
      <c r="A161" s="3"/>
      <c r="B161" s="2" t="s">
        <v>753</v>
      </c>
      <c r="C161" s="44">
        <v>393</v>
      </c>
      <c r="D161" s="44">
        <v>402</v>
      </c>
      <c r="E161" s="44">
        <v>425</v>
      </c>
      <c r="F161" s="44">
        <v>423</v>
      </c>
      <c r="G161" s="44">
        <v>379</v>
      </c>
      <c r="H161" s="16"/>
      <c r="I161" s="74" t="s">
        <v>749</v>
      </c>
      <c r="J161" s="3"/>
      <c r="K161" s="3"/>
      <c r="L161" s="3"/>
      <c r="M161" s="3"/>
    </row>
    <row r="162">
      <c r="A162" s="3"/>
      <c r="B162" s="2" t="s">
        <v>754</v>
      </c>
      <c r="C162" s="16">
        <f>(C160+C161)/2</f>
        <v>397.5</v>
      </c>
      <c r="D162" s="16">
        <f>(D160+D161)/2</f>
        <v>413.5</v>
      </c>
      <c r="E162" s="16">
        <f>(E160+E161)/2</f>
        <v>424</v>
      </c>
      <c r="F162" s="16">
        <f>(F160+F161)/2</f>
        <v>428</v>
      </c>
      <c r="G162" s="16"/>
      <c r="H162" s="16"/>
      <c r="I162" s="74"/>
      <c r="J162" s="3"/>
      <c r="K162" s="3"/>
      <c r="L162" s="3"/>
      <c r="M162" s="3"/>
    </row>
    <row r="163">
      <c r="A163" s="3"/>
      <c r="B163" s="2" t="s">
        <v>755</v>
      </c>
      <c r="C163" s="16">
        <f>C160-C161</f>
        <v>9</v>
      </c>
      <c r="D163" s="16">
        <f>D160-D161</f>
        <v>23</v>
      </c>
      <c r="E163" s="16">
        <f>E160-E161</f>
        <v>-2</v>
      </c>
      <c r="F163" s="16">
        <f>F160-F161</f>
        <v>10</v>
      </c>
      <c r="G163" s="16">
        <f>G160-G161</f>
        <v>46</v>
      </c>
      <c r="H163" s="16"/>
      <c r="I163" s="74"/>
      <c r="J163" s="3"/>
      <c r="K163" s="3"/>
      <c r="L163" s="3"/>
      <c r="M163" s="3"/>
    </row>
    <row r="164">
      <c r="A164" s="3"/>
      <c r="B164" s="2" t="s">
        <v>756</v>
      </c>
      <c r="C164" s="36">
        <f>C112/C162</f>
        <v>1.1522012578616352</v>
      </c>
      <c r="D164" s="36">
        <f>D112/D162</f>
        <v>1.2599758162031438</v>
      </c>
      <c r="E164" s="36">
        <f>E112/E162</f>
        <v>0.9599056603773585</v>
      </c>
      <c r="F164" s="36">
        <f>F112/F162</f>
        <v>1.02803738317757</v>
      </c>
      <c r="G164" s="36"/>
      <c r="H164" s="36"/>
      <c r="I164" s="78"/>
      <c r="J164" s="3"/>
      <c r="K164" s="3"/>
      <c r="L164" s="3"/>
      <c r="M164" s="3"/>
    </row>
    <row r="165">
      <c r="A165" s="3"/>
      <c r="B165" s="2" t="s">
        <v>757</v>
      </c>
      <c r="C165" s="16">
        <f>C151+C160-C156</f>
        <v>14</v>
      </c>
      <c r="D165" s="16">
        <f>D151+D160-D156</f>
        <v>13</v>
      </c>
      <c r="E165" s="16">
        <f>E151+E160-E156</f>
        <v>13</v>
      </c>
      <c r="F165" s="16">
        <f>F151+F160-F156</f>
        <v>13</v>
      </c>
      <c r="G165" s="16">
        <f>G151+G160-G156</f>
        <v>13</v>
      </c>
      <c r="H165" s="16"/>
      <c r="I165" s="74"/>
      <c r="J165" s="3"/>
      <c r="K165" s="3"/>
      <c r="L165" s="3"/>
      <c r="M165" s="3"/>
    </row>
    <row r="166">
      <c r="A166" s="3"/>
      <c r="B166" s="1" t="s">
        <v>95</v>
      </c>
      <c r="C166" s="11">
        <f>C151/C156</f>
        <v>0.39375</v>
      </c>
      <c r="D166" s="11">
        <f>D151/D156</f>
        <v>0.3896296296296296</v>
      </c>
      <c r="E166" s="11">
        <f>E151/E156</f>
        <v>0.3952802359882006</v>
      </c>
      <c r="F166" s="11">
        <f>F151/F156</f>
        <v>0.39655172413793105</v>
      </c>
      <c r="G166" s="11">
        <f>G151/G156</f>
        <v>0.3896296296296296</v>
      </c>
      <c r="H166" s="11"/>
      <c r="I166" s="77"/>
      <c r="J166" s="3"/>
      <c r="K166" s="3"/>
      <c r="L166" s="3"/>
      <c r="M166" s="3"/>
    </row>
    <row r="167">
      <c r="A167" s="3"/>
      <c r="B167" s="1" t="s">
        <v>145</v>
      </c>
      <c r="C167" s="11">
        <f>C160/C156</f>
        <v>0.628125</v>
      </c>
      <c r="D167" s="11">
        <f>D160/D156</f>
        <v>0.6296296296296297</v>
      </c>
      <c r="E167" s="11">
        <f>E160/E156</f>
        <v>0.6238938053097345</v>
      </c>
      <c r="F167" s="11">
        <f>F160/F156</f>
        <v>0.6221264367816092</v>
      </c>
      <c r="G167" s="11">
        <f>G160/G156</f>
        <v>0.6296296296296297</v>
      </c>
      <c r="H167" s="11"/>
      <c r="I167" s="77"/>
      <c r="J167" s="3"/>
      <c r="K167" s="3"/>
      <c r="L167" s="3"/>
      <c r="M167" s="3"/>
    </row>
    <row r="168">
      <c r="A168" s="3"/>
      <c r="B168" s="2" t="s">
        <v>758</v>
      </c>
      <c r="C168" s="44">
        <v>1577</v>
      </c>
      <c r="D168" s="16">
        <f>G168-C229</f>
        <v>1697</v>
      </c>
      <c r="E168" s="16">
        <f>C232-F168</f>
        <v>1650</v>
      </c>
      <c r="F168" s="44">
        <v>1592</v>
      </c>
      <c r="G168" s="44">
        <v>6136</v>
      </c>
      <c r="H168" s="16"/>
      <c r="I168" s="74" t="s">
        <v>759</v>
      </c>
      <c r="J168" s="3"/>
      <c r="K168" s="3"/>
      <c r="L168" s="3"/>
      <c r="M168" s="3"/>
    </row>
    <row r="169">
      <c r="A169" s="3"/>
      <c r="B169" s="2" t="s">
        <v>760</v>
      </c>
      <c r="C169" s="44">
        <v>2</v>
      </c>
      <c r="D169" s="16">
        <f>G169-C230</f>
        <v>3</v>
      </c>
      <c r="E169" s="16">
        <f>C233-F169</f>
        <v>3</v>
      </c>
      <c r="F169" s="44">
        <v>3</v>
      </c>
      <c r="G169" s="44">
        <v>10</v>
      </c>
      <c r="H169" s="16"/>
      <c r="I169" s="74"/>
      <c r="J169" s="3"/>
      <c r="K169" s="3"/>
      <c r="L169" s="3"/>
      <c r="M169" s="3"/>
    </row>
    <row r="170">
      <c r="A170" s="3"/>
      <c r="B170" s="2" t="s">
        <v>761</v>
      </c>
      <c r="C170" s="44">
        <v>2409</v>
      </c>
      <c r="D170" s="16">
        <f>G170-C231</f>
        <v>2542</v>
      </c>
      <c r="E170" s="16">
        <f>C234-F170</f>
        <v>2537</v>
      </c>
      <c r="F170" s="44">
        <v>2598</v>
      </c>
      <c r="G170" s="44">
        <v>9527</v>
      </c>
      <c r="H170" s="16"/>
      <c r="I170" s="74"/>
      <c r="J170" s="3"/>
      <c r="K170" s="3"/>
      <c r="L170" s="3"/>
      <c r="M170" s="3"/>
    </row>
    <row r="171">
      <c r="A171" s="3"/>
      <c r="B171" s="27" t="s">
        <v>762</v>
      </c>
      <c r="C171" s="23">
        <f>SUM(C168:C170)</f>
        <v>3988</v>
      </c>
      <c r="D171" s="23">
        <f>SUM(D168:D170)</f>
        <v>4242</v>
      </c>
      <c r="E171" s="23">
        <f>SUM(E168:E170)</f>
        <v>4190</v>
      </c>
      <c r="F171" s="23">
        <f>SUM(F168:F170)</f>
        <v>4193</v>
      </c>
      <c r="G171" s="23">
        <f>SUM(G168:G170)</f>
        <v>15673</v>
      </c>
      <c r="H171" s="23"/>
      <c r="I171" s="87"/>
      <c r="J171" s="3"/>
      <c r="K171" s="3"/>
      <c r="L171" s="3"/>
      <c r="M171" s="3"/>
    </row>
    <row r="172">
      <c r="A172" s="3"/>
      <c r="B172" s="1" t="s">
        <v>425</v>
      </c>
      <c r="C172" s="11">
        <f>C168/C171</f>
        <v>0.39543630892678033</v>
      </c>
      <c r="D172" s="11">
        <f>D168/D171</f>
        <v>0.4000471475719001</v>
      </c>
      <c r="E172" s="11">
        <f>E168/E171</f>
        <v>0.3937947494033413</v>
      </c>
      <c r="F172" s="11">
        <f>F168/F171</f>
        <v>0.3796804197471977</v>
      </c>
      <c r="G172" s="11">
        <f>G168/G171</f>
        <v>0.39150130798187965</v>
      </c>
      <c r="H172" s="11"/>
      <c r="I172" s="77"/>
      <c r="J172" s="3"/>
      <c r="K172" s="3"/>
      <c r="L172" s="3"/>
      <c r="M172" s="3"/>
    </row>
    <row r="173">
      <c r="A173" s="3"/>
      <c r="B173" s="27" t="s">
        <v>763</v>
      </c>
      <c r="C173" s="15"/>
      <c r="D173" s="15"/>
      <c r="E173" s="15"/>
      <c r="F173" s="15"/>
      <c r="G173" s="15"/>
      <c r="H173" s="15"/>
      <c r="I173" s="73"/>
      <c r="J173" s="3"/>
      <c r="K173" s="3"/>
      <c r="L173" s="3"/>
      <c r="M173" s="3"/>
    </row>
    <row r="174">
      <c r="A174" s="3"/>
      <c r="B174" s="2" t="s">
        <v>764</v>
      </c>
      <c r="C174" s="16"/>
      <c r="D174" s="16"/>
      <c r="E174" s="44">
        <v>20</v>
      </c>
      <c r="F174" s="44">
        <v>20</v>
      </c>
      <c r="G174" s="16"/>
      <c r="H174" s="16"/>
      <c r="I174" s="74" t="s">
        <v>353</v>
      </c>
      <c r="J174" s="3"/>
      <c r="K174" s="3"/>
      <c r="L174" s="3"/>
      <c r="M174" s="3"/>
    </row>
    <row r="175">
      <c r="A175" s="3"/>
      <c r="B175" s="2" t="s">
        <v>765</v>
      </c>
      <c r="C175" s="16"/>
      <c r="D175" s="16"/>
      <c r="E175" s="44">
        <v>7</v>
      </c>
      <c r="F175" s="44">
        <v>6</v>
      </c>
      <c r="G175" s="16"/>
      <c r="H175" s="16"/>
      <c r="I175" s="74"/>
      <c r="J175" s="3"/>
      <c r="K175" s="3"/>
      <c r="L175" s="3"/>
      <c r="M175" s="3"/>
    </row>
    <row r="176" ht="23.24853515625">
      <c r="A176" s="3"/>
      <c r="B176" s="2" t="s">
        <v>766</v>
      </c>
      <c r="C176" s="16"/>
      <c r="D176" s="16"/>
      <c r="E176" s="44">
        <v>2</v>
      </c>
      <c r="F176" s="44">
        <v>1</v>
      </c>
      <c r="G176" s="16"/>
      <c r="H176" s="16"/>
      <c r="I176" s="74" t="s">
        <v>356</v>
      </c>
      <c r="J176" s="3"/>
      <c r="K176" s="3"/>
      <c r="L176" s="3"/>
      <c r="M176" s="3"/>
    </row>
    <row r="177" ht="14.624267578125">
      <c r="A177" s="3"/>
      <c r="B177" s="2" t="s">
        <v>767</v>
      </c>
      <c r="C177" s="16"/>
      <c r="D177" s="16"/>
      <c r="E177" s="44">
        <v>42</v>
      </c>
      <c r="F177" s="44">
        <v>73</v>
      </c>
      <c r="G177" s="16"/>
      <c r="H177" s="16"/>
      <c r="I177" s="74"/>
      <c r="J177" s="3"/>
      <c r="K177" s="3"/>
      <c r="L177" s="3"/>
      <c r="M177" s="3"/>
    </row>
    <row r="178">
      <c r="A178" s="3"/>
      <c r="B178" s="2" t="s">
        <v>768</v>
      </c>
      <c r="C178" s="16"/>
      <c r="D178" s="16"/>
      <c r="E178" s="44">
        <v>0</v>
      </c>
      <c r="F178" s="44">
        <v>8</v>
      </c>
      <c r="G178" s="16"/>
      <c r="H178" s="16"/>
      <c r="I178" s="74"/>
      <c r="J178" s="3"/>
      <c r="K178" s="3"/>
      <c r="L178" s="3"/>
      <c r="M178" s="3"/>
    </row>
    <row r="179">
      <c r="A179" s="3"/>
      <c r="B179" s="2" t="s">
        <v>769</v>
      </c>
      <c r="C179" s="16"/>
      <c r="D179" s="16"/>
      <c r="E179" s="44">
        <v>-4</v>
      </c>
      <c r="F179" s="44">
        <v>-19</v>
      </c>
      <c r="G179" s="16"/>
      <c r="H179" s="16"/>
      <c r="I179" s="74" t="s">
        <v>364</v>
      </c>
      <c r="J179" s="3"/>
      <c r="K179" s="3"/>
      <c r="L179" s="3"/>
      <c r="M179" s="3"/>
    </row>
    <row r="180">
      <c r="A180" s="3"/>
      <c r="B180" s="2" t="s">
        <v>770</v>
      </c>
      <c r="C180" s="16"/>
      <c r="D180" s="16"/>
      <c r="E180" s="44">
        <v>-90</v>
      </c>
      <c r="F180" s="44">
        <v>201</v>
      </c>
      <c r="G180" s="16"/>
      <c r="H180" s="16"/>
      <c r="I180" s="74" t="s">
        <v>366</v>
      </c>
      <c r="J180" s="3"/>
      <c r="K180" s="3"/>
      <c r="L180" s="3"/>
      <c r="M180" s="3"/>
    </row>
    <row r="181">
      <c r="A181" s="3"/>
      <c r="B181" s="2" t="s">
        <v>771</v>
      </c>
      <c r="C181" s="16"/>
      <c r="D181" s="16"/>
      <c r="E181" s="44">
        <v>3</v>
      </c>
      <c r="F181" s="44">
        <v>12</v>
      </c>
      <c r="G181" s="16"/>
      <c r="H181" s="16"/>
      <c r="I181" s="74"/>
      <c r="J181" s="3"/>
      <c r="K181" s="3"/>
      <c r="L181" s="3"/>
      <c r="M181" s="3"/>
    </row>
    <row r="182">
      <c r="A182" s="3"/>
      <c r="B182" s="2" t="s">
        <v>772</v>
      </c>
      <c r="C182" s="16"/>
      <c r="D182" s="16"/>
      <c r="E182" s="44">
        <v>12</v>
      </c>
      <c r="F182" s="44">
        <v>8</v>
      </c>
      <c r="G182" s="16"/>
      <c r="H182" s="16"/>
      <c r="I182" s="74"/>
      <c r="J182" s="3"/>
      <c r="K182" s="3"/>
      <c r="L182" s="3"/>
      <c r="M182" s="3"/>
    </row>
    <row r="183">
      <c r="A183" s="3"/>
      <c r="B183" s="2" t="s">
        <v>773</v>
      </c>
      <c r="C183" s="16"/>
      <c r="D183" s="16"/>
      <c r="E183" s="44">
        <v>-13</v>
      </c>
      <c r="F183" s="44">
        <v>-6</v>
      </c>
      <c r="G183" s="16"/>
      <c r="H183" s="16"/>
      <c r="I183" s="74"/>
      <c r="J183" s="3"/>
      <c r="K183" s="3"/>
      <c r="L183" s="3"/>
      <c r="M183" s="3"/>
    </row>
    <row r="184">
      <c r="A184" s="3"/>
      <c r="B184" s="2" t="s">
        <v>774</v>
      </c>
      <c r="C184" s="16"/>
      <c r="D184" s="16"/>
      <c r="E184" s="44">
        <v>70</v>
      </c>
      <c r="F184" s="44">
        <v>57</v>
      </c>
      <c r="G184" s="16"/>
      <c r="H184" s="16"/>
      <c r="I184" s="74"/>
      <c r="J184" s="3"/>
      <c r="K184" s="3"/>
      <c r="L184" s="3"/>
      <c r="M184" s="3"/>
    </row>
    <row r="185" ht="23.24853515625">
      <c r="A185" s="3"/>
      <c r="B185" s="2" t="s">
        <v>775</v>
      </c>
      <c r="C185" s="16"/>
      <c r="D185" s="16"/>
      <c r="E185" s="44">
        <v>-19</v>
      </c>
      <c r="F185" s="44">
        <v>-58</v>
      </c>
      <c r="G185" s="16"/>
      <c r="H185" s="16"/>
      <c r="I185" s="74"/>
      <c r="J185" s="3"/>
      <c r="K185" s="3"/>
      <c r="L185" s="3"/>
      <c r="M185" s="3"/>
    </row>
    <row r="186">
      <c r="A186" s="3"/>
      <c r="B186" s="27" t="s">
        <v>375</v>
      </c>
      <c r="C186" s="23"/>
      <c r="D186" s="23"/>
      <c r="E186" s="23">
        <f>E140+SUM(E174:E177)-E135-E136+E138+SUM(E178:E185)</f>
        <v>539</v>
      </c>
      <c r="F186" s="23">
        <f>F140+SUM(F174:F177)-F135-F136+F138+SUM(F178:F185)</f>
        <v>709</v>
      </c>
      <c r="G186" s="23"/>
      <c r="H186" s="23"/>
      <c r="I186" s="87"/>
      <c r="J186" s="3"/>
      <c r="K186" s="3"/>
      <c r="L186" s="3"/>
      <c r="M186" s="3"/>
    </row>
    <row r="187">
      <c r="A187" s="3"/>
      <c r="B187" s="2" t="s">
        <v>776</v>
      </c>
      <c r="C187" s="16"/>
      <c r="D187" s="16"/>
      <c r="E187" s="44">
        <v>0</v>
      </c>
      <c r="F187" s="44">
        <v>0</v>
      </c>
      <c r="G187" s="16"/>
      <c r="H187" s="16"/>
      <c r="I187" s="74" t="s">
        <v>378</v>
      </c>
      <c r="J187" s="3"/>
      <c r="K187" s="3"/>
      <c r="L187" s="3"/>
      <c r="M187" s="3"/>
    </row>
    <row r="188" ht="14.624267578125">
      <c r="A188" s="3"/>
      <c r="B188" s="2" t="s">
        <v>777</v>
      </c>
      <c r="C188" s="16"/>
      <c r="D188" s="16"/>
      <c r="E188" s="44">
        <v>-7</v>
      </c>
      <c r="F188" s="44">
        <v>-2</v>
      </c>
      <c r="G188" s="16"/>
      <c r="H188" s="16"/>
      <c r="I188" s="74" t="s">
        <v>380</v>
      </c>
      <c r="J188" s="3"/>
      <c r="K188" s="3"/>
      <c r="L188" s="3"/>
      <c r="M188" s="3"/>
    </row>
    <row r="189">
      <c r="A189" s="3"/>
      <c r="B189" s="2" t="s">
        <v>778</v>
      </c>
      <c r="C189" s="16"/>
      <c r="D189" s="16"/>
      <c r="E189" s="44">
        <v>-6</v>
      </c>
      <c r="F189" s="44">
        <v>-10</v>
      </c>
      <c r="G189" s="16"/>
      <c r="H189" s="16"/>
      <c r="I189" s="74"/>
      <c r="J189" s="3"/>
      <c r="K189" s="3"/>
      <c r="L189" s="3"/>
      <c r="M189" s="3"/>
    </row>
    <row r="190">
      <c r="A190" s="3"/>
      <c r="B190" s="2" t="s">
        <v>779</v>
      </c>
      <c r="C190" s="16"/>
      <c r="D190" s="16"/>
      <c r="E190" s="44">
        <v>-3929</v>
      </c>
      <c r="F190" s="44">
        <v>-4643</v>
      </c>
      <c r="G190" s="16"/>
      <c r="H190" s="16"/>
      <c r="I190" s="74" t="s">
        <v>780</v>
      </c>
      <c r="J190" s="3"/>
      <c r="K190" s="3"/>
      <c r="L190" s="3"/>
      <c r="M190" s="3"/>
    </row>
    <row r="191">
      <c r="A191" s="3"/>
      <c r="B191" s="2" t="s">
        <v>781</v>
      </c>
      <c r="C191" s="16"/>
      <c r="D191" s="16"/>
      <c r="E191" s="44">
        <v>3630</v>
      </c>
      <c r="F191" s="44">
        <v>4228</v>
      </c>
      <c r="G191" s="16"/>
      <c r="H191" s="16"/>
      <c r="I191" s="74" t="s">
        <v>385</v>
      </c>
      <c r="J191" s="3"/>
      <c r="K191" s="3"/>
      <c r="L191" s="3"/>
      <c r="M191" s="3"/>
    </row>
    <row r="192">
      <c r="A192" s="3"/>
      <c r="B192" s="2" t="s">
        <v>782</v>
      </c>
      <c r="C192" s="16"/>
      <c r="D192" s="16"/>
      <c r="E192" s="44">
        <v>1</v>
      </c>
      <c r="F192" s="44">
        <v>1</v>
      </c>
      <c r="G192" s="16"/>
      <c r="H192" s="16"/>
      <c r="I192" s="74"/>
      <c r="J192" s="3"/>
      <c r="K192" s="3"/>
      <c r="L192" s="3"/>
      <c r="M192" s="3"/>
    </row>
    <row r="193">
      <c r="A193" s="3"/>
      <c r="B193" s="2" t="s">
        <v>783</v>
      </c>
      <c r="C193" s="16"/>
      <c r="D193" s="16"/>
      <c r="E193" s="44">
        <v>0</v>
      </c>
      <c r="F193" s="44">
        <v>22</v>
      </c>
      <c r="G193" s="16"/>
      <c r="H193" s="16"/>
      <c r="I193" s="74"/>
      <c r="J193" s="3"/>
      <c r="K193" s="3"/>
      <c r="L193" s="3"/>
      <c r="M193" s="3"/>
    </row>
    <row r="194">
      <c r="A194" s="3"/>
      <c r="B194" s="2" t="s">
        <v>784</v>
      </c>
      <c r="C194" s="16"/>
      <c r="D194" s="16"/>
      <c r="E194" s="44">
        <v>-3</v>
      </c>
      <c r="F194" s="44">
        <v>0</v>
      </c>
      <c r="G194" s="16"/>
      <c r="H194" s="16"/>
      <c r="I194" s="74"/>
      <c r="J194" s="3"/>
      <c r="K194" s="3"/>
      <c r="L194" s="3"/>
      <c r="M194" s="3"/>
    </row>
    <row r="195">
      <c r="A195" s="3"/>
      <c r="B195" s="27" t="s">
        <v>389</v>
      </c>
      <c r="C195" s="23"/>
      <c r="D195" s="23"/>
      <c r="E195" s="23">
        <f>SUM(E187:E194)</f>
        <v>-314</v>
      </c>
      <c r="F195" s="23">
        <f>SUM(F187:F194)</f>
        <v>-404</v>
      </c>
      <c r="G195" s="23"/>
      <c r="H195" s="23"/>
      <c r="I195" s="87"/>
      <c r="J195" s="3"/>
      <c r="K195" s="3"/>
      <c r="L195" s="3"/>
      <c r="M195" s="3"/>
    </row>
    <row r="196">
      <c r="A196" s="3"/>
      <c r="B196" s="2" t="s">
        <v>785</v>
      </c>
      <c r="C196" s="16"/>
      <c r="D196" s="16"/>
      <c r="E196" s="44">
        <v>204</v>
      </c>
      <c r="F196" s="44">
        <v>92</v>
      </c>
      <c r="G196" s="16"/>
      <c r="H196" s="16"/>
      <c r="I196" s="74" t="s">
        <v>392</v>
      </c>
      <c r="J196" s="3"/>
      <c r="K196" s="3"/>
      <c r="L196" s="3"/>
      <c r="M196" s="3"/>
    </row>
    <row r="197">
      <c r="A197" s="3"/>
      <c r="B197" s="2" t="s">
        <v>786</v>
      </c>
      <c r="C197" s="16"/>
      <c r="D197" s="16"/>
      <c r="E197" s="44">
        <v>0</v>
      </c>
      <c r="F197" s="44">
        <v>0</v>
      </c>
      <c r="G197" s="16"/>
      <c r="H197" s="16"/>
      <c r="I197" s="74"/>
      <c r="J197" s="3"/>
      <c r="K197" s="3"/>
      <c r="L197" s="3"/>
      <c r="M197" s="3"/>
    </row>
    <row r="198">
      <c r="A198" s="3"/>
      <c r="B198" s="2" t="s">
        <v>787</v>
      </c>
      <c r="C198" s="16"/>
      <c r="D198" s="16"/>
      <c r="E198" s="44">
        <v>-22</v>
      </c>
      <c r="F198" s="44">
        <v>-22</v>
      </c>
      <c r="G198" s="16"/>
      <c r="H198" s="16"/>
      <c r="I198" s="74"/>
      <c r="J198" s="3"/>
      <c r="K198" s="3"/>
      <c r="L198" s="3"/>
      <c r="M198" s="3"/>
    </row>
    <row r="199">
      <c r="A199" s="3"/>
      <c r="B199" s="2" t="s">
        <v>788</v>
      </c>
      <c r="C199" s="16"/>
      <c r="D199" s="16"/>
      <c r="E199" s="44">
        <v>0</v>
      </c>
      <c r="F199" s="44">
        <v>0</v>
      </c>
      <c r="G199" s="16"/>
      <c r="H199" s="16"/>
      <c r="I199" s="74"/>
      <c r="J199" s="3"/>
      <c r="K199" s="3"/>
      <c r="L199" s="3"/>
      <c r="M199" s="3"/>
    </row>
    <row r="200">
      <c r="A200" s="3"/>
      <c r="B200" s="2" t="s">
        <v>789</v>
      </c>
      <c r="C200" s="16"/>
      <c r="D200" s="16"/>
      <c r="E200" s="44">
        <v>-56</v>
      </c>
      <c r="F200" s="44">
        <v>-59</v>
      </c>
      <c r="G200" s="16"/>
      <c r="H200" s="16"/>
      <c r="I200" s="74" t="s">
        <v>398</v>
      </c>
      <c r="J200" s="3"/>
      <c r="K200" s="3"/>
      <c r="L200" s="3"/>
      <c r="M200" s="3"/>
    </row>
    <row r="201">
      <c r="A201" s="3"/>
      <c r="B201" s="27" t="s">
        <v>399</v>
      </c>
      <c r="C201" s="23"/>
      <c r="D201" s="23"/>
      <c r="E201" s="23">
        <f>SUM(E196:E200)</f>
        <v>126</v>
      </c>
      <c r="F201" s="23">
        <f>SUM(F196:F200)</f>
        <v>11</v>
      </c>
      <c r="G201" s="23"/>
      <c r="H201" s="23"/>
      <c r="I201" s="87"/>
      <c r="J201" s="3"/>
      <c r="K201" s="3"/>
      <c r="L201" s="3"/>
      <c r="M201" s="3"/>
    </row>
    <row r="202">
      <c r="A202" s="3"/>
      <c r="B202" s="27" t="s">
        <v>400</v>
      </c>
      <c r="C202" s="23"/>
      <c r="D202" s="23"/>
      <c r="E202" s="23">
        <f>E186+E195+E201</f>
        <v>351</v>
      </c>
      <c r="F202" s="23">
        <f>F186+F195+F201</f>
        <v>316</v>
      </c>
      <c r="G202" s="23"/>
      <c r="H202" s="23"/>
      <c r="I202" s="87"/>
      <c r="J202" s="3"/>
      <c r="K202" s="3"/>
      <c r="L202" s="3"/>
      <c r="M202" s="3"/>
    </row>
    <row r="203">
      <c r="A203" s="3"/>
      <c r="B203" s="2" t="s">
        <v>401</v>
      </c>
      <c r="C203" s="16"/>
      <c r="D203" s="16"/>
      <c r="E203" s="44">
        <v>4781</v>
      </c>
      <c r="F203" s="44">
        <v>5019</v>
      </c>
      <c r="G203" s="16"/>
      <c r="H203" s="16"/>
      <c r="I203" s="74"/>
      <c r="J203" s="3"/>
      <c r="K203" s="3"/>
      <c r="L203" s="3"/>
      <c r="M203" s="3"/>
    </row>
    <row r="204" ht="14.624267578125">
      <c r="A204" s="3"/>
      <c r="B204" s="2" t="s">
        <v>402</v>
      </c>
      <c r="C204" s="16"/>
      <c r="D204" s="16"/>
      <c r="E204" s="44">
        <v>-113</v>
      </c>
      <c r="F204" s="44">
        <v>-174</v>
      </c>
      <c r="G204" s="16"/>
      <c r="H204" s="16"/>
      <c r="I204" s="74"/>
      <c r="J204" s="3"/>
      <c r="K204" s="3"/>
      <c r="L204" s="3"/>
      <c r="M204" s="3"/>
    </row>
    <row r="205">
      <c r="A205" s="3"/>
      <c r="B205" s="27" t="s">
        <v>403</v>
      </c>
      <c r="C205" s="23"/>
      <c r="D205" s="23"/>
      <c r="E205" s="23">
        <f>E203+E202+E204</f>
        <v>5019</v>
      </c>
      <c r="F205" s="23">
        <f>F203+F202+F204</f>
        <v>5161</v>
      </c>
      <c r="G205" s="23"/>
      <c r="H205" s="23"/>
      <c r="I205" s="87"/>
      <c r="J205" s="3"/>
      <c r="K205" s="3"/>
      <c r="L205" s="3"/>
      <c r="M205" s="3"/>
    </row>
    <row r="206">
      <c r="A206" s="3"/>
      <c r="B206" s="2" t="s">
        <v>790</v>
      </c>
      <c r="C206" s="16"/>
      <c r="D206" s="16"/>
      <c r="E206" s="44">
        <v>-6</v>
      </c>
      <c r="F206" s="44">
        <v>-10</v>
      </c>
      <c r="G206" s="16"/>
      <c r="H206" s="16"/>
      <c r="I206" s="74" t="s">
        <v>791</v>
      </c>
      <c r="J206" s="3"/>
      <c r="K206" s="3"/>
      <c r="L206" s="3"/>
      <c r="M206" s="3"/>
    </row>
    <row r="207">
      <c r="A207" s="3"/>
      <c r="B207" s="2" t="s">
        <v>792</v>
      </c>
      <c r="C207" s="16"/>
      <c r="D207" s="16"/>
      <c r="E207" s="44">
        <v>1</v>
      </c>
      <c r="F207" s="44">
        <v>1</v>
      </c>
      <c r="G207" s="16"/>
      <c r="H207" s="16"/>
      <c r="I207" s="74" t="s">
        <v>793</v>
      </c>
      <c r="J207" s="3"/>
      <c r="K207" s="3"/>
      <c r="L207" s="3"/>
      <c r="M207" s="3"/>
    </row>
    <row r="208" ht="23.24853515625">
      <c r="A208" s="3"/>
      <c r="B208" s="27" t="s">
        <v>794</v>
      </c>
      <c r="C208" s="23"/>
      <c r="D208" s="23"/>
      <c r="E208" s="23">
        <f>E186+E206+E207</f>
        <v>534</v>
      </c>
      <c r="F208" s="23">
        <f>F186+F206+F207</f>
        <v>700</v>
      </c>
      <c r="G208" s="23"/>
      <c r="H208" s="23"/>
      <c r="I208" s="87"/>
      <c r="J208" s="3"/>
      <c r="K208" s="3"/>
      <c r="L208" s="3"/>
      <c r="M208" s="3"/>
    </row>
    <row r="209">
      <c r="A209" s="3"/>
      <c r="B209" s="3"/>
      <c r="C209" s="3"/>
      <c r="D209" s="3"/>
      <c r="E209" s="3"/>
      <c r="F209" s="3"/>
      <c r="G209" s="3"/>
      <c r="H209" s="3"/>
      <c r="I209" s="2"/>
      <c r="J209" s="3"/>
      <c r="K209" s="3"/>
      <c r="L209" s="3"/>
      <c r="M209" s="3"/>
    </row>
    <row r="210">
      <c r="A210" s="3"/>
      <c r="B210" s="27" t="s">
        <v>795</v>
      </c>
      <c r="C210" s="15"/>
      <c r="D210" s="15"/>
      <c r="E210" s="15"/>
      <c r="F210" s="15"/>
      <c r="G210" s="15"/>
      <c r="H210" s="15"/>
      <c r="I210" s="73"/>
      <c r="J210" s="3"/>
      <c r="K210" s="3"/>
      <c r="L210" s="3"/>
      <c r="M210" s="3"/>
    </row>
    <row r="211">
      <c r="A211" s="3"/>
      <c r="B211" s="2" t="s">
        <v>796</v>
      </c>
      <c r="C211" s="100">
        <v>109.07</v>
      </c>
      <c r="D211" s="73" t="s">
        <v>797</v>
      </c>
      <c r="E211" s="73"/>
      <c r="F211" s="73"/>
      <c r="G211" s="73"/>
      <c r="H211" s="73"/>
      <c r="I211" s="73" t="s">
        <v>798</v>
      </c>
      <c r="J211" s="3"/>
      <c r="K211" s="3"/>
      <c r="L211" s="3"/>
      <c r="M211" s="3"/>
    </row>
    <row r="212" ht="14.624267578125">
      <c r="A212" s="3"/>
      <c r="B212" s="2" t="s">
        <v>799</v>
      </c>
      <c r="C212" s="73" t="s">
        <v>800</v>
      </c>
      <c r="D212" s="73"/>
      <c r="E212" s="73"/>
      <c r="F212" s="73"/>
      <c r="G212" s="73"/>
      <c r="H212" s="73"/>
      <c r="I212" s="73"/>
      <c r="J212" s="3"/>
      <c r="K212" s="3"/>
      <c r="L212" s="3"/>
      <c r="M212" s="3"/>
    </row>
    <row r="213" ht="14.624267578125">
      <c r="A213" s="3"/>
      <c r="B213" s="2" t="s">
        <v>801</v>
      </c>
      <c r="C213" s="73" t="s">
        <v>802</v>
      </c>
      <c r="D213" s="73"/>
      <c r="E213" s="73"/>
      <c r="F213" s="73"/>
      <c r="G213" s="73"/>
      <c r="H213" s="73"/>
      <c r="I213" s="73"/>
      <c r="J213" s="3"/>
      <c r="K213" s="3"/>
      <c r="L213" s="3"/>
      <c r="M213" s="3"/>
    </row>
    <row r="214">
      <c r="A214" s="3"/>
      <c r="B214" s="2" t="s">
        <v>803</v>
      </c>
      <c r="C214" s="89">
        <v>0.78</v>
      </c>
      <c r="D214" s="32"/>
      <c r="E214" s="32"/>
      <c r="F214" s="32"/>
      <c r="G214" s="32"/>
      <c r="H214" s="32"/>
      <c r="I214" s="85" t="s">
        <v>804</v>
      </c>
      <c r="J214" s="3"/>
      <c r="K214" s="3"/>
      <c r="L214" s="3"/>
      <c r="M214" s="3"/>
    </row>
    <row r="215">
      <c r="A215" s="3"/>
      <c r="B215" s="2" t="s">
        <v>805</v>
      </c>
      <c r="C215" s="102">
        <f>(Inputs!E100&gt;Inputs!D100)*1+(Inputs!E101&gt;Inputs!D101)*1+(Inputs!E102&gt;Inputs!D102)*1+(Inputs!E103&gt;Inputs!D103)*1+(Inputs!E104&gt;Inputs!D104)*1+(Inputs!E105&gt;Inputs!D105)*1</f>
        <v>3</v>
      </c>
      <c r="D215" s="73"/>
      <c r="E215" s="73"/>
      <c r="F215" s="73"/>
      <c r="G215" s="73"/>
      <c r="H215" s="73"/>
      <c r="I215" s="73" t="s">
        <v>806</v>
      </c>
      <c r="J215" s="3"/>
      <c r="K215" s="3"/>
      <c r="L215" s="3"/>
      <c r="M215" s="3"/>
    </row>
    <row r="216" ht="23.24853515625">
      <c r="A216" s="3"/>
      <c r="B216" s="2" t="s">
        <v>807</v>
      </c>
      <c r="C216" s="103">
        <f>COUNT(E100:E105)</f>
        <v>6</v>
      </c>
      <c r="D216" s="73"/>
      <c r="E216" s="73"/>
      <c r="F216" s="73"/>
      <c r="G216" s="73"/>
      <c r="H216" s="73"/>
      <c r="I216" s="73" t="s">
        <v>808</v>
      </c>
      <c r="J216" s="3"/>
      <c r="K216" s="3"/>
      <c r="L216" s="3"/>
      <c r="M216" s="3"/>
    </row>
    <row r="217">
      <c r="A217" s="3"/>
      <c r="B217" s="2" t="s">
        <v>809</v>
      </c>
      <c r="C217" s="100">
        <v>8</v>
      </c>
      <c r="D217" s="73"/>
      <c r="E217" s="73"/>
      <c r="F217" s="73"/>
      <c r="G217" s="73"/>
      <c r="H217" s="73"/>
      <c r="I217" s="73"/>
      <c r="J217" s="3"/>
      <c r="K217" s="3"/>
      <c r="L217" s="3"/>
      <c r="M217" s="3"/>
    </row>
    <row r="218">
      <c r="A218" s="3"/>
      <c r="B218" s="2" t="s">
        <v>810</v>
      </c>
      <c r="C218" s="32">
        <f>(C217*C214+C215)/(C217+C216)</f>
        <v>0.66</v>
      </c>
      <c r="D218" s="32"/>
      <c r="E218" s="32"/>
      <c r="F218" s="32"/>
      <c r="G218" s="32"/>
      <c r="H218" s="32"/>
      <c r="I218" s="85"/>
      <c r="J218" s="3"/>
      <c r="K218" s="3"/>
      <c r="L218" s="3"/>
      <c r="M218" s="3"/>
    </row>
    <row r="219">
      <c r="A219" s="3"/>
      <c r="B219" s="2" t="s">
        <v>811</v>
      </c>
      <c r="C219" s="89">
        <v>-0.44</v>
      </c>
      <c r="D219" s="32"/>
      <c r="E219" s="32"/>
      <c r="F219" s="32"/>
      <c r="G219" s="32"/>
      <c r="H219" s="32"/>
      <c r="I219" s="85" t="s">
        <v>812</v>
      </c>
      <c r="J219" s="3"/>
      <c r="K219" s="3"/>
      <c r="L219" s="3"/>
      <c r="M219" s="3"/>
    </row>
    <row r="220">
      <c r="A220" s="3"/>
      <c r="B220" s="27" t="s">
        <v>813</v>
      </c>
      <c r="C220" s="37">
        <f>ROUND(C218+C219,4)</f>
        <v>0.22</v>
      </c>
      <c r="D220" s="37"/>
      <c r="E220" s="37"/>
      <c r="F220" s="37"/>
      <c r="G220" s="37"/>
      <c r="H220" s="37"/>
      <c r="I220" s="83"/>
      <c r="J220" s="3"/>
      <c r="K220" s="3"/>
      <c r="L220" s="3"/>
      <c r="M220" s="3"/>
    </row>
    <row r="221">
      <c r="A221" s="3"/>
      <c r="B221" s="2" t="s">
        <v>44</v>
      </c>
      <c r="C221" s="73" t="s">
        <v>814</v>
      </c>
      <c r="D221" s="73"/>
      <c r="E221" s="73"/>
      <c r="F221" s="73"/>
      <c r="G221" s="73"/>
      <c r="H221" s="73"/>
      <c r="I221" s="73"/>
      <c r="J221" s="3"/>
      <c r="K221" s="3"/>
      <c r="L221" s="3"/>
      <c r="M221" s="3"/>
    </row>
    <row r="222" ht="23.24853515625">
      <c r="A222" s="3"/>
      <c r="B222" s="3"/>
      <c r="C222" s="3"/>
      <c r="D222" s="3"/>
      <c r="E222" s="3"/>
      <c r="F222" s="3"/>
      <c r="G222" s="3"/>
      <c r="H222" s="3"/>
      <c r="I222" s="2"/>
      <c r="J222" s="3"/>
      <c r="K222" s="3"/>
      <c r="L222" s="3"/>
      <c r="M222" s="3"/>
    </row>
    <row r="223" ht="23.24853515625">
      <c r="A223" s="3"/>
      <c r="B223" s="27" t="s">
        <v>815</v>
      </c>
      <c r="C223" s="15"/>
      <c r="D223" s="15"/>
      <c r="E223" s="15"/>
      <c r="F223" s="15"/>
      <c r="G223" s="15"/>
      <c r="H223" s="15"/>
      <c r="I223" s="73"/>
      <c r="J223" s="3"/>
      <c r="K223" s="3"/>
      <c r="L223" s="3"/>
      <c r="M223" s="3"/>
    </row>
    <row r="224">
      <c r="A224" s="3"/>
      <c r="B224" s="2" t="s">
        <v>816</v>
      </c>
      <c r="C224" s="72">
        <v>3.12</v>
      </c>
      <c r="D224" s="73" t="s">
        <v>817</v>
      </c>
      <c r="E224" s="73"/>
      <c r="F224" s="73"/>
      <c r="G224" s="73"/>
      <c r="H224" s="73"/>
      <c r="I224" s="73" t="s">
        <v>818</v>
      </c>
      <c r="J224" s="3"/>
      <c r="K224" s="3"/>
      <c r="L224" s="3"/>
      <c r="M224" s="3"/>
    </row>
    <row r="225">
      <c r="A225" s="3"/>
      <c r="B225" s="2" t="s">
        <v>819</v>
      </c>
      <c r="C225" s="72">
        <v>592</v>
      </c>
      <c r="D225" s="73" t="s">
        <v>820</v>
      </c>
      <c r="E225" s="73"/>
      <c r="F225" s="73"/>
      <c r="G225" s="73"/>
      <c r="H225" s="73"/>
      <c r="I225" s="73" t="s">
        <v>821</v>
      </c>
      <c r="J225" s="3"/>
      <c r="K225" s="3"/>
      <c r="L225" s="3"/>
      <c r="M225" s="3"/>
    </row>
    <row r="226">
      <c r="A226" s="3"/>
      <c r="B226" s="2" t="s">
        <v>822</v>
      </c>
      <c r="C226" s="72">
        <v>677.8</v>
      </c>
      <c r="D226" s="73" t="s">
        <v>823</v>
      </c>
      <c r="E226" s="73"/>
      <c r="F226" s="73"/>
      <c r="G226" s="73"/>
      <c r="H226" s="73"/>
      <c r="I226" s="73" t="s">
        <v>824</v>
      </c>
      <c r="J226" s="3"/>
      <c r="K226" s="3"/>
      <c r="L226" s="3"/>
      <c r="M226" s="3"/>
    </row>
    <row r="227">
      <c r="A227" s="3"/>
      <c r="B227" s="3"/>
      <c r="C227" s="3"/>
      <c r="D227" s="3"/>
      <c r="E227" s="3"/>
      <c r="F227" s="3"/>
      <c r="G227" s="3"/>
      <c r="H227" s="3"/>
      <c r="I227" s="2"/>
      <c r="J227" s="3"/>
      <c r="K227" s="3"/>
      <c r="L227" s="3"/>
      <c r="M227" s="3"/>
    </row>
    <row r="228">
      <c r="A228" s="3"/>
      <c r="B228" s="27" t="s">
        <v>825</v>
      </c>
      <c r="C228" s="15"/>
      <c r="D228" s="15"/>
      <c r="E228" s="15"/>
      <c r="F228" s="15"/>
      <c r="G228" s="15"/>
      <c r="H228" s="15"/>
      <c r="I228" s="73"/>
      <c r="J228" s="3"/>
      <c r="K228" s="3"/>
      <c r="L228" s="3"/>
      <c r="M228" s="3"/>
    </row>
    <row r="229">
      <c r="A229" s="3"/>
      <c r="B229" s="2" t="s">
        <v>826</v>
      </c>
      <c r="C229" s="66">
        <v>4439</v>
      </c>
      <c r="D229" s="73" t="s">
        <v>827</v>
      </c>
      <c r="E229" s="73"/>
      <c r="F229" s="73"/>
      <c r="G229" s="73"/>
      <c r="H229" s="73"/>
      <c r="I229" s="73"/>
      <c r="J229" s="3"/>
      <c r="K229" s="3"/>
      <c r="L229" s="3"/>
      <c r="M229" s="3"/>
    </row>
    <row r="230">
      <c r="A230" s="3"/>
      <c r="B230" s="2" t="s">
        <v>828</v>
      </c>
      <c r="C230" s="66">
        <v>7</v>
      </c>
      <c r="D230" s="73" t="s">
        <v>827</v>
      </c>
      <c r="E230" s="73"/>
      <c r="F230" s="73"/>
      <c r="G230" s="73"/>
      <c r="H230" s="73"/>
      <c r="I230" s="73"/>
      <c r="J230" s="3"/>
      <c r="K230" s="3"/>
      <c r="L230" s="3"/>
      <c r="M230" s="3"/>
    </row>
    <row r="231">
      <c r="A231" s="3"/>
      <c r="B231" s="2" t="s">
        <v>829</v>
      </c>
      <c r="C231" s="66">
        <v>6985</v>
      </c>
      <c r="D231" s="73" t="s">
        <v>827</v>
      </c>
      <c r="E231" s="73"/>
      <c r="F231" s="73"/>
      <c r="G231" s="73"/>
      <c r="H231" s="73"/>
      <c r="I231" s="73"/>
      <c r="J231" s="3"/>
      <c r="K231" s="3"/>
      <c r="L231" s="3"/>
      <c r="M231" s="3"/>
    </row>
    <row r="232">
      <c r="A232" s="3"/>
      <c r="B232" s="2" t="s">
        <v>830</v>
      </c>
      <c r="C232" s="66">
        <v>3242</v>
      </c>
      <c r="D232" s="73" t="s">
        <v>831</v>
      </c>
      <c r="E232" s="73"/>
      <c r="F232" s="73"/>
      <c r="G232" s="73"/>
      <c r="H232" s="73"/>
      <c r="I232" s="73"/>
      <c r="J232" s="3"/>
      <c r="K232" s="3"/>
      <c r="L232" s="3"/>
      <c r="M232" s="3"/>
    </row>
    <row r="233">
      <c r="A233" s="3"/>
      <c r="B233" s="2" t="s">
        <v>832</v>
      </c>
      <c r="C233" s="66">
        <v>6</v>
      </c>
      <c r="D233" s="73" t="s">
        <v>831</v>
      </c>
      <c r="E233" s="73"/>
      <c r="F233" s="73"/>
      <c r="G233" s="73"/>
      <c r="H233" s="73"/>
      <c r="I233" s="73"/>
      <c r="J233" s="3"/>
      <c r="K233" s="3"/>
      <c r="L233" s="3"/>
      <c r="M233" s="3"/>
    </row>
    <row r="234">
      <c r="A234" s="3"/>
      <c r="B234" s="2" t="s">
        <v>833</v>
      </c>
      <c r="C234" s="66">
        <v>5135</v>
      </c>
      <c r="D234" s="73" t="s">
        <v>831</v>
      </c>
      <c r="E234" s="73"/>
      <c r="F234" s="73"/>
      <c r="G234" s="73"/>
      <c r="H234" s="73"/>
      <c r="I234" s="73"/>
      <c r="J234" s="3"/>
      <c r="K234" s="3"/>
      <c r="L234" s="3"/>
      <c r="M234" s="3"/>
    </row>
    <row r="235">
      <c r="A235" s="3"/>
      <c r="B235" s="2" t="s">
        <v>834</v>
      </c>
      <c r="C235" s="66">
        <v>4829</v>
      </c>
      <c r="D235" s="73" t="s">
        <v>827</v>
      </c>
      <c r="E235" s="73"/>
      <c r="F235" s="73"/>
      <c r="G235" s="73"/>
      <c r="H235" s="73"/>
      <c r="I235" s="73"/>
      <c r="J235" s="3"/>
      <c r="K235" s="3"/>
      <c r="L235" s="3"/>
      <c r="M235" s="3"/>
    </row>
    <row r="236">
      <c r="A236" s="3"/>
      <c r="B236" s="2" t="s">
        <v>835</v>
      </c>
      <c r="C236" s="66">
        <v>9</v>
      </c>
      <c r="D236" s="73" t="s">
        <v>827</v>
      </c>
      <c r="E236" s="73"/>
      <c r="F236" s="73"/>
      <c r="G236" s="73"/>
      <c r="H236" s="73"/>
      <c r="I236" s="73"/>
      <c r="J236" s="3"/>
      <c r="K236" s="3"/>
      <c r="L236" s="3"/>
      <c r="M236" s="3"/>
    </row>
    <row r="237">
      <c r="A237" s="3"/>
      <c r="B237" s="2" t="s">
        <v>836</v>
      </c>
      <c r="C237" s="66">
        <v>7817</v>
      </c>
      <c r="D237" s="73" t="s">
        <v>827</v>
      </c>
      <c r="E237" s="73"/>
      <c r="F237" s="73"/>
      <c r="G237" s="73"/>
      <c r="H237" s="73"/>
      <c r="I237" s="73"/>
      <c r="J237" s="3"/>
      <c r="K237" s="3"/>
      <c r="L237" s="3"/>
      <c r="M237" s="3"/>
    </row>
    <row r="238">
      <c r="A238" s="3"/>
      <c r="B238" s="2" t="s">
        <v>837</v>
      </c>
      <c r="C238" s="66">
        <v>6470</v>
      </c>
      <c r="D238" s="73" t="s">
        <v>838</v>
      </c>
      <c r="E238" s="73"/>
      <c r="F238" s="73"/>
      <c r="G238" s="73"/>
      <c r="H238" s="73"/>
      <c r="I238" s="73"/>
      <c r="J238" s="3"/>
      <c r="K238" s="3"/>
      <c r="L238" s="3"/>
      <c r="M238" s="3"/>
    </row>
    <row r="239">
      <c r="A239" s="3"/>
      <c r="B239" s="2" t="s">
        <v>839</v>
      </c>
      <c r="C239" s="66">
        <v>13</v>
      </c>
      <c r="D239" s="73" t="s">
        <v>838</v>
      </c>
      <c r="E239" s="73"/>
      <c r="F239" s="73"/>
      <c r="G239" s="73"/>
      <c r="H239" s="73"/>
      <c r="I239" s="73"/>
      <c r="J239" s="3"/>
      <c r="K239" s="3"/>
      <c r="L239" s="3"/>
      <c r="M239" s="3"/>
    </row>
    <row r="240">
      <c r="A240" s="3"/>
      <c r="B240" s="2" t="s">
        <v>840</v>
      </c>
      <c r="C240" s="66">
        <v>10703</v>
      </c>
      <c r="D240" s="73" t="s">
        <v>838</v>
      </c>
      <c r="E240" s="73"/>
      <c r="F240" s="73"/>
      <c r="G240" s="73"/>
      <c r="H240" s="73"/>
      <c r="I240" s="73"/>
      <c r="J240" s="3"/>
      <c r="K240" s="3"/>
      <c r="L240" s="3"/>
      <c r="M240" s="3"/>
    </row>
    <row r="241">
      <c r="A241" s="3"/>
      <c r="B241" s="2" t="s">
        <v>841</v>
      </c>
      <c r="C241" s="66">
        <v>3326</v>
      </c>
      <c r="D241" s="73" t="s">
        <v>831</v>
      </c>
      <c r="E241" s="73"/>
      <c r="F241" s="73"/>
      <c r="G241" s="73"/>
      <c r="H241" s="73"/>
      <c r="I241" s="73"/>
      <c r="J241" s="3"/>
      <c r="K241" s="3"/>
      <c r="L241" s="3"/>
      <c r="M241" s="3"/>
    </row>
    <row r="242">
      <c r="A242" s="3"/>
      <c r="B242" s="2" t="s">
        <v>842</v>
      </c>
      <c r="C242" s="66">
        <v>7</v>
      </c>
      <c r="D242" s="73" t="s">
        <v>831</v>
      </c>
      <c r="E242" s="73"/>
      <c r="F242" s="73"/>
      <c r="G242" s="73"/>
      <c r="H242" s="73"/>
      <c r="I242" s="73"/>
      <c r="J242" s="3"/>
      <c r="K242" s="3"/>
      <c r="L242" s="3"/>
      <c r="M242" s="3"/>
    </row>
    <row r="243">
      <c r="A243" s="3"/>
      <c r="B243" s="2" t="s">
        <v>843</v>
      </c>
      <c r="C243" s="66">
        <v>5977</v>
      </c>
      <c r="D243" s="73" t="s">
        <v>831</v>
      </c>
      <c r="E243" s="73"/>
      <c r="F243" s="73"/>
      <c r="G243" s="73"/>
      <c r="H243" s="73"/>
      <c r="I243" s="73"/>
      <c r="J243" s="3"/>
      <c r="K243" s="3"/>
      <c r="L243" s="3"/>
      <c r="M243" s="3"/>
    </row>
    <row r="244">
      <c r="A244" s="3"/>
      <c r="B244" s="2" t="s">
        <v>844</v>
      </c>
      <c r="C244" s="66">
        <v>1.349216</v>
      </c>
      <c r="D244" s="73" t="s">
        <v>831</v>
      </c>
      <c r="E244" s="73"/>
      <c r="F244" s="73"/>
      <c r="G244" s="73"/>
      <c r="H244" s="73"/>
      <c r="I244" s="73"/>
      <c r="J244" s="3"/>
      <c r="K244" s="3"/>
      <c r="L244" s="3"/>
      <c r="M244" s="3"/>
    </row>
    <row r="245">
      <c r="A245" s="3"/>
      <c r="B245" s="3"/>
      <c r="C245" s="3"/>
      <c r="D245" s="3"/>
      <c r="E245" s="3"/>
      <c r="F245" s="3"/>
      <c r="G245" s="3"/>
      <c r="H245" s="3"/>
      <c r="I245" s="2"/>
      <c r="J245" s="3"/>
      <c r="K245" s="3"/>
      <c r="L245" s="3"/>
      <c r="M245" s="3"/>
    </row>
    <row r="246">
      <c r="A246" s="3"/>
      <c r="B246" s="3"/>
      <c r="C246" s="3"/>
      <c r="D246" s="3"/>
      <c r="E246" s="3"/>
      <c r="F246" s="3"/>
      <c r="G246" s="3"/>
      <c r="H246" s="3"/>
      <c r="I246" s="2"/>
      <c r="J246" s="3"/>
      <c r="K246" s="3"/>
      <c r="L246" s="3"/>
      <c r="M246" s="3"/>
    </row>
    <row r="247">
      <c r="A247" s="3"/>
      <c r="B247" s="3"/>
      <c r="C247" s="3"/>
      <c r="D247" s="3"/>
      <c r="E247" s="3"/>
      <c r="F247" s="3"/>
      <c r="G247" s="3"/>
      <c r="H247" s="3"/>
      <c r="I247" s="2"/>
      <c r="J247" s="3"/>
      <c r="K247" s="3"/>
      <c r="L247" s="3"/>
      <c r="M247" s="3"/>
    </row>
    <row r="248">
      <c r="I248" s="81"/>
    </row>
    <row r="249">
      <c r="I249" s="81"/>
    </row>
    <row r="250">
      <c r="I250" s="81"/>
    </row>
  </sheetData>
</worksheet>
</file>