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Space" sheetId="3" r:id="rId3"/>
    <sheet name="Segment - Connectivity" sheetId="4" r:id="rId4"/>
    <sheet name="Segment - AI" sheetId="5" r:id="rId5"/>
    <sheet name="Income Statement" sheetId="6" r:id="rId6"/>
    <sheet name="Balance Sheet" sheetId="7" r:id="rId7"/>
    <sheet name="Cash Flow Statement" sheetId="8" r:id="rId8"/>
    <sheet name="Share Count" sheetId="9" r:id="rId9"/>
    <sheet name="Guidance" sheetId="10" r:id="rId10"/>
    <sheet name="Sources" sheetId="11" r:id="rId11"/>
    <sheet name="Inputs" sheetId="12" r:id="rId12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C37" authorId="0">
      <text>
        <t>S6 SpaceX 424B4 prospectus | Revenue Q1 2025 $4,067 | 4,067</t>
      </text>
    </comment>
    <comment ref="D37" authorId="0">
      <text>
        <t>S3 SpaceX 10-Q Q2 2026 | Statement of Operations Revenue | 4,071</t>
      </text>
    </comment>
    <comment ref="F37" authorId="0">
      <text>
        <t>S6 SpaceX 424B4 prospectus | Revenue FY2025 $18,674 | 18,674</t>
      </text>
    </comment>
    <comment ref="G37" authorId="0">
      <text>
        <t>S6 SpaceX 424B4 prospectus | Revenue Q1 2026 $4,694 | 4,694</t>
      </text>
    </comment>
    <comment ref="H37" authorId="0">
      <text>
        <t>S3 SpaceX 10-Q Q2 2026 | Statement of Operations Revenue | 7,814</t>
      </text>
    </comment>
    <comment ref="D79" authorId="0">
      <text>
        <t>S3 SpaceX 10-Q Q2 2026 | Note 3 concentration Customer A | 16.7%</t>
      </text>
    </comment>
    <comment ref="H79" authorId="0">
      <text>
        <t>S3 SpaceX 10-Q Q2 2026 | Note 3 concentration Customer A | 18.3%</t>
      </text>
    </comment>
    <comment ref="H82" authorId="0">
      <text>
        <t>S3 SpaceX 10-Q Q2 2026 | Note 3 concentration Customer B | 19.5%</t>
      </text>
    </comment>
    <comment ref="H85" authorId="0">
      <text>
        <t>S3 SpaceX 10-Q Q2 2026 | Note 3 Backlog totaled | $ 47,461 million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9" authorId="0">
      <text>
        <t>S4 SpaceX Q2 2026 release | Space data 6M25 less Q2-25 (21-9) | 12</t>
      </text>
    </comment>
    <comment ref="D9" authorId="0">
      <text>
        <t>S4 SpaceX Q2 2026 release | Space operating data | 9</t>
      </text>
    </comment>
    <comment ref="G9" authorId="0">
      <text>
        <t>S4 SpaceX Q2 2026 release | Space operating data | 7</t>
      </text>
    </comment>
    <comment ref="H9" authorId="0">
      <text>
        <t>S4 SpaceX Q2 2026 release | Space operating data | 10</t>
      </text>
    </comment>
    <comment ref="C12" authorId="0">
      <text>
        <t>S4 SpaceX Q2 2026 release | 6M25 63 less Q2-25 37 | 26</t>
      </text>
    </comment>
    <comment ref="D12" authorId="0">
      <text>
        <t>S4 SpaceX Q2 2026 release | Space operating data | 37</t>
      </text>
    </comment>
    <comment ref="G12" authorId="0">
      <text>
        <t>S4 SpaceX Q2 2026 release | Space operating data | 33</t>
      </text>
    </comment>
    <comment ref="H12" authorId="0">
      <text>
        <t>S4 SpaceX Q2 2026 release | Space operating data | 28</t>
      </text>
    </comment>
    <comment ref="F15" authorId="0">
      <text>
        <t>S6 SpaceX 424B4 prospectus | Space segment data FY2025 launches | 170</t>
      </text>
    </comment>
    <comment ref="C21" authorId="0">
      <text>
        <t>S4 SpaceX Q2 2026 release | 6M25 163 less Q2-25 88 | 75</t>
      </text>
    </comment>
    <comment ref="D21" authorId="0">
      <text>
        <t>S4 SpaceX Q2 2026 release | Customer payloads | 88</t>
      </text>
    </comment>
    <comment ref="G21" authorId="0">
      <text>
        <t>S4 SpaceX Q2 2026 release | Customer payloads | 45</t>
      </text>
    </comment>
    <comment ref="H21" authorId="0">
      <text>
        <t>S4 SpaceX Q2 2026 release | Customer payloads | 87</t>
      </text>
    </comment>
    <comment ref="C27" authorId="0">
      <text>
        <t>S4 SpaceX Q2 2026 release | 6M25 938 less Q2-25 563 | 375</t>
      </text>
    </comment>
    <comment ref="D27" authorId="0">
      <text>
        <t>S4 SpaceX Q2 2026 release | Internal payloads | 563</t>
      </text>
    </comment>
    <comment ref="G27" authorId="0">
      <text>
        <t>S4 SpaceX Q2 2026 release | Internal payloads | 511</t>
      </text>
    </comment>
    <comment ref="H27" authorId="0">
      <text>
        <t>S4 SpaceX Q2 2026 release | Internal payloads | 397</t>
      </text>
    </comment>
    <comment ref="C30" authorId="0">
      <text>
        <t>S6 SpaceX 424B4 prospectus | Mass to Orbit Q1 2025 | 450</t>
      </text>
    </comment>
    <comment ref="D30" authorId="0">
      <text>
        <t>S4 SpaceX Q2 2026 release | Mass to orbit | 652</t>
      </text>
    </comment>
    <comment ref="F30" authorId="0">
      <text>
        <t>S6 SpaceX 424B4 prospectus | Mass to Orbit FY2025 | 2,213</t>
      </text>
    </comment>
    <comment ref="G30" authorId="0">
      <text>
        <t>S4 SpaceX Q2 2026 release | Mass to orbit | 556</t>
      </text>
    </comment>
    <comment ref="H30" authorId="0">
      <text>
        <t>S4 SpaceX Q2 2026 release | Mass to orbit | 485</t>
      </text>
    </comment>
    <comment ref="C38" authorId="0">
      <text>
        <t>S3 SpaceX 10-Q Q2 2026 | Note 3: 6M25 1,056 less Q2-25 490 | 566</t>
      </text>
    </comment>
    <comment ref="D38" authorId="0">
      <text>
        <t>S3 SpaceX 10-Q Q2 2026 | Note 3 Launch Services | 490</t>
      </text>
    </comment>
    <comment ref="F38" authorId="0">
      <text>
        <t>S7 Aardvark Labs S-1 analysis | FY2025 Launch Services | 2,576</t>
      </text>
    </comment>
    <comment ref="G38" authorId="0">
      <text>
        <t>S4 SpaceX Q2 2026 release | Launch services revenues | 330</t>
      </text>
    </comment>
    <comment ref="H38" authorId="0">
      <text>
        <t>S3 SpaceX 10-Q Q2 2026 | Note 3 Launch Services | 648</t>
      </text>
    </comment>
    <comment ref="C48" authorId="0">
      <text>
        <t>S3 SpaceX 10-Q Q2 2026 | Note 3: 6M25 555 less Q2-25 256 | 299</t>
      </text>
    </comment>
    <comment ref="D48" authorId="0">
      <text>
        <t>S3 SpaceX 10-Q Q2 2026 | Note 3 Launch &amp; Development | 256</t>
      </text>
    </comment>
    <comment ref="F48" authorId="0">
      <text>
        <t>S7 Aardvark Labs S-1 analysis | FY2025 Launch &amp; Development | 1,510</t>
      </text>
    </comment>
    <comment ref="G48" authorId="0">
      <text>
        <t>S4 SpaceX Q2 2026 release | Launch &amp; development revenues | 289</t>
      </text>
    </comment>
    <comment ref="H48" authorId="0">
      <text>
        <t>S3 SpaceX 10-Q Q2 2026 | Note 3 Launch &amp; Development | 314</t>
      </text>
    </comment>
    <comment ref="C67" authorId="0">
      <text>
        <t>S4 SpaceX Q2 2026 release | 6M25 627 less Q2-25 330 | 297</t>
      </text>
    </comment>
    <comment ref="D67" authorId="0">
      <text>
        <t>S4 SpaceX Q2 2026 release | Space cost of revenue | 330</t>
      </text>
    </comment>
    <comment ref="G67" authorId="0">
      <text>
        <t>S4 SpaceX Q2 2026 release | Space cost of revenue | 281</t>
      </text>
    </comment>
    <comment ref="H67" authorId="0">
      <text>
        <t>S4 SpaceX Q2 2026 release | Space cost of revenue | 329</t>
      </text>
    </comment>
    <comment ref="C73" authorId="0">
      <text>
        <t>S4 SpaceX Q2 2026 release | 6M25 1,219 less Q2-25 693 | 526</t>
      </text>
    </comment>
    <comment ref="D73" authorId="0">
      <text>
        <t>S4 SpaceX Q2 2026 release | Space R&amp;D | 693</t>
      </text>
    </comment>
    <comment ref="F73" authorId="0">
      <text>
        <t>S7 Aardvark Labs S-1 analysis | Space R&amp;D $3,004M FY2025 | 3,004</t>
      </text>
    </comment>
    <comment ref="G73" authorId="0">
      <text>
        <t>S4 SpaceX Q2 2026 release | Space R&amp;D | 930</t>
      </text>
    </comment>
    <comment ref="H73" authorId="0">
      <text>
        <t>S4 SpaceX Q2 2026 release | Space R&amp;D | 1,076</t>
      </text>
    </comment>
    <comment ref="C76" authorId="0">
      <text>
        <t>S4 SpaceX Q2 2026 release | 6M25 175 less Q2-25 87 | 88</t>
      </text>
    </comment>
    <comment ref="D76" authorId="0">
      <text>
        <t>S4 SpaceX Q2 2026 release | Space SG&amp;A | 87</t>
      </text>
    </comment>
    <comment ref="G76" authorId="0">
      <text>
        <t>S4 SpaceX Q2 2026 release | Space SG&amp;A | 70</t>
      </text>
    </comment>
    <comment ref="H76" authorId="0">
      <text>
        <t>S4 SpaceX Q2 2026 release | Space SG&amp;A | 99</t>
      </text>
    </comment>
    <comment ref="C79" authorId="0">
      <text>
        <t>S4 SpaceX Q2 2026 release | 6M25 29 less Q2-25 5 | 24</t>
      </text>
    </comment>
    <comment ref="D79" authorId="0">
      <text>
        <t>S4 SpaceX Q2 2026 release | Space impairment | 5</t>
      </text>
    </comment>
    <comment ref="G79" authorId="0">
      <text>
        <t>S4 SpaceX Q2 2026 release | Space impairment | 0</t>
      </text>
    </comment>
    <comment ref="H79" authorId="0">
      <text>
        <t>S4 SpaceX Q2 2026 release | Space impairment | 0</t>
      </text>
    </comment>
    <comment ref="F83" authorId="0">
      <text>
        <t>S6 SpaceX 424B4 prospectus | Space segment loss from operations FY2025 | (657)</t>
      </text>
    </comment>
    <comment ref="C87" authorId="0">
      <text>
        <t>S4 SpaceX Q2 2026 release | 6M25 308 less Q2-25 146 | 162</t>
      </text>
    </comment>
    <comment ref="D87" authorId="0">
      <text>
        <t>S4 SpaceX Q2 2026 release | Space D&amp;A | 146</t>
      </text>
    </comment>
    <comment ref="G87" authorId="0">
      <text>
        <t>S4 SpaceX Q2 2026 release | Space D&amp;A | 166</t>
      </text>
    </comment>
    <comment ref="H87" authorId="0">
      <text>
        <t>S4 SpaceX Q2 2026 release | Space D&amp;A | 158</t>
      </text>
    </comment>
    <comment ref="C90" authorId="0">
      <text>
        <t>S4 SpaceX Q2 2026 release | 6M25 233 less Q2-25 125 | 108</t>
      </text>
    </comment>
    <comment ref="D90" authorId="0">
      <text>
        <t>S4 SpaceX Q2 2026 release | Space SBC | 125</t>
      </text>
    </comment>
    <comment ref="G90" authorId="0">
      <text>
        <t>S4 SpaceX Q2 2026 release | Space SBC | 145</t>
      </text>
    </comment>
    <comment ref="H90" authorId="0">
      <text>
        <t>S4 SpaceX Q2 2026 release | Space SBC | 179</t>
      </text>
    </comment>
    <comment ref="F93" authorId="0">
      <text>
        <t>S6 SpaceX 424B4 prospectus | Space Segment Adjusted EBITDA FY2025 | 653</t>
      </text>
    </comment>
    <comment ref="C97" authorId="0">
      <text>
        <t>S6 SpaceX 424B4 prospectus | Capital Expenditures Space Q1 2025 | 759</t>
      </text>
    </comment>
    <comment ref="D97" authorId="0">
      <text>
        <t>S4 SpaceX Q2 2026 release | Space Capex | 946</t>
      </text>
    </comment>
    <comment ref="F97" authorId="0">
      <text>
        <t>S6 SpaceX 424B4 prospectus | Capital Expenditures Space FY2025 | 3,832</t>
      </text>
    </comment>
    <comment ref="G97" authorId="0">
      <text>
        <t>S4 SpaceX Q2 2026 release | Space Capex | 1,052</t>
      </text>
    </comment>
    <comment ref="H97" authorId="0">
      <text>
        <t>S4 SpaceX Q2 2026 release | Space Capex | 1,174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9" authorId="0">
      <text>
        <t>S6 SpaceX 424B4 prospectus | Starlink Subscribers FY2024 4.4 | 4.4</t>
      </text>
    </comment>
    <comment ref="C15" authorId="0">
      <text>
        <t>S6 SpaceX 424B4 prospectus | Starlink Subscribers Q1 2025 5.0 | 5</t>
      </text>
    </comment>
    <comment ref="D15" authorId="0">
      <text>
        <t>S4 SpaceX Q2 2026 release | Starlink Subscribers 6.0 | 6</t>
      </text>
    </comment>
    <comment ref="E15" authorId="0">
      <text>
        <t>S6 SpaceX 424B4 prospectus | Starlink Subscribers FY2025 8.9 | 8.9</t>
      </text>
    </comment>
    <comment ref="F15" authorId="0">
      <text>
        <t>S6 SpaceX 424B4 prospectus | Starlink Subscribers FY2025 8.9 | 8.9</t>
      </text>
    </comment>
    <comment ref="G15" authorId="0">
      <text>
        <t>S4 SpaceX Q2 2026 release | Starlink Subscribers 10.3 | 10.3</t>
      </text>
    </comment>
    <comment ref="H15" authorId="0">
      <text>
        <t>S4 SpaceX Q2 2026 release | Starlink Subscribers 12.0 | 12</t>
      </text>
    </comment>
    <comment ref="C22" authorId="0">
      <text>
        <t>S6 SpaceX 424B4 prospectus | Starlink ARPU Q1 2025 $86 | 86</t>
      </text>
    </comment>
    <comment ref="D22" authorId="0">
      <text>
        <t>S4 SpaceX Q2 2026 release | Starlink ARPU $85 | 85</t>
      </text>
    </comment>
    <comment ref="F22" authorId="0">
      <text>
        <t>S6 SpaceX 424B4 prospectus | Starlink ARPU FY2025 $81 | 81</t>
      </text>
    </comment>
    <comment ref="G22" authorId="0">
      <text>
        <t>S4 SpaceX Q2 2026 release | Starlink ARPU $66 | 66</t>
      </text>
    </comment>
    <comment ref="H22" authorId="0">
      <text>
        <t>S4 SpaceX Q2 2026 release | Starlink ARPU $66 | 66</t>
      </text>
    </comment>
    <comment ref="C42" authorId="0">
      <text>
        <t>S3 SpaceX 10-Q Q2 2026 | Note 3: 6M25 3,213 less Q2-25 1,721 | 1,492</t>
      </text>
    </comment>
    <comment ref="D42" authorId="0">
      <text>
        <t>S3 SpaceX 10-Q Q2 2026 | Note 3 Consumer | 1,721</t>
      </text>
    </comment>
    <comment ref="G42" authorId="0">
      <text>
        <t>S4 SpaceX Q2 2026 release | Consumer revenues | 2,148</t>
      </text>
    </comment>
    <comment ref="H42" authorId="0">
      <text>
        <t>S3 SpaceX 10-Q Q2 2026 | Note 3 Consumer | 2,485</t>
      </text>
    </comment>
    <comment ref="C52" authorId="0">
      <text>
        <t>S3 SpaceX 10-Q Q2 2026 | Note 3: 6M25 1,849 less Q2-25 867 | 982</t>
      </text>
    </comment>
    <comment ref="D52" authorId="0">
      <text>
        <t>S3 SpaceX 10-Q Q2 2026 | Note 3 Enterprise &amp; Government | 867</t>
      </text>
    </comment>
    <comment ref="F52" authorId="0">
      <text>
        <t>S7 Aardvark Labs S-1 analysis | E&amp;G revenue $4,179M 2025 | 4,179</t>
      </text>
    </comment>
    <comment ref="G52" authorId="0">
      <text>
        <t>S4 SpaceX Q2 2026 release | Enterprise &amp; government revenues | 1,109</t>
      </text>
    </comment>
    <comment ref="H52" authorId="0">
      <text>
        <t>S3 SpaceX 10-Q Q2 2026 | Note 3 Enterprise &amp; Government | 1,806</t>
      </text>
    </comment>
    <comment ref="F59" authorId="0">
      <text>
        <t>S6 SpaceX 424B4 prospectus | Connectivity revenue $11,387 million 2025 | 11,387</t>
      </text>
    </comment>
    <comment ref="C75" authorId="0">
      <text>
        <t>S3 SpaceX 10-Q Q2 2026 | Note 3: 6M25 755 less Q2-25 403 | 352</t>
      </text>
    </comment>
    <comment ref="D75" authorId="0">
      <text>
        <t>S3 SpaceX 10-Q Q2 2026 | Note 3 Products | 403</t>
      </text>
    </comment>
    <comment ref="G75" authorId="0">
      <text>
        <t>S3 SpaceX 10-Q Q2 2026 | Note 3: 6M26 841 less Q2-26 461 | 380</t>
      </text>
    </comment>
    <comment ref="H75" authorId="0">
      <text>
        <t>S3 SpaceX 10-Q Q2 2026 | Note 3 Products | 461</t>
      </text>
    </comment>
    <comment ref="C91" authorId="0">
      <text>
        <t>S4 SpaceX Q2 2026 release | 6M25 2,615 less Q2-25 1,401 | 1,214</t>
      </text>
    </comment>
    <comment ref="D91" authorId="0">
      <text>
        <t>S4 SpaceX Q2 2026 release | Connectivity cost of revenue | 1,401</t>
      </text>
    </comment>
    <comment ref="G91" authorId="0">
      <text>
        <t>S4 SpaceX Q2 2026 release | Connectivity cost of revenue | 1,651</t>
      </text>
    </comment>
    <comment ref="H91" authorId="0">
      <text>
        <t>S4 SpaceX Q2 2026 release | Connectivity cost of revenue | 2,060</t>
      </text>
    </comment>
    <comment ref="C97" authorId="0">
      <text>
        <t>S4 SpaceX Q2 2026 release | 6M25 266 less Q2-25 143 | 123</t>
      </text>
    </comment>
    <comment ref="D97" authorId="0">
      <text>
        <t>S4 SpaceX Q2 2026 release | Connectivity R&amp;D | 143</t>
      </text>
    </comment>
    <comment ref="G97" authorId="0">
      <text>
        <t>S4 SpaceX Q2 2026 release | Connectivity R&amp;D | 205</t>
      </text>
    </comment>
    <comment ref="H97" authorId="0">
      <text>
        <t>S4 SpaceX Q2 2026 release | Connectivity R&amp;D | 294</t>
      </text>
    </comment>
    <comment ref="C100" authorId="0">
      <text>
        <t>S4 SpaceX Q2 2026 release | 6M25 225 less Q2-25 121 | 104</t>
      </text>
    </comment>
    <comment ref="D100" authorId="0">
      <text>
        <t>S4 SpaceX Q2 2026 release | Connectivity SG&amp;A | 121</t>
      </text>
    </comment>
    <comment ref="G100" authorId="0">
      <text>
        <t>S4 SpaceX Q2 2026 release | Connectivity SG&amp;A | 213</t>
      </text>
    </comment>
    <comment ref="H100" authorId="0">
      <text>
        <t>S4 SpaceX Q2 2026 release | Connectivity SG&amp;A | 281</t>
      </text>
    </comment>
    <comment ref="F104" authorId="0">
      <text>
        <t>S6 SpaceX 424B4 prospectus | Connectivity segment income from operations FY2025 | 4,423</t>
      </text>
    </comment>
    <comment ref="C108" authorId="0">
      <text>
        <t>S4 SpaceX Q2 2026 release | 6M25 1,078 less Q2-25 569 | 509</t>
      </text>
    </comment>
    <comment ref="D108" authorId="0">
      <text>
        <t>S4 SpaceX Q2 2026 release | Connectivity D&amp;A | 569</t>
      </text>
    </comment>
    <comment ref="G108" authorId="0">
      <text>
        <t>S4 SpaceX Q2 2026 release | Connectivity D&amp;A | 783</t>
      </text>
    </comment>
    <comment ref="H108" authorId="0">
      <text>
        <t>S4 SpaceX Q2 2026 release | Connectivity D&amp;A | 805</t>
      </text>
    </comment>
    <comment ref="C111" authorId="0">
      <text>
        <t>S4 SpaceX Q2 2026 release | 6M25 166 less Q2-25 91 | 75</t>
      </text>
    </comment>
    <comment ref="D111" authorId="0">
      <text>
        <t>S4 SpaceX Q2 2026 release | Connectivity SBC | 91</t>
      </text>
    </comment>
    <comment ref="G111" authorId="0">
      <text>
        <t>S4 SpaceX Q2 2026 release | Connectivity SBC | 116</t>
      </text>
    </comment>
    <comment ref="H111" authorId="0">
      <text>
        <t>S4 SpaceX Q2 2026 release | Connectivity SBC | 136</t>
      </text>
    </comment>
    <comment ref="F114" authorId="0">
      <text>
        <t>S6 SpaceX 424B4 prospectus | Connectivity Segment Adjusted EBITDA FY2025 | 7,168</t>
      </text>
    </comment>
    <comment ref="C118" authorId="0">
      <text>
        <t>S6 SpaceX 424B4 prospectus | Capital Expenditures Connectivity Q1 2025 | 814</t>
      </text>
    </comment>
    <comment ref="D118" authorId="0">
      <text>
        <t>S4 SpaceX Q2 2026 release | Connectivity Capex | 1,130</t>
      </text>
    </comment>
    <comment ref="F118" authorId="0">
      <text>
        <t>S6 SpaceX 424B4 prospectus | Capital Expenditures Connectivity FY2025 | 4,178</t>
      </text>
    </comment>
    <comment ref="G118" authorId="0">
      <text>
        <t>S4 SpaceX Q2 2026 release | Connectivity Capex | 1,332</t>
      </text>
    </comment>
    <comment ref="H118" authorId="0">
      <text>
        <t>S4 SpaceX Q2 2026 release | Connectivity Capex | 1,367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9" authorId="0">
      <text>
        <t>S6 SpaceX 424B4 prospectus | Nameplate compute draw Q1 2025 0.3 | 0.3</t>
      </text>
    </comment>
    <comment ref="D9" authorId="0">
      <text>
        <t>S4 SpaceX Q2 2026 release | Nameplate compute 0.4 | 0.4</t>
      </text>
    </comment>
    <comment ref="E9" authorId="0">
      <text>
        <t>S6 SpaceX 424B4 prospectus | Nameplate compute draw FY2025 0.8 | 0.8</t>
      </text>
    </comment>
    <comment ref="F9" authorId="0">
      <text>
        <t>S6 SpaceX 424B4 prospectus | Nameplate compute draw FY2025 0.8 | 0.8</t>
      </text>
    </comment>
    <comment ref="G9" authorId="0">
      <text>
        <t>S4 SpaceX Q2 2026 release | Nameplate compute 1.0 | 1</t>
      </text>
    </comment>
    <comment ref="H9" authorId="0">
      <text>
        <t>S4 SpaceX Q2 2026 release | Nameplate compute 1.4 | 1.4</t>
      </text>
    </comment>
    <comment ref="I14" authorId="0">
      <text>
        <t>S10 Axios 2026-05-20 | Anthropic monthly payment | $1.25 billion per month</t>
      </text>
    </comment>
    <comment ref="I27" authorId="0">
      <text>
        <t>S9 SpaceX FWP 2026-06-05 | Google monthly payment | $920 million per month from October 2026</t>
      </text>
    </comment>
    <comment ref="I40" authorId="0">
      <text>
        <t>S11 CNBC 2026-06-22 | Reflection monthly payment | $150 million per month starting July 1, 2026</t>
      </text>
    </comment>
    <comment ref="H50" authorId="0">
      <text>
        <t>S3 SpaceX 10-Q Q2 2026 | MD&amp;A AI revenue: increase in AI infrastructure revenue of $1,600 million | 1,600</t>
      </text>
    </comment>
    <comment ref="I70" authorId="0">
      <text>
        <t>S12 SpaceX 8-K 2026-08-14 | Effective Time | August 14, 2026</t>
      </text>
    </comment>
    <comment ref="C80" authorId="0">
      <text>
        <t>S3 SpaceX 10-Q Q2 2026 | Note 3: 6M25 595 less Q2-25 311 | 284</t>
      </text>
    </comment>
    <comment ref="D80" authorId="0">
      <text>
        <t>S3 SpaceX 10-Q Q2 2026 | Note 3 AI Solutions &amp; Infrastructure | 311</t>
      </text>
    </comment>
    <comment ref="F80" authorId="0">
      <text>
        <t>S7 Aardvark Labs S-1 analysis | AI Solutions &amp; Infrastructure $1,357M | 1,357</t>
      </text>
    </comment>
    <comment ref="G80" authorId="0">
      <text>
        <t>S4 SpaceX Q2 2026 release | AI solutions &amp; infrastructure revenues | 475</t>
      </text>
    </comment>
    <comment ref="H80" authorId="0">
      <text>
        <t>S3 SpaceX 10-Q Q2 2026 | Note 3 AI Solutions &amp; Infrastructure | 2,194</t>
      </text>
    </comment>
    <comment ref="C90" authorId="0">
      <text>
        <t>S3 SpaceX 10-Q Q2 2026 | Note 3: 6M25 870 less Q2-25 426 | 444</t>
      </text>
    </comment>
    <comment ref="D90" authorId="0">
      <text>
        <t>S3 SpaceX 10-Q Q2 2026 | Note 3 Advertising | 426</t>
      </text>
    </comment>
    <comment ref="F90" authorId="0">
      <text>
        <t>S7 Aardvark Labs S-1 analysis | X advertising ($1,844M) | 1,844</t>
      </text>
    </comment>
    <comment ref="G90" authorId="0">
      <text>
        <t>S4 SpaceX Q2 2026 release | Advertising revenues | 343</t>
      </text>
    </comment>
    <comment ref="H90" authorId="0">
      <text>
        <t>S3 SpaceX 10-Q Q2 2026 | Note 3 Advertising | 367</t>
      </text>
    </comment>
    <comment ref="C121" authorId="0">
      <text>
        <t>S4 SpaceX Q2 2026 release | 6M25 1,002 less Q2-25 551 | 451</t>
      </text>
    </comment>
    <comment ref="D121" authorId="0">
      <text>
        <t>S4 SpaceX Q2 2026 release | AI cost of revenue | 551</t>
      </text>
    </comment>
    <comment ref="G121" authorId="0">
      <text>
        <t>S4 SpaceX Q2 2026 release | AI cost of revenue | 456</t>
      </text>
    </comment>
    <comment ref="H121" authorId="0">
      <text>
        <t>S4 SpaceX Q2 2026 release | AI cost of revenue | 1,106</t>
      </text>
    </comment>
    <comment ref="C133" authorId="0">
      <text>
        <t>S4 SpaceX Q2 2026 release | 6M25 2,030 less Q2-25 1,122 | 908</t>
      </text>
    </comment>
    <comment ref="D133" authorId="0">
      <text>
        <t>S4 SpaceX Q2 2026 release | AI R&amp;D | 1,122</t>
      </text>
    </comment>
    <comment ref="G133" authorId="0">
      <text>
        <t>S4 SpaceX Q2 2026 release | AI R&amp;D | 2,379</t>
      </text>
    </comment>
    <comment ref="H133" authorId="0">
      <text>
        <t>S4 SpaceX Q2 2026 release | AI R&amp;D | 2,178</t>
      </text>
    </comment>
    <comment ref="C142" authorId="0">
      <text>
        <t>S4 SpaceX Q2 2026 release | 6M25 699 less Q2-25 398 | 301</t>
      </text>
    </comment>
    <comment ref="D142" authorId="0">
      <text>
        <t>S4 SpaceX Q2 2026 release | AI SG&amp;A | 398</t>
      </text>
    </comment>
    <comment ref="G142" authorId="0">
      <text>
        <t>S4 SpaceX Q2 2026 release | AI SG&amp;A | 463</t>
      </text>
    </comment>
    <comment ref="H142" authorId="0">
      <text>
        <t>S4 SpaceX Q2 2026 release | AI SG&amp;A | 532</t>
      </text>
    </comment>
    <comment ref="C145" authorId="0">
      <text>
        <t>S4 SpaceX Q2 2026 release | 6M25 194 less Q2-25 190 | 4</t>
      </text>
    </comment>
    <comment ref="D145" authorId="0">
      <text>
        <t>S4 SpaceX Q2 2026 release | AI restructuring | 190</t>
      </text>
    </comment>
    <comment ref="G145" authorId="0">
      <text>
        <t>S4 SpaceX Q2 2026 release | AI restructuring (credits) | (11)</t>
      </text>
    </comment>
    <comment ref="H145" authorId="0">
      <text>
        <t>S4 SpaceX Q2 2026 release | AI restructuring | 2</t>
      </text>
    </comment>
    <comment ref="F149" authorId="0">
      <text>
        <t>S6 SpaceX 424B4 prospectus | AI segment loss from operations FY2025 | (6,355)</t>
      </text>
    </comment>
    <comment ref="C156" authorId="0">
      <text>
        <t>S4 SpaceX Q2 2026 release | 6M25 1,584 less Q2-25 811 | 773</t>
      </text>
    </comment>
    <comment ref="D156" authorId="0">
      <text>
        <t>S4 SpaceX Q2 2026 release | AI D&amp;A | 811</t>
      </text>
    </comment>
    <comment ref="G156" authorId="0">
      <text>
        <t>S4 SpaceX Q2 2026 release | AI D&amp;A | 1,493</t>
      </text>
    </comment>
    <comment ref="H156" authorId="0">
      <text>
        <t>S4 SpaceX Q2 2026 release | AI D&amp;A | 1,885</t>
      </text>
    </comment>
    <comment ref="C159" authorId="0">
      <text>
        <t>S4 SpaceX Q2 2026 release | 6M25 295 less Q2-25 247 | 48</t>
      </text>
    </comment>
    <comment ref="D159" authorId="0">
      <text>
        <t>S4 SpaceX Q2 2026 release | AI SBC | 247</t>
      </text>
    </comment>
    <comment ref="G159" authorId="0">
      <text>
        <t>S4 SpaceX Q2 2026 release | AI SBC | 378</t>
      </text>
    </comment>
    <comment ref="H159" authorId="0">
      <text>
        <t>S4 SpaceX Q2 2026 release | AI SBC | 516</t>
      </text>
    </comment>
    <comment ref="F162" authorId="0">
      <text>
        <t>S6 SpaceX 424B4 prospectus | AI Segment Adjusted EBITDA FY2025 | (1,237)</t>
      </text>
    </comment>
    <comment ref="C166" authorId="0">
      <text>
        <t>S6 SpaceX 424B4 prospectus | Capital Expenditures AI Q1 2025 | 2,567</t>
      </text>
    </comment>
    <comment ref="D166" authorId="0">
      <text>
        <t>S4 SpaceX Q2 2026 release | AI Capex | 749</t>
      </text>
    </comment>
    <comment ref="F166" authorId="0">
      <text>
        <t>S6 SpaceX 424B4 prospectus | Capital Expenditures AI FY2025 | 12,727</t>
      </text>
    </comment>
    <comment ref="G166" authorId="0">
      <text>
        <t>S4 SpaceX Q2 2026 release | AI Capex | 7,723</t>
      </text>
    </comment>
    <comment ref="H166" authorId="0">
      <text>
        <t>S4 SpaceX Q2 2026 release | AI Capex | 15,828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F16" authorId="0">
      <text>
        <t>S7 Aardvark Labs S-1 analysis | FY2025 Cost of revenue | 9,451</t>
      </text>
    </comment>
    <comment ref="F23" authorId="0">
      <text>
        <t>S7 Aardvark Labs S-1 analysis | FY2025 Research and development | 8,643</t>
      </text>
    </comment>
    <comment ref="F29" authorId="0">
      <text>
        <t>S7 Aardvark Labs S-1 analysis | FY2025 Selling, general, and administrative | 2,644</t>
      </text>
    </comment>
    <comment ref="F35" authorId="0">
      <text>
        <t>S7 Aardvark Labs S-1 analysis | FY2025 Restructuring charges | 487</t>
      </text>
    </comment>
    <comment ref="F38" authorId="0">
      <text>
        <t>S7 Aardvark Labs S-1 analysis | FY2025 Impairment | 38</t>
      </text>
    </comment>
    <comment ref="C48" authorId="0">
      <text>
        <t>S6 SpaceX 424B4 prospectus | Q1 2025 Interest expense (S-1 interim comparative) | 447</t>
      </text>
    </comment>
    <comment ref="D48" authorId="0">
      <text>
        <t>S3 SpaceX 10-Q Q2 2026 | Statement of Operations Interest expense | 411</t>
      </text>
    </comment>
    <comment ref="F48" authorId="0">
      <text>
        <t>S7 Aardvark Labs S-1 analysis | FY2025 Interest expense | 1,945</t>
      </text>
    </comment>
    <comment ref="G48" authorId="0">
      <text>
        <t>S6 SpaceX 424B4 prospectus | Q1 2026 Interest expense | 664</t>
      </text>
    </comment>
    <comment ref="H48" authorId="0">
      <text>
        <t>S3 SpaceX 10-Q Q2 2026 | Statement of Operations Interest expense | 629</t>
      </text>
    </comment>
    <comment ref="C51" authorId="0">
      <text>
        <t>S6 SpaceX 424B4 prospectus | Q1 2025 Interest income (S-1 interim comparative) | 117</t>
      </text>
    </comment>
    <comment ref="D51" authorId="0">
      <text>
        <t>S3 SpaceX 10-Q Q2 2026 | Statement of Operations Interest income | 98</t>
      </text>
    </comment>
    <comment ref="F51" authorId="0">
      <text>
        <t>S7 Aardvark Labs S-1 analysis | FY2025 Interest income | 492</t>
      </text>
    </comment>
    <comment ref="G51" authorId="0">
      <text>
        <t>S6 SpaceX 424B4 prospectus | Q1 2026 Interest income | 213</t>
      </text>
    </comment>
    <comment ref="H51" authorId="0">
      <text>
        <t>S3 SpaceX 10-Q Q2 2026 | Statement of Operations Interest income | 340</t>
      </text>
    </comment>
    <comment ref="C56" authorId="0">
      <text>
        <t>S6 SpaceX 424B4 prospectus | Q1 2025 Other income (expense), net (S-1 interim comparative) | (211)</t>
      </text>
    </comment>
    <comment ref="D56" authorId="0">
      <text>
        <t>S3 SpaceX 10-Q Q2 2026 | Statement of Operations Other income (expense), net | 413</t>
      </text>
    </comment>
    <comment ref="F56" authorId="0">
      <text>
        <t>S7 Aardvark Labs S-1 analysis | FY2025 Other income (expense), net | (177)</t>
      </text>
    </comment>
    <comment ref="G56" authorId="0">
      <text>
        <t>S6 SpaceX 424B4 prospectus | Q1 2026 Other income (expense), net | (1,876)</t>
      </text>
    </comment>
    <comment ref="H56" authorId="0">
      <text>
        <t>S3 SpaceX 10-Q Q2 2026 | Statement of Operations Other income (expense), net | (86)</t>
      </text>
    </comment>
    <comment ref="C58" authorId="0">
      <text>
        <t>S6 SpaceX 424B4 prospectus | Q1 2025 Provision for income taxes (S-1 interim comparative) | 14</t>
      </text>
    </comment>
    <comment ref="D58" authorId="0">
      <text>
        <t>S3 SpaceX 10-Q Q2 2026 | Statement of Operations Provision for income taxes | 138</t>
      </text>
    </comment>
    <comment ref="F58" authorId="0">
      <text>
        <t>S7 Aardvark Labs S-1 analysis | FY2025 Provision for income taxes | 718</t>
      </text>
    </comment>
    <comment ref="G58" authorId="0">
      <text>
        <t>S6 SpaceX 424B4 prospectus | Q1 2026 Provision for income taxes | 6</t>
      </text>
    </comment>
    <comment ref="H58" authorId="0">
      <text>
        <t>S3 SpaceX 10-Q Q2 2026 | Statement of Operations Provision for income taxes | 23</t>
      </text>
    </comment>
    <comment ref="C68" authorId="0">
      <text>
        <t>S6 SpaceX 424B4 prospectus | Q1 2025 Net income (loss) (S-1 interim comparative) | (528)</t>
      </text>
    </comment>
    <comment ref="D68" authorId="0">
      <text>
        <t>S3 SpaceX 10-Q Q2 2026 | Statement of Operations Net income (loss) | (1,008)</t>
      </text>
    </comment>
    <comment ref="F68" authorId="0">
      <text>
        <t>S6 SpaceX 424B4 prospectus | FY2025 Net income (loss) | (4,937)</t>
      </text>
    </comment>
    <comment ref="G68" authorId="0">
      <text>
        <t>S6 SpaceX 424B4 prospectus | Q1 2026 Net income (loss) | (4,276)</t>
      </text>
    </comment>
    <comment ref="H68" authorId="0">
      <text>
        <t>S3 SpaceX 10-Q Q2 2026 | Statement of Operations Net income (loss) | (541)</t>
      </text>
    </comment>
    <comment ref="G70" authorId="0">
      <text>
        <t>S3 SpaceX 10-Q Q2 2026 | Note 13: 6M26 deemed dividend 671; Q2 nil | 671</t>
      </text>
    </comment>
    <comment ref="C77" authorId="0">
      <text>
        <t>S6 SpaceX 424B4 prospectus | Diluted EPS Q1 2025 | $(0.18)</t>
      </text>
    </comment>
    <comment ref="D77" authorId="0">
      <text>
        <t>S3 SpaceX 10-Q Q2 2026 | Net loss per share Basic and Diluted | $(0.34)</t>
      </text>
    </comment>
    <comment ref="F77" authorId="0">
      <text>
        <t>S6 SpaceX 424B4 prospectus | Diluted EPS FY2025 | $(1.69)</t>
      </text>
    </comment>
    <comment ref="G77" authorId="0">
      <text>
        <t>S6 SpaceX 424B4 prospectus | Diluted EPS Q1 2026 | $(1.27)</t>
      </text>
    </comment>
    <comment ref="H77" authorId="0">
      <text>
        <t>S3 SpaceX 10-Q Q2 2026 | Net loss per share Basic and Diluted | $(0.09)</t>
      </text>
    </comment>
    <comment ref="G83" authorId="0">
      <text>
        <t>S3 SpaceX 10-Q Q2 2026 | Note: X/xAI loans extinguishment loss $1,526M (Feb-26) + rounding; 6M26 total 1,545 | 1,527</t>
      </text>
    </comment>
    <comment ref="H83" authorId="0">
      <text>
        <t>S3 SpaceX 10-Q Q2 2026 | Bridge loan extinguishment loss $ 18 million | 18</t>
      </text>
    </comment>
    <comment ref="F101" authorId="0">
      <text>
        <t>S6 SpaceX 424B4 prospectus | Adjusted EBITDA $6,584 million 2025 | 6,584</t>
      </text>
    </comment>
    <comment ref="H119" authorId="0">
      <text>
        <t>S3 SpaceX 10-Q Q2 2026 | Note: held 18,712 units of Bitcoin | 18,712</t>
      </text>
    </comment>
    <comment ref="I122" authorId="0">
      <text>
        <t>S18 StatMuse BTC history | June 30 2026 close | $58,558.86</t>
      </text>
    </comment>
    <comment ref="I125" authorId="0">
      <text>
        <t>S18 StatMuse BTC history | September 30 2026 close | $83,553.85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F9" authorId="0">
      <text>
        <t>S3 SpaceX 10-Q Q2 2026 | Balance Sheet Dec 31 2025 Cash and cash equivalents | 24,747</t>
      </text>
    </comment>
    <comment ref="G9" authorId="0">
      <text>
        <t>S6 SpaceX 424B4 prospectus | Balance Sheet Data March 31 2026 Cash and cash equivalents | 15,852</t>
      </text>
    </comment>
    <comment ref="H9" authorId="0">
      <text>
        <t>S3 SpaceX 10-Q Q2 2026 | Balance Sheet Jun 30 2026 Cash and cash equivalents | 93,522</t>
      </text>
    </comment>
    <comment ref="F10" authorId="0">
      <text>
        <t>S3 SpaceX 10-Q Q2 2026 | Balance Sheet Dec 31 2025 Marketable securities | 0</t>
      </text>
    </comment>
    <comment ref="G10" authorId="0">
      <text>
        <t>S7 Aardvark Labs S-1 analysis | cash and short-term securities $23,675M at March 31 2026 less cash $15,852M | 7,823</t>
      </text>
    </comment>
    <comment ref="H10" authorId="0">
      <text>
        <t>S3 SpaceX 10-Q Q2 2026 | Balance Sheet Jun 30 2026 Marketable securities | 6,487</t>
      </text>
    </comment>
    <comment ref="F11" authorId="0">
      <text>
        <t>S3 SpaceX 10-Q Q2 2026 | Balance Sheet Dec 31 2025 Accounts receivable, net | 1,579</t>
      </text>
    </comment>
    <comment ref="H11" authorId="0">
      <text>
        <t>S3 SpaceX 10-Q Q2 2026 | Balance Sheet Jun 30 2026 Accounts receivable, net | 3,596</t>
      </text>
    </comment>
    <comment ref="F12" authorId="0">
      <text>
        <t>S3 SpaceX 10-Q Q2 2026 | Balance Sheet Dec 31 2025 Inventory | 2,416</t>
      </text>
    </comment>
    <comment ref="H12" authorId="0">
      <text>
        <t>S3 SpaceX 10-Q Q2 2026 | Balance Sheet Jun 30 2026 Inventory | 2,718</t>
      </text>
    </comment>
    <comment ref="F13" authorId="0">
      <text>
        <t>S3 SpaceX 10-Q Q2 2026 | Balance Sheet Dec 31 2025 Prepaid expenses and other current assets | 2,210</t>
      </text>
    </comment>
    <comment ref="H13" authorId="0">
      <text>
        <t>S3 SpaceX 10-Q Q2 2026 | Balance Sheet Jun 30 2026 Prepaid expenses and other current assets | 1,724</t>
      </text>
    </comment>
    <comment ref="G15" authorId="0">
      <text>
        <t>S6 SpaceX 424B4 prospectus | Balance Sheet Data Total current assets March 31 2026 | 29,732</t>
      </text>
    </comment>
    <comment ref="F16" authorId="0">
      <text>
        <t>S3 SpaceX 10-Q Q2 2026 | Balance Sheet Dec 31 2025 Property, plant and equipment, net | 42,602</t>
      </text>
    </comment>
    <comment ref="G16" authorId="0">
      <text>
        <t>S6 SpaceX 424B4 prospectus | Balance Sheet Data March 31 2026 Property, plant and equipment, net | 53,879</t>
      </text>
    </comment>
    <comment ref="H16" authorId="0">
      <text>
        <t>S3 SpaceX 10-Q Q2 2026 | Balance Sheet Jun 30 2026 Property, plant and equipment, net | 65,736</t>
      </text>
    </comment>
    <comment ref="F17" authorId="0">
      <text>
        <t>S3 SpaceX 10-Q Q2 2026 | Balance Sheet Dec 31 2025 Finance lease right-of-use assets | 1,260</t>
      </text>
    </comment>
    <comment ref="H17" authorId="0">
      <text>
        <t>S3 SpaceX 10-Q Q2 2026 | Balance Sheet Jun 30 2026 Finance lease right-of-use assets | 1,118</t>
      </text>
    </comment>
    <comment ref="F18" authorId="0">
      <text>
        <t>S3 SpaceX 10-Q Q2 2026 | Balance Sheet Dec 31 2025 Intangible assets, net | 1,548</t>
      </text>
    </comment>
    <comment ref="H18" authorId="0">
      <text>
        <t>S3 SpaceX 10-Q Q2 2026 | Balance Sheet Jun 30 2026 Intangible assets, net | 1,318</t>
      </text>
    </comment>
    <comment ref="F19" authorId="0">
      <text>
        <t>S3 SpaceX 10-Q Q2 2026 | Balance Sheet Dec 31 2025 Digital assets (Bitcoin) | 1,637</t>
      </text>
    </comment>
    <comment ref="H19" authorId="0">
      <text>
        <t>S3 SpaceX 10-Q Q2 2026 | Balance Sheet Jun 30 2026 Digital assets (Bitcoin) | 1,098</t>
      </text>
    </comment>
    <comment ref="F20" authorId="0">
      <text>
        <t>S3 SpaceX 10-Q Q2 2026 | Balance Sheet Dec 31 2025 Goodwill | 11,809</t>
      </text>
    </comment>
    <comment ref="H20" authorId="0">
      <text>
        <t>S3 SpaceX 10-Q Q2 2026 | Balance Sheet Jun 30 2026 Goodwill | 11,645</t>
      </text>
    </comment>
    <comment ref="F21" authorId="0">
      <text>
        <t>S3 SpaceX 10-Q Q2 2026 | Balance Sheet Dec 31 2025 Deferred tax assets | 141</t>
      </text>
    </comment>
    <comment ref="H21" authorId="0">
      <text>
        <t>S3 SpaceX 10-Q Q2 2026 | Balance Sheet Jun 30 2026 Deferred tax assets | 354</t>
      </text>
    </comment>
    <comment ref="F22" authorId="0">
      <text>
        <t>S3 SpaceX 10-Q Q2 2026 | Balance Sheet Dec 31 2025 Other assets | 2,130</t>
      </text>
    </comment>
    <comment ref="H22" authorId="0">
      <text>
        <t>S3 SpaceX 10-Q Q2 2026 | Balance Sheet Jun 30 2026 Other assets | 3,454</t>
      </text>
    </comment>
    <comment ref="G24" authorId="0">
      <text>
        <t>S6 SpaceX 424B4 prospectus | Balance Sheet Data Total assets March 31 2026 | 102,094</t>
      </text>
    </comment>
    <comment ref="F26" authorId="0">
      <text>
        <t>S3 SpaceX 10-Q Q2 2026 | Balance Sheet Dec 31 2025 Accounts payable | 11,792</t>
      </text>
    </comment>
    <comment ref="H26" authorId="0">
      <text>
        <t>S3 SpaceX 10-Q Q2 2026 | Balance Sheet Jun 30 2026 Accounts payable | 8,243</t>
      </text>
    </comment>
    <comment ref="F27" authorId="0">
      <text>
        <t>S3 SpaceX 10-Q Q2 2026 | Balance Sheet Dec 31 2025 Deferred revenue, current | 6,111</t>
      </text>
    </comment>
    <comment ref="H27" authorId="0">
      <text>
        <t>S3 SpaceX 10-Q Q2 2026 | Balance Sheet Jun 30 2026 Deferred revenue, current | 7,977</t>
      </text>
    </comment>
    <comment ref="F28" authorId="0">
      <text>
        <t>S3 SpaceX 10-Q Q2 2026 | Balance Sheet Dec 31 2025 Debt and finance leases, current | 928</t>
      </text>
    </comment>
    <comment ref="G28" authorId="0">
      <text>
        <t>S6 SpaceX 424B4 prospectus | Balance Sheet Data March 31 2026 Debt and finance leases, current | 1,538</t>
      </text>
    </comment>
    <comment ref="H28" authorId="0">
      <text>
        <t>S3 SpaceX 10-Q Q2 2026 | Balance Sheet Jun 30 2026 Debt and finance leases, current | 2,525</t>
      </text>
    </comment>
    <comment ref="F29" authorId="0">
      <text>
        <t>S3 SpaceX 10-Q Q2 2026 | Balance Sheet Dec 31 2025 Accrued expenses and other current liabilities | 2,569</t>
      </text>
    </comment>
    <comment ref="H29" authorId="0">
      <text>
        <t>S3 SpaceX 10-Q Q2 2026 | Balance Sheet Jun 30 2026 Accrued expenses and other current liabilities | 2,377</t>
      </text>
    </comment>
    <comment ref="G31" authorId="0">
      <text>
        <t>S6 SpaceX 424B4 prospectus | Balance Sheet Data Total current liabilities March 31 2026 | 24,436</t>
      </text>
    </comment>
    <comment ref="F32" authorId="0">
      <text>
        <t>S3 SpaceX 10-Q Q2 2026 | Balance Sheet Dec 31 2025 Deferred revenue, net of current | 6,005</t>
      </text>
    </comment>
    <comment ref="H32" authorId="0">
      <text>
        <t>S3 SpaceX 10-Q Q2 2026 | Balance Sheet Jun 30 2026 Deferred revenue, net of current | 6,309</t>
      </text>
    </comment>
    <comment ref="F33" authorId="0">
      <text>
        <t>S3 SpaceX 10-Q Q2 2026 | Balance Sheet Dec 31 2025 Debt and finance leases, net of current | 21,968</t>
      </text>
    </comment>
    <comment ref="H33" authorId="0">
      <text>
        <t>S3 SpaceX 10-Q Q2 2026 | Balance Sheet Jun 30 2026 Debt and finance leases, net of current | 36,839</t>
      </text>
    </comment>
    <comment ref="F34" authorId="0">
      <text>
        <t>S3 SpaceX 10-Q Q2 2026 | Balance Sheet Dec 31 2025 Other liabilities | 1,381</t>
      </text>
    </comment>
    <comment ref="H34" authorId="0">
      <text>
        <t>S3 SpaceX 10-Q Q2 2026 | Balance Sheet Jun 30 2026 Other liabilities | 1,276</t>
      </text>
    </comment>
    <comment ref="G36" authorId="0">
      <text>
        <t>S6 SpaceX 424B4 prospectus | Balance Sheet Data Total liabilities March 31 2026 | 60,512</t>
      </text>
    </comment>
    <comment ref="F37" authorId="0">
      <text>
        <t>S3 SpaceX 10-Q Q2 2026 | Balance Sheet Dec 31 2025 Redeemable convertible preferred stock (mezzanine) | 38,752</t>
      </text>
    </comment>
    <comment ref="G37" authorId="0">
      <text>
        <t>S6 SpaceX 424B4 prospectus | Balance Sheet Data March 31 2026 Redeemable convertible preferred stock (mezzanine) | 7,049</t>
      </text>
    </comment>
    <comment ref="H37" authorId="0">
      <text>
        <t>S3 SpaceX 10-Q Q2 2026 | Balance Sheet Jun 30 2026 Redeemable convertible preferred stock (mezzanine) | 0</t>
      </text>
    </comment>
    <comment ref="F39" authorId="0">
      <text>
        <t>S3 SpaceX 10-Q Q2 2026 | Balance Sheet Class A common stock Dec 31 2025 | 3</t>
      </text>
    </comment>
    <comment ref="H39" authorId="0">
      <text>
        <t>S3 SpaceX 10-Q Q2 2026 | Balance Sheet Class A common stock Jun 30 2026 | 7</t>
      </text>
    </comment>
    <comment ref="F40" authorId="0">
      <text>
        <t>S3 SpaceX 10-Q Q2 2026 | Balance Sheet Class B 1 and Class C 0 Dec 31 2025 | 1</t>
      </text>
    </comment>
    <comment ref="H40" authorId="0">
      <text>
        <t>S3 SpaceX 10-Q Q2 2026 | Balance Sheet Class B common stock Jun 30 2026 | 6</t>
      </text>
    </comment>
    <comment ref="G41" authorId="0">
      <text>
        <t>S3 SpaceX 10-Q Q2 2026 | Equity statement Balances at March 31 2026 common stock amount | $6</t>
      </text>
    </comment>
    <comment ref="F42" authorId="0">
      <text>
        <t>S3 SpaceX 10-Q Q2 2026 | Balance Sheet Dec 31 2025 Additional paid-in capital | 37,706</t>
      </text>
    </comment>
    <comment ref="G42" authorId="0">
      <text>
        <t>S3 SpaceX 10-Q Q2 2026 | Equity statement Balances at March 31 2026 APIC | $74,083</t>
      </text>
    </comment>
    <comment ref="H42" authorId="0">
      <text>
        <t>S3 SpaceX 10-Q Q2 2026 | Balance Sheet Jun 30 2026 Additional paid-in capital | 167,344</t>
      </text>
    </comment>
    <comment ref="F43" authorId="0">
      <text>
        <t>S3 SpaceX 10-Q Q2 2026 | Balance Sheet Dec 31 2025 Accumulated deficit | (37,035)</t>
      </text>
    </comment>
    <comment ref="G43" authorId="0">
      <text>
        <t>S3 SpaceX 10-Q Q2 2026 | Equity statement Balances at March 31 2026 accumulated deficit | (41,311)</t>
      </text>
    </comment>
    <comment ref="H43" authorId="0">
      <text>
        <t>S3 SpaceX 10-Q Q2 2026 | Balance Sheet Jun 30 2026 Accumulated deficit | (41,852)</t>
      </text>
    </comment>
    <comment ref="F44" authorId="0">
      <text>
        <t>S3 SpaceX 10-Q Q2 2026 | Balance Sheet Dec 31 2025 Accumulated other comprehensive income | 1,898</t>
      </text>
    </comment>
    <comment ref="G44" authorId="0">
      <text>
        <t>S3 SpaceX 10-Q Q2 2026 | Equity statement Balances at March 31 2026 AOCI | 1,755</t>
      </text>
    </comment>
    <comment ref="H44" authorId="0">
      <text>
        <t>S3 SpaceX 10-Q Q2 2026 | Balance Sheet Jun 30 2026 Accumulated other comprehensive income | 1,719</t>
      </text>
    </comment>
    <comment ref="I57" authorId="0">
      <text>
        <t>S12 SpaceX 8-K 2026-08-14 | implied equity value of Cursor | $60.0 billion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D16" authorId="0">
      <text>
        <t>S3 SpaceX 10-Q Q2 2026 | Statement of Cash Flows 6M25 operating | 351</t>
      </text>
    </comment>
    <comment ref="H16" authorId="0">
      <text>
        <t>S3 SpaceX 10-Q Q2 2026 | Statement of Cash Flows 6M26 operating | $3,466</t>
      </text>
    </comment>
    <comment ref="C17" authorId="0">
      <text>
        <t>S6 SpaceX 424B4 prospectus | Net cash provided by operating activities Q1 2025 | $727</t>
      </text>
    </comment>
    <comment ref="F17" authorId="0">
      <text>
        <t>S6 SpaceX 424B4 prospectus | Net cash provided by operating activities FY2025 | $6,785</t>
      </text>
    </comment>
    <comment ref="G17" authorId="0">
      <text>
        <t>S6 SpaceX 424B4 prospectus | Net cash provided by operating activities Q1 2026 | $1,047</t>
      </text>
    </comment>
    <comment ref="D23" authorId="0">
      <text>
        <t>S3 SpaceX 10-Q Q2 2026 | Statement of Cash Flows 6M25 investing | (6,032)</t>
      </text>
    </comment>
    <comment ref="H23" authorId="0">
      <text>
        <t>S3 SpaceX 10-Q Q2 2026 | Statement of Cash Flows 6M26 investing | $(34,487)</t>
      </text>
    </comment>
    <comment ref="C24" authorId="0">
      <text>
        <t>S6 SpaceX 424B4 prospectus | Net cash used in investing activities Q1 2025 | $(4,170)</t>
      </text>
    </comment>
    <comment ref="F24" authorId="0">
      <text>
        <t>S6 SpaceX 424B4 prospectus | Net cash used in investing activities FY2025 | $(19,575)</t>
      </text>
    </comment>
    <comment ref="G24" authorId="0">
      <text>
        <t>S6 SpaceX 424B4 prospectus | Net cash used in investing activities Q1 2026 | $(16,724)</t>
      </text>
    </comment>
    <comment ref="D26" authorId="0">
      <text>
        <t>S3 SpaceX 10-Q Q2 2026 | Statement of Cash Flows 6M25 financing | 9,199</t>
      </text>
    </comment>
    <comment ref="H26" authorId="0">
      <text>
        <t>S3 SpaceX 10-Q Q2 2026 | Statement of Cash Flows 6M26 financing | $100,291</t>
      </text>
    </comment>
    <comment ref="C27" authorId="0">
      <text>
        <t>S6 SpaceX 424B4 prospectus | Net cash provided by financing activities Q1 2025 | $354</t>
      </text>
    </comment>
    <comment ref="F27" authorId="0">
      <text>
        <t>S6 SpaceX 424B4 prospectus | Net cash provided by financing activities FY2025 | $26,350</t>
      </text>
    </comment>
    <comment ref="G27" authorId="0">
      <text>
        <t>S6 SpaceX 424B4 prospectus | Net cash provided by financing activities Q1 2026 | $7,125</t>
      </text>
    </comment>
    <comment ref="C31" authorId="0">
      <text>
        <t>S3 SpaceX 10-Q Q2 2026 | Statement of Cash Flows beginning 6M25 | 11,501</t>
      </text>
    </comment>
    <comment ref="F31" authorId="0">
      <text>
        <t>S3 SpaceX 10-Q Q2 2026 | Statement of Cash Flows beginning 6M25 | 11,501</t>
      </text>
    </comment>
    <comment ref="G31" authorId="0">
      <text>
        <t>S3 SpaceX 10-Q Q2 2026 | Statement of Cash Flows beginning 6M26 | 25,124</t>
      </text>
    </comment>
    <comment ref="D32" authorId="0">
      <text>
        <t>S3 SpaceX 10-Q Q2 2026 | Statement of Cash Flows end 6M25 | $15,094</t>
      </text>
    </comment>
    <comment ref="F32" authorId="0">
      <text>
        <t>S3 SpaceX 10-Q Q2 2026 | Statement of Cash Flows beginning 6M26 | 25,124</t>
      </text>
    </comment>
    <comment ref="H32" authorId="0">
      <text>
        <t>S3 SpaceX 10-Q Q2 2026 | Statement of Cash Flows end 6M26 | $94,352</t>
      </text>
    </comment>
    <comment ref="F33" authorId="0">
      <text>
        <t>S3 SpaceX 10-Q Q2 2026 | Restricted cash Dec 31 2025 182 + 195 | 377</t>
      </text>
    </comment>
    <comment ref="H33" authorId="0">
      <text>
        <t>S3 SpaceX 10-Q Q2 2026 | Restricted cash Jun 30 2026 210 + 620 | 830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9" authorId="0">
      <text>
        <t>S3 SpaceX 10-Q Q2 2026 | Equity statement Balances at March 31 2025 | 3,024</t>
      </text>
    </comment>
    <comment ref="D9" authorId="0">
      <text>
        <t>S3 SpaceX 10-Q Q2 2026 | Equity statement Balances at June 30 2025 | 3,048</t>
      </text>
    </comment>
    <comment ref="F9" authorId="0">
      <text>
        <t>S3 SpaceX 10-Q Q2 2026 | Equity statement Balances at December 31 2025 | 3,079</t>
      </text>
    </comment>
    <comment ref="G9" authorId="0">
      <text>
        <t>S3 SpaceX 10-Q Q2 2026 | Equity statement Balances at March 31 2026 | 5,798</t>
      </text>
    </comment>
    <comment ref="H9" authorId="0">
      <text>
        <t>S3 SpaceX 10-Q Q2 2026 | Equity statement Balances at June 30 2026 | 13,176</t>
      </text>
    </comment>
    <comment ref="I12" authorId="0">
      <text>
        <t>S3 SpaceX 10-Q Q2 2026 | Cover: 7,696,293,669 Class A and 5,485,486,276 Class B | 13,181,779,945</t>
      </text>
    </comment>
    <comment ref="I15" authorId="0">
      <text>
        <t>S29 Aardvark / S-1 | Musk 2026 performance awards | 1,302M restricted Class B shares</t>
      </text>
    </comment>
    <comment ref="I18" authorId="0">
      <text>
        <t>S12 SpaceX 8-K 2026-08-14 | Merger Consideration (i) | 389,289,254 shares</t>
      </text>
    </comment>
    <comment ref="I21" authorId="0">
      <text>
        <t>S12 SpaceX 8-K 2026-08-14 | Merger Consideration (ii) | 1,752,426 shares</t>
      </text>
    </comment>
    <comment ref="C31" authorId="0">
      <text>
        <t>S3 SpaceX 10-Q Q2 2026 | Note 12: 6M25 28.2M less Q2-25 0.3M | 27.9</t>
      </text>
    </comment>
    <comment ref="D31" authorId="0">
      <text>
        <t>S3 SpaceX 10-Q Q2 2026 | Note 12 repurchased 0.3 million shares | 0.3</t>
      </text>
    </comment>
    <comment ref="G31" authorId="0">
      <text>
        <t>S3 SpaceX 10-Q Q2 2026 | Note 12: 6M26 41.0M less Q2 10.5M | 30.5</t>
      </text>
    </comment>
    <comment ref="H31" authorId="0">
      <text>
        <t>S3 SpaceX 10-Q Q2 2026 | Note 12 repurchased 10.5 million shares | 10.5</t>
      </text>
    </comment>
    <comment ref="H34" authorId="0">
      <text>
        <t>S3 SpaceX 10-Q Q2 2026 | Equity statement Issuance of common stock in connection with IPO | 639</t>
      </text>
    </comment>
    <comment ref="H35" authorId="0">
      <text>
        <t>S3 SpaceX 10-Q Q2 2026 | Equity statement Conversion of redeemable convertible preferred stock | 6,723</t>
      </text>
    </comment>
    <comment ref="G36" authorId="0">
      <text>
        <t>S3 SpaceX 10-Q Q2 2026 | Equity statement Conversion pursuant to xAI Merger | 1,424</t>
      </text>
    </comment>
    <comment ref="C38" authorId="0">
      <text>
        <t>S6 SpaceX 424B4 prospectus | Weighted average shares Basic Q1 2025 | 2,875</t>
      </text>
    </comment>
    <comment ref="D38" authorId="0">
      <text>
        <t>S3 SpaceX 10-Q Q2 2026 | Weighted average shares Basic and Diluted | 2,929</t>
      </text>
    </comment>
    <comment ref="F38" authorId="0">
      <text>
        <t>S6 SpaceX 424B4 prospectus | Weighted average shares Basic FY2025 | 2,926</t>
      </text>
    </comment>
    <comment ref="G38" authorId="0">
      <text>
        <t>S6 SpaceX 424B4 prospectus | Weighted average shares Basic Q1 2026 | 3,884</t>
      </text>
    </comment>
    <comment ref="H38" authorId="0">
      <text>
        <t>S3 SpaceX 10-Q Q2 2026 | Weighted average shares Basic and Diluted | 5,864</t>
      </text>
    </comment>
    <comment ref="H41" authorId="0">
      <text>
        <t>S3 SpaceX 10-Q Q2 2026 | Note 13 anti-dilutive share-based compensation | 564</t>
      </text>
    </comment>
    <comment ref="I44" authorId="0">
      <text>
        <t>S12 SpaceX 8-K 2026-08-14 (via Investing.com) | assumed unvested RSUs and options | approximately 29.1 million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C19" authorId="0">
      <text>
        <t>S1 SPCX_consensus.json | summary_row.eps_normalized_estimates | 14</t>
      </text>
    </comment>
    <comment ref="C20" authorId="0">
      <text>
        <t>S1 SPCX_consensus.json | summary_row.eps_normalized_contributors | 18</t>
      </text>
    </comment>
    <comment ref="C22" authorId="0">
      <text>
        <t>S1 SPCX_consensus.json | summary_row.eps_normalized_mean | 0.13</t>
      </text>
    </comment>
    <comment ref="C23" authorId="0">
      <text>
        <t>S1 SPCX_consensus.json | summary_row.eps_normalized_median | 0.18</t>
      </text>
    </comment>
    <comment ref="C24" authorId="0">
      <text>
        <t>S1 SPCX_consensus.json | summary_row.eps_normalized_high | 0.26</t>
      </text>
    </comment>
    <comment ref="C25" authorId="0">
      <text>
        <t>S1 SPCX_consensus.json | summary_row.eps_normalized_low | -0.11</t>
      </text>
    </comment>
    <comment ref="C26" authorId="0">
      <text>
        <t>S1 SPCX_consensus.json | summary_row.eps_normalized_std_dev | 0.11</t>
      </text>
    </comment>
    <comment ref="C27" authorId="0">
      <text>
        <t>S1 SPCX_consensus.json | summary_row.eps_normalized_n_est | 14</t>
      </text>
    </comment>
    <comment ref="C31" authorId="0">
      <text>
        <t>S1 SPCX_consensus.json | summary_row.eps_gaap_mean | 0.17</t>
      </text>
    </comment>
    <comment ref="C32" authorId="0">
      <text>
        <t>S1 SPCX_consensus.json | summary_row.eps_gaap_median | 0.18</t>
      </text>
    </comment>
    <comment ref="C33" authorId="0">
      <text>
        <t>S1 SPCX_consensus.json | summary_row.eps_gaap_high | 0.43</t>
      </text>
    </comment>
    <comment ref="C34" authorId="0">
      <text>
        <t>S1 SPCX_consensus.json | summary_row.eps_gaap_low | -0.11</t>
      </text>
    </comment>
    <comment ref="C35" authorId="0">
      <text>
        <t>S1 SPCX_consensus.json | summary_row.eps_gaap_std_dev | 0.11</t>
      </text>
    </comment>
    <comment ref="C36" authorId="0">
      <text>
        <t>S1 SPCX_consensus.json | summary_row.eps_gaap_n_est | 17</t>
      </text>
    </comment>
    <comment ref="C40" authorId="0">
      <text>
        <t>S1 SPCX_consensus.json | summary_row.revenue_mean | 13022.56</t>
      </text>
    </comment>
    <comment ref="C41" authorId="0">
      <text>
        <t>S1 SPCX_consensus.json | summary_row.revenue_median | 13161.85</t>
      </text>
    </comment>
    <comment ref="C42" authorId="0">
      <text>
        <t>S1 SPCX_consensus.json | summary_row.revenue_high | 15190.29</t>
      </text>
    </comment>
    <comment ref="C43" authorId="0">
      <text>
        <t>S1 SPCX_consensus.json | summary_row.revenue_low | 11469.0</t>
      </text>
    </comment>
    <comment ref="C44" authorId="0">
      <text>
        <t>S1 SPCX_consensus.json | summary_row.revenue_std_dev | 899.64</t>
      </text>
    </comment>
    <comment ref="C45" authorId="0">
      <text>
        <t>S1 SPCX_consensus.json | summary_row.revenue_n_est | 18</t>
      </text>
    </comment>
    <comment ref="C49" authorId="0">
      <text>
        <t>S1 SPCX_consensus.json | summary_row.ebitda | 6674.45</t>
      </text>
    </comment>
    <comment ref="C50" authorId="0">
      <text>
        <t>S1 SPCX_consensus.json | summary_row.ebit | 2398.13</t>
      </text>
    </comment>
    <comment ref="C51" authorId="0">
      <text>
        <t>S1 SPCX_consensus.json | summary_row.ebt_excl_excep | 1742.09</t>
      </text>
    </comment>
    <comment ref="C52" authorId="0">
      <text>
        <t>S1 SPCX_consensus.json | summary_row.ebt_gaap | 2183.19</t>
      </text>
    </comment>
    <comment ref="C53" authorId="0">
      <text>
        <t>S1 SPCX_consensus.json | summary_row.net_income_excl_excep | 1951.23</t>
      </text>
    </comment>
    <comment ref="C54" authorId="0">
      <text>
        <t>S1 SPCX_consensus.json | summary_row.net_income_gaap | 2144.97</t>
      </text>
    </comment>
    <comment ref="C57" authorId="0">
      <text>
        <t>S1 SPCX_consensus.json | summary_row.d_and_a | 3800.38</t>
      </text>
    </comment>
    <comment ref="C61" authorId="0">
      <text>
        <t>S1 SPCX_consensus.json | summary_row.interest_expense | -552.0</t>
      </text>
    </comment>
    <comment ref="C62" authorId="0">
      <text>
        <t>S1 SPCX_consensus.json | summary_row.net_debt | -45275.43</t>
      </text>
    </comment>
    <comment ref="C65" authorId="0">
      <text>
        <t>S1 SPCX_consensus.json | summary_row.target_price_mean | 222.71</t>
      </text>
    </comment>
    <comment ref="C66" authorId="0">
      <text>
        <t>S1 SPCX_consensus.json | summary_row.target_price_median | 225.0</t>
      </text>
    </comment>
    <comment ref="C67" authorId="0">
      <text>
        <t>S1 SPCX_consensus.json | summary_row.target_price_high | 450.0</t>
      </text>
    </comment>
    <comment ref="C68" authorId="0">
      <text>
        <t>S1 SPCX_consensus.json | summary_row.target_price_low | 118.0</t>
      </text>
    </comment>
    <comment ref="C69" authorId="0">
      <text>
        <t>S1 SPCX_consensus.json | summary_row.target_price_std_dev | 59.04</t>
      </text>
    </comment>
    <comment ref="C70" authorId="0">
      <text>
        <t>S1 SPCX_consensus.json | summary_row.target_price_n_est | 31</t>
      </text>
    </comment>
    <comment ref="C72" authorId="0">
      <text>
        <t>S1 SPCX_consensus.json | summary_row.recommendation_score | 1.79</t>
      </text>
    </comment>
    <comment ref="C73" authorId="0">
      <text>
        <t>S1 SPCX_consensus.json | summary_row.last_close_price | 146.03</t>
      </text>
    </comment>
    <comment ref="C91" authorId="0">
      <text>
        <t>S2 SPCX_history.csv | row 1 eps_normalized_actual | -0.09</t>
      </text>
    </comment>
    <comment ref="C97" authorId="0">
      <text>
        <t>S6 SpaceX 424B4 prospectus | Total revenue FY24 | 14,015</t>
      </text>
    </comment>
    <comment ref="C98" authorId="0">
      <text>
        <t>S6 SpaceX 424B4 prospectus | Space revenue FY24 | 3,796</t>
      </text>
    </comment>
    <comment ref="C99" authorId="0">
      <text>
        <t>S6 SpaceX 424B4 prospectus | Connectivity revenue FY24 | 7,599</t>
      </text>
    </comment>
    <comment ref="C100" authorId="0">
      <text>
        <t>S6 SpaceX 424B4 prospectus | AI revenue FY24 | 2,620</t>
      </text>
    </comment>
    <comment ref="C101" authorId="0">
      <text>
        <t>S7 Aardvark Labs S-1 analysis | Launch services FY24 | 2,584</t>
      </text>
    </comment>
    <comment ref="C103" authorId="0">
      <text>
        <t>S7 Aardvark Labs S-1 analysis | Enterprise &amp; government FY24 | 2,769</t>
      </text>
    </comment>
    <comment ref="C105" authorId="0">
      <text>
        <t>S7 Aardvark Labs S-1 analysis | AI solutions &amp; infrastructure FY24 | 892</t>
      </text>
    </comment>
    <comment ref="C122" authorId="0">
      <text>
        <t>S21 CNBC 2026-10-16 | Analysts polled by LSEG | 14 cents</t>
      </text>
    </comment>
    <comment ref="C123" authorId="0">
      <text>
        <t>S21 CNBC 2026-10-16 | revenue of | $12.738 billion</t>
      </text>
    </comment>
    <comment ref="C124" authorId="0">
      <text>
        <t>S22 Panke tape | FactSet consensus 17 Oct | $12.89B</t>
      </text>
    </comment>
    <comment ref="C125" authorId="0">
      <text>
        <t>S22 Panke tape | FactSet consensus 17 Oct | EPS $0.14</t>
      </text>
    </comment>
  </commentList>
</comments>
</file>

<file path=xl/sharedStrings.xml><?xml version="1.0" encoding="utf-8"?>
<sst xmlns="http://schemas.openxmlformats.org/spreadsheetml/2006/main" count="3553" uniqueCount="793">
  <si>
    <t>Space Exploration Technologies Corp. (SPCX)</t>
  </si>
  <si>
    <t>Cover</t>
  </si>
  <si>
    <t>$ millions, except per share</t>
  </si>
  <si>
    <t>Target period: 3Q26E (FQ3 2026), quarter ended 2026-09-30, 92 days — non-time-series sheet</t>
  </si>
  <si>
    <t>Notes</t>
  </si>
  <si>
    <t>Company Model — built by Shortcut</t>
  </si>
  <si>
    <t>Company</t>
  </si>
  <si>
    <t>Space Exploration Technologies Corp.</t>
  </si>
  <si>
    <t>Ticker</t>
  </si>
  <si>
    <t>SPCX</t>
  </si>
  <si>
    <t>Exchange</t>
  </si>
  <si>
    <t>NasdaqGS (Nasdaq Global Select Market)</t>
  </si>
  <si>
    <t>Fiscal year end</t>
  </si>
  <si>
    <t>December 31 (calendar year)</t>
  </si>
  <si>
    <t>Currency</t>
  </si>
  <si>
    <t>USD (financial amounts in $ millions)</t>
  </si>
  <si>
    <t>EPS basis</t>
  </si>
  <si>
    <t>Normalized diluted EPS per common share, USD - model basis INCLUDING assumed BTC FV gain; CapIQ comparability unresolved</t>
  </si>
  <si>
    <t>Information cutoff</t>
  </si>
  <si>
    <t>2026-10-18 21:34 UTC</t>
  </si>
  <si>
    <t>Expected report date</t>
  </si>
  <si>
    <t>2026-10-20 after market close (issuer, S8); CapIQ stale date 2026-11-05</t>
  </si>
  <si>
    <t>Target period</t>
  </si>
  <si>
    <t>FQ3 2026 (quarter ended 2026-09-30)</t>
  </si>
  <si>
    <t>Author</t>
  </si>
  <si>
    <t>Shortcut</t>
  </si>
  <si>
    <t>Caveat: SpaceX has only one reported quarter; historical forecast calibration is limited.</t>
  </si>
  <si>
    <t>Headline (3Q26)</t>
  </si>
  <si>
    <t>Estimate</t>
  </si>
  <si>
    <t>Consensus</t>
  </si>
  <si>
    <t>Variance</t>
  </si>
  <si>
    <t>Guidance</t>
  </si>
  <si>
    <t>FactSet</t>
  </si>
  <si>
    <t>Linkage</t>
  </si>
  <si>
    <t>Revenue ($M)</t>
  </si>
  <si>
    <t>Variance vs consensus (%)</t>
  </si>
  <si>
    <t>Net income - normalized ($M)</t>
  </si>
  <si>
    <t>n/a</t>
  </si>
  <si>
    <t>Normalized diluted EPS ($)</t>
  </si>
  <si>
    <t>Net income - GAAP ($M)</t>
  </si>
  <si>
    <t>GAAP diluted EPS ($)</t>
  </si>
  <si>
    <t>Adjusted EBITDA ($M)</t>
  </si>
  <si>
    <t>Overall check result</t>
  </si>
  <si>
    <t>P(beat consensus EPS)</t>
  </si>
  <si>
    <t>Confidence</t>
  </si>
  <si>
    <t>Consensus = S&amp;P Capital IQ snapshot 2026-10-18 (14 normalized EPS estimates; 18 revenue estimates). No company guidance for revenue/EPS (guidance column n/a).</t>
  </si>
  <si>
    <t>Normalized EPS (model basis) adds back restructuring, impairment, debt-extinguishment and M&amp;A costs and INCLUDES the assumed $467.7M BTC FV gain. Equivalence to CapIQ normalized consensus is UNRESOLVED (ex-gain alternative: Income Statement I93). FactSet column = FactSet consensus 2026-10-17 (Inputs C124:C125). See Income Statement bridge.</t>
  </si>
  <si>
    <t>Linkage identities (true by construction, not independent tests): Cover I23:I33, Income Statement I78, Revenue summary I38, Cash Flow Statement I35:I36 and F36 (FY25 FX residual). PASS rests on reported-value ties and balance-sheet articulation.</t>
  </si>
  <si>
    <t>Revenue summary</t>
  </si>
  <si>
    <t>Period</t>
  </si>
  <si>
    <t>1Q25A</t>
  </si>
  <si>
    <t>2Q25A</t>
  </si>
  <si>
    <t>2H25A</t>
  </si>
  <si>
    <t>FY25A</t>
  </si>
  <si>
    <t>1Q26A</t>
  </si>
  <si>
    <t>2Q26A</t>
  </si>
  <si>
    <t>3Q26E</t>
  </si>
  <si>
    <t>Period end</t>
  </si>
  <si>
    <t>Days in period</t>
  </si>
  <si>
    <t>Revenue by reported segment</t>
  </si>
  <si>
    <t>Space</t>
  </si>
  <si>
    <t>% Y/Y</t>
  </si>
  <si>
    <t>% Q/Q</t>
  </si>
  <si>
    <t>% of total revenue</t>
  </si>
  <si>
    <t>M&amp;A / scope contribution</t>
  </si>
  <si>
    <t>M&amp;A / scope contribution to Y/Y</t>
  </si>
  <si>
    <t>FX impact on Y/Y</t>
  </si>
  <si>
    <t>Organic growth</t>
  </si>
  <si>
    <t>Organic growth = (1+Y/Y)/((1+M&amp;A)*(1+FX))-1</t>
  </si>
  <si>
    <t>Connectivity</t>
  </si>
  <si>
    <t>AI</t>
  </si>
  <si>
    <t>Total revenue</t>
  </si>
  <si>
    <t>Q/Q change ($)</t>
  </si>
  <si>
    <t>FX impact n/a: USD reporter and FX effect on revenue not disclosed; no 3Q25 comparative (company private, see Sources B44); 3Q26E includes Cursor revenue that is inorganic from 2026-08-14 (Segment - AI I73). Organic growth (row 36) is therefore unavailable. 1Q26/2Q26 M&amp;A = 0 is an assumption, not a disclosed amount: it relies on the prospectus (S6) statement that historical financials retrospectively include xAI and X Holdings as common-control transactions (comparatives recast).</t>
  </si>
  <si>
    <t>Reported consolidated revenue</t>
  </si>
  <si>
    <t>Check: segments sum to total</t>
  </si>
  <si>
    <t>Check: segments sum to reported total (should be 0). 3Q26E (I38) has no reported total and compares to Income Statement I12, which links here: linkage identity, excluded from Cover PASS.</t>
  </si>
  <si>
    <t>Revenue lines (from segment tabs)</t>
  </si>
  <si>
    <t>Launch services</t>
  </si>
  <si>
    <t>Launch &amp; development</t>
  </si>
  <si>
    <t>Consumer (Starlink)</t>
  </si>
  <si>
    <t>Enterprise &amp; government</t>
  </si>
  <si>
    <t>Cloud services (CSA)</t>
  </si>
  <si>
    <t>Cloud services (AI infrastructure)</t>
  </si>
  <si>
    <t>Grok/X subs, API, other</t>
  </si>
  <si>
    <t>Grok &amp; X subscriptions, API and other</t>
  </si>
  <si>
    <t>Cursor (acquired 8/14/26)</t>
  </si>
  <si>
    <t>Cursor (acquired 2026-08-14)</t>
  </si>
  <si>
    <t>Advertising (X)</t>
  </si>
  <si>
    <t>Sum of revenue lines</t>
  </si>
  <si>
    <t>Check: lines sum to total</t>
  </si>
  <si>
    <t>Check: revenue lines sum to total (should be 0)</t>
  </si>
  <si>
    <t>Revenue by type</t>
  </si>
  <si>
    <t>Products</t>
  </si>
  <si>
    <t>Services</t>
  </si>
  <si>
    <t>Concentration and backlog</t>
  </si>
  <si>
    <t>Customer A % of revenue</t>
  </si>
  <si>
    <t>Customer A % of revenue (all segments)</t>
  </si>
  <si>
    <t>Y/Y change (bps)</t>
  </si>
  <si>
    <t>Q/Q change (bps)</t>
  </si>
  <si>
    <t>Customer B % of revenue</t>
  </si>
  <si>
    <t>Customer B % of revenue (AI segment)</t>
  </si>
  <si>
    <t>Backlog (period end)</t>
  </si>
  <si>
    <t>Q/Q change (abs.)</t>
  </si>
  <si>
    <t>Geography: SpaceX does not disclose revenue by geography (Q2-26 10-Q Notes 3 and 18 checked); Geo tab omitted.</t>
  </si>
  <si>
    <t>Segment - Space: launch drivers and P&amp;L</t>
  </si>
  <si>
    <t>Launch activity (drivers)</t>
  </si>
  <si>
    <t>Customer launches (#)</t>
  </si>
  <si>
    <t>3Q26E: 33 Falcon launches less 21 internal = 12 customer (S15). FY25/2H25 customer split not disclosed.</t>
  </si>
  <si>
    <t>Internal launches (#)</t>
  </si>
  <si>
    <t>3Q26E: 21 internal Falcon (S15) + Starship Flight 14 (S16).</t>
  </si>
  <si>
    <t>Total launches (#)</t>
  </si>
  <si>
    <t>Customer share of launches</t>
  </si>
  <si>
    <t>Customer payload (t)</t>
  </si>
  <si>
    <t>Customer payload (metric tons)</t>
  </si>
  <si>
    <t>Payload per customer launch (t)</t>
  </si>
  <si>
    <t>3Q26E assumption 8.0t (2Q26 8.7t; 1Q26 6.4t).</t>
  </si>
  <si>
    <t>Internal payload (t)</t>
  </si>
  <si>
    <t>Internal payload (metric tons). 3Q26E: internal launches x 2Q26 tons per internal launch.</t>
  </si>
  <si>
    <t>Mass to orbit (t, reported)</t>
  </si>
  <si>
    <t>Mass to orbit (metric tons, reported). Reported totals may differ from component sum by rounding (2Q26: 87+397=484 vs 485 reported).</t>
  </si>
  <si>
    <t>Revenue build</t>
  </si>
  <si>
    <t>Revenue per customer launch</t>
  </si>
  <si>
    <t>Launch services revenue per customer launch ($M). 3Q26E assumption $66M (2Q26 $64.8M; 2H25 avg ~$69M on S-1 FY25 customer data).</t>
  </si>
  <si>
    <t>Launch services revenue</t>
  </si>
  <si>
    <t>L&amp;D growth q/q</t>
  </si>
  <si>
    <t>L&amp;D revenue growth q/q (assumption). 3Q26E +21% q/q to ~$380M: between 2Q26 $314M and 2H25 run-rate (~$478M/qtr); NASA/DoW milestone timing.</t>
  </si>
  <si>
    <t>Launch &amp; development revenue</t>
  </si>
  <si>
    <t>Space revenue</t>
  </si>
  <si>
    <t>Launch services % of Space</t>
  </si>
  <si>
    <t>Launch services % of Space revenue</t>
  </si>
  <si>
    <t>Segment P&amp;L</t>
  </si>
  <si>
    <t>Cost of revenue</t>
  </si>
  <si>
    <t>CoR % of revenue</t>
  </si>
  <si>
    <t>Cost of revenue % of revenue. 3Q26E assumption 38% (2Q26 34%, 1Q26 45%, 2Q25 44%).</t>
  </si>
  <si>
    <t>Research &amp; development</t>
  </si>
  <si>
    <t>Research and development (mainly Starship). 3Q26E $1,150M: Starship R&amp;D rising ~$75-150M per quarter (Flight 14 orbital, V3 production).</t>
  </si>
  <si>
    <t>SG&amp;A</t>
  </si>
  <si>
    <t>Selling, general and administrative</t>
  </si>
  <si>
    <t>Impairment</t>
  </si>
  <si>
    <t>Total costs and expenses</t>
  </si>
  <si>
    <t>FY25A: revenue less reported operating loss (segment line detail not fully disclosed).</t>
  </si>
  <si>
    <t>Segment op. income (loss)</t>
  </si>
  <si>
    <t>Segment income (loss) from operations</t>
  </si>
  <si>
    <t>Operating margin</t>
  </si>
  <si>
    <t>Depreciation &amp; amortization</t>
  </si>
  <si>
    <t>Share-based compensation</t>
  </si>
  <si>
    <t>Segment Adjusted EBITDA</t>
  </si>
  <si>
    <t>Segment Adjusted EBITDA (issuer-defined)</t>
  </si>
  <si>
    <t>Segment Adj. EBITDA margin</t>
  </si>
  <si>
    <t>Segment Adjusted EBITDA margin</t>
  </si>
  <si>
    <t>Space capex</t>
  </si>
  <si>
    <t>3Q26E: CFO guided total capex next two quarters ~Q2 level (S5).</t>
  </si>
  <si>
    <t>Segment - Connectivity: Starlink subscriber ladder and P&amp;L</t>
  </si>
  <si>
    <t>Starlink subscriber ladder (millions)</t>
  </si>
  <si>
    <t>Opening subscribers</t>
  </si>
  <si>
    <t>Gross additions</t>
  </si>
  <si>
    <t>Not disclosed by SpaceX (unavailable).</t>
  </si>
  <si>
    <t>Terminations / churn</t>
  </si>
  <si>
    <t>Net additions</t>
  </si>
  <si>
    <t>3Q26E assumption 1.9M: 13M+ by mid-Aug all-hands, ~18.5k/day Q2 pace; outside estimates 13.5M-14.3M (S17, S19).</t>
  </si>
  <si>
    <t>Closing subscribers</t>
  </si>
  <si>
    <t>Average subscribers</t>
  </si>
  <si>
    <t>FY25A = day-weighted average of 1Q25, 2Q25 and 2H25 averages (90/91/184 days). Sub-period averages are opening/closing endpoint averages.</t>
  </si>
  <si>
    <t>Monthly churn %</t>
  </si>
  <si>
    <t>Not disclosed (unavailable).</t>
  </si>
  <si>
    <t>Starlink ARPU ($/month)</t>
  </si>
  <si>
    <t>Starlink ARPU ($ per month). 3Q26E held at $66 (flat Q1-Q2 26; May-26 price rises offset by international mix).</t>
  </si>
  <si>
    <t>Months in period</t>
  </si>
  <si>
    <t>Implied subscription revenue</t>
  </si>
  <si>
    <t>Implied subscription revenue (avg subs x ARPU x months)</t>
  </si>
  <si>
    <t>Consumer hardware &amp; other</t>
  </si>
  <si>
    <t>Consumer hardware &amp; other (derived residual). 3Q26E assumption $290M (1Q26 $247M, 2Q26 $277M) - rises with gross adds.</t>
  </si>
  <si>
    <t>Consumer revenue</t>
  </si>
  <si>
    <t>FY25A: Connectivity $11,387M less E&amp;G $4,179M.</t>
  </si>
  <si>
    <t>E&amp;G growth q/q</t>
  </si>
  <si>
    <t>E&amp;G revenue growth q/q (assumption). 3Q26E +5.2% q/q (~$1.9B): Starshield awards &gt;$6B in Q2, aviation activations; Q2 jump treated as partly milestone-driven.</t>
  </si>
  <si>
    <t>Enterprise &amp; government revenue</t>
  </si>
  <si>
    <t>Includes Starlink Mobile service revenue (10-Q Note 3 footnote).</t>
  </si>
  <si>
    <t>Connectivity revenue</t>
  </si>
  <si>
    <t>Consumer % of Connectivity</t>
  </si>
  <si>
    <t>Consumer % of Connectivity revenue</t>
  </si>
  <si>
    <t>E&amp;G % of Connectivity</t>
  </si>
  <si>
    <t>E&amp;G % of Connectivity revenue</t>
  </si>
  <si>
    <t>Products growth q/q</t>
  </si>
  <si>
    <t>Products revenue growth q/q (assumption). 3Q26E +4% q/q: terminal sales with gross adds.</t>
  </si>
  <si>
    <t>Memo: Products revenue</t>
  </si>
  <si>
    <t>All products revenue is in Connectivity (10-Q Note 3).</t>
  </si>
  <si>
    <t>Memo: Connectivity services</t>
  </si>
  <si>
    <t>Memo: Connectivity services revenue</t>
  </si>
  <si>
    <t>Cost of revenue % of revenue. 3Q26E assumption 47.0% (2Q26 48.0%, 1Q26 50.7%) - scale leverage.</t>
  </si>
  <si>
    <t>Research and development</t>
  </si>
  <si>
    <t>Segment op. income</t>
  </si>
  <si>
    <t>Segment income from operations</t>
  </si>
  <si>
    <t>Segment Adjusted EBITDA (issuer-defined). 1Q25 computes to $1,617M vs $1,618M in S-1 (rounding).</t>
  </si>
  <si>
    <t>Connectivity capex</t>
  </si>
  <si>
    <t>Segment - AI: compute contracts, Grok/X, Cursor and P&amp;L</t>
  </si>
  <si>
    <t>Capacity driver</t>
  </si>
  <si>
    <t>Nameplate compute (GW)</t>
  </si>
  <si>
    <t>Nameplate compute (GW, period end). 3Q26E ~1.8 GW (UBS est. incl. 220k GB300 at quarter-end, S19); &gt;2 GW YE26 guided (S5).</t>
  </si>
  <si>
    <t>Cloud services agreements (CSA) ladder</t>
  </si>
  <si>
    <t>Anthropic monthly fee ($M)</t>
  </si>
  <si>
    <t>Full rate from July (reduced fees during May/June ramp).</t>
  </si>
  <si>
    <t>Months billed at full rate</t>
  </si>
  <si>
    <t>Anthropic and Reflection: July-September.</t>
  </si>
  <si>
    <t>Anthropic CSA revenue</t>
  </si>
  <si>
    <t>2Q26: Customer B (AI segment) = 19.5% of consolidated revenue (10-Q concentration note); 2025/1Q26 nil (CSAs began 2Q26).</t>
  </si>
  <si>
    <t>Google full monthly fee ($M)</t>
  </si>
  <si>
    <t>Google full monthly fee from Oct-26 ($M)</t>
  </si>
  <si>
    <t>Google ramp fee, % of full</t>
  </si>
  <si>
    <t>Google Jul-Sep average fee, % of full. Assumption 36%: capacity ramping through September at a reduced fee (S9).</t>
  </si>
  <si>
    <t>Google CSA revenue (ramp)</t>
  </si>
  <si>
    <t>2Q26: CSA residual after Customer B. Full $920M/month fee starts Oct-26.</t>
  </si>
  <si>
    <t>Reflection monthly fee ($M)</t>
  </si>
  <si>
    <t>Reflection AI monthly fee ($M)</t>
  </si>
  <si>
    <t>Reflection CSA revenue</t>
  </si>
  <si>
    <t>Reflection AI CSA revenue</t>
  </si>
  <si>
    <t>Cloud services (CSA) revenue</t>
  </si>
  <si>
    <t>Cloud services (AI infrastructure) revenue. CSAs began 2Q26 (10-Q MD&amp;A). Dec-26 $1.11B/month deal and $6.7B July CSA start in Q4 - excluded from 3Q26E.</t>
  </si>
  <si>
    <t>Grok/X/API growth q/q</t>
  </si>
  <si>
    <t>Grok/X/API growth q/q (assumption). 3Q26E +18% q/q to ~$700M (1Q26 $475M, 2Q26 $594M; Grok 4.5 token use tripled after July launch).</t>
  </si>
  <si>
    <t>Grok &amp; X subscriptions, API, other. Actuals derived: AI solutions &amp; infrastructure less CSA revenue.</t>
  </si>
  <si>
    <t>Cursor ARR ($M)</t>
  </si>
  <si>
    <t>Cursor annualized revenue run-rate ($M). Assumption: $4B early-Jun (S13) rising toward &gt;$6B YE26 forecast (S28).</t>
  </si>
  <si>
    <t>Cursor days consolidated</t>
  </si>
  <si>
    <t>Days consolidated (from 2026-08-14 close)</t>
  </si>
  <si>
    <t>Cursor revenue (acquired)</t>
  </si>
  <si>
    <t>AI solutions &amp; infra. revenue</t>
  </si>
  <si>
    <t>AI solutions &amp; infrastructure revenue</t>
  </si>
  <si>
    <t>Advertising growth q/q</t>
  </si>
  <si>
    <t>Advertising growth q/q (assumption). 3Q26E +3.5% q/q after the Q2 ad-platform transition (+7% q/q in Q2).</t>
  </si>
  <si>
    <t>Advertising revenue (X)</t>
  </si>
  <si>
    <t>AI revenue</t>
  </si>
  <si>
    <t>CSA % of AI revenue</t>
  </si>
  <si>
    <t>Advertising % of AI revenue</t>
  </si>
  <si>
    <t>Incremental CSA cost ratio</t>
  </si>
  <si>
    <t>Incremental CSA cost ratio (CoR). Assumption 30%: 2Q26 CSA ramp added $1,600M revenue with CoR +$650M and R&amp;D -$201M (net ~28%). Ratio is calibrated on 2Q26 GAAP cost changes (10-Q describes CoR as infrastructure costs; depreciation content not separately disclosed); D&amp;A (I153/I156) and SBC (I159) are separate inputs tracked independently and not reconciled to the ratio-driven cost lines (Adj. EBITDA could be overstated if costs exclude incremental D&amp;A/SBC; OI and EPS unaffected).</t>
  </si>
  <si>
    <t>Cursor CoR ratio</t>
  </si>
  <si>
    <t>Cursor cost of revenue ratio. Assumption 90%: Cursor reported slight gross-margin profitability in Apr-26 (S28).</t>
  </si>
  <si>
    <t>Cursor intangible amortization</t>
  </si>
  <si>
    <t>Acquired intangible amortization (Cursor, in CoR). Assumption: purchase accounting not yet disclosed; ~$8B intangibles over ~5 years, 1.5 months.</t>
  </si>
  <si>
    <t>Cost of revenue % of revenue</t>
  </si>
  <si>
    <t>R&amp;D growth ex-Cursor q/q</t>
  </si>
  <si>
    <t>R&amp;D growth ex-Cursor (q/q). Assumption +5%: new GB300 capacity for Grok 5 training partly offset by compute shifted to CSA customers.</t>
  </si>
  <si>
    <t>Cursor R&amp;D (post-close)</t>
  </si>
  <si>
    <t>SG&amp;A growth ex-Cursor q/q</t>
  </si>
  <si>
    <t>SG&amp;A growth ex-Cursor (q/q)</t>
  </si>
  <si>
    <t>Cursor SG&amp;A (post-close)</t>
  </si>
  <si>
    <t>Restructuring (credits)</t>
  </si>
  <si>
    <t>Restructuring charges (credits)</t>
  </si>
  <si>
    <t>PP&amp;E depreciation</t>
  </si>
  <si>
    <t>PP&amp;E depreciation (3Q26E assumption). 3Q26E $2,400M (+~$515M q/q on ~$16B/qtr AI capex placed in service).</t>
  </si>
  <si>
    <t>PP&amp;E depreciation plus Cursor intangible amortization.</t>
  </si>
  <si>
    <t>3Q26E $700M incl. ~$140M Cursor assumed awards.</t>
  </si>
  <si>
    <t>Segment Adjusted EBITDA (issuer-defined). 1Q25 computes to $(111)M vs $(112)M in S-1 (rounding).</t>
  </si>
  <si>
    <t>AI capex</t>
  </si>
  <si>
    <t>Income Statement</t>
  </si>
  <si>
    <t>Revenue</t>
  </si>
  <si>
    <t>Costs and expenses</t>
  </si>
  <si>
    <t>Quarters: sum of segment tabs (segments equal consolidated; no corporate line). FY25A consolidated.</t>
  </si>
  <si>
    <t>Gross profit</t>
  </si>
  <si>
    <t>Gross profit (revenue less cost of revenue)</t>
  </si>
  <si>
    <t>Gross margin</t>
  </si>
  <si>
    <t>R&amp;D % of revenue</t>
  </si>
  <si>
    <t>SG&amp;A % of revenue</t>
  </si>
  <si>
    <t>Income (loss) from operations</t>
  </si>
  <si>
    <t>Check: segment OI sum</t>
  </si>
  <si>
    <t>Check: segment operating income sum less consolidated (should be 0)</t>
  </si>
  <si>
    <t>Non-operating</t>
  </si>
  <si>
    <t>Interest expense</t>
  </si>
  <si>
    <t>Shown as a positive cost; subtracted below.</t>
  </si>
  <si>
    <t>Interest income</t>
  </si>
  <si>
    <t>Digital asset FV gain (loss)</t>
  </si>
  <si>
    <t>Digital asset fair value gain (loss) (in other income). Quarterly split not disclosed; 6M26 unrealized loss $539M (10-Q CF statement). 3Q26E method (retained): units x (9/30 close - 6/30 close), both prices from one source (S18 StatMuse). The 10-Q 6/30 fair value $1,098M (S3) implies $58,679/BTC vs $58,558.86 used (price-source/time basis, not rounding); a carrying-value basis (units x 9/30 price - $1,098M) gives $465.5M (-$2.25M, ~-$0.0002 EPS). Unresolved, immaterial; not changed.</t>
  </si>
  <si>
    <t>FX and other (assumed nil)</t>
  </si>
  <si>
    <t>FX and other (assumed nil - not forecastable). No guidance; FX/other treated as nil in 3Q26E (explicit assumption, not a disclosed zero).</t>
  </si>
  <si>
    <t>Other income (expense), net</t>
  </si>
  <si>
    <t>Pre-tax income (loss)</t>
  </si>
  <si>
    <t>Income (loss) before income taxes</t>
  </si>
  <si>
    <t>Income tax provision</t>
  </si>
  <si>
    <t>Provision for income taxes. 3Q26E $200M: US full valuation allowance (10-Q tax note) - foreign/state taxes only.</t>
  </si>
  <si>
    <t>Effective tax rate</t>
  </si>
  <si>
    <t>Net income (loss)</t>
  </si>
  <si>
    <t>Net margin</t>
  </si>
  <si>
    <t>Reported net income (loss)</t>
  </si>
  <si>
    <t>Check: NI vs reported</t>
  </si>
  <si>
    <t>Check: net income vs reported (should be 0)</t>
  </si>
  <si>
    <t>Less: deemed dividend</t>
  </si>
  <si>
    <t>Less: deemed dividend on preferred repurchase</t>
  </si>
  <si>
    <t>Net income to common</t>
  </si>
  <si>
    <t>Net income (loss) attributable to common shareholders</t>
  </si>
  <si>
    <t>Per share (GAAP)</t>
  </si>
  <si>
    <t>Weighted avg. basic shares</t>
  </si>
  <si>
    <t>Weighted average basic shares (M)</t>
  </si>
  <si>
    <t>Weighted avg. diluted shares</t>
  </si>
  <si>
    <t>Weighted average diluted shares (M)</t>
  </si>
  <si>
    <t>GAAP basic EPS</t>
  </si>
  <si>
    <t>GAAP diluted EPS</t>
  </si>
  <si>
    <t>Reported GAAP diluted EPS</t>
  </si>
  <si>
    <t>Check: EPS = NI / diluted shares</t>
  </si>
  <si>
    <t>Check: EPS vs reported GAAP EPS (abs. diff &lt;= $0.01) in actual columns. 3Q26E (I78) is a linkage identity (I76 = I71/I74), not an independent test; excluded from Cover PASS.</t>
  </si>
  <si>
    <t>GAAP to normalized bridge (model basis)</t>
  </si>
  <si>
    <t>GAAP NI to common</t>
  </si>
  <si>
    <t>GAAP net income attributable to common</t>
  </si>
  <si>
    <t>+ Restructuring charges (credits)</t>
  </si>
  <si>
    <t>+ Impairment</t>
  </si>
  <si>
    <t>+ Debt extinguishment loss</t>
  </si>
  <si>
    <t>+ Loss on debt extinguishment. 1Q25/2Q25 zero supported by 10-Q 6M25 cash flow ('—'); FY25 not disclosed (n/a).</t>
  </si>
  <si>
    <t>+ M&amp;A costs (assumed nil)</t>
  </si>
  <si>
    <t>+ M&amp;A transaction costs. Not separately disclosed in any period: historical zeros (C84:D84, G84:H84) and 3Q26E nil (Cursor) are explicit assumptions, not reported amounts. Normalized EPS unaffected by any GAAP-only cost (added back).</t>
  </si>
  <si>
    <t>+ Deemed dividend</t>
  </si>
  <si>
    <t>Tax rate on adjustments</t>
  </si>
  <si>
    <t>0%: US full valuation allowance (10-Q tax note), so adjustments carry no tax effect.</t>
  </si>
  <si>
    <t>- Tax effect of adjustments</t>
  </si>
  <si>
    <t>- Tax effect of adjustments (US valuation allowance: 0%)</t>
  </si>
  <si>
    <t>Normalized net income</t>
  </si>
  <si>
    <t>Model-normalized net income: adds back restructuring, impairment, debt extinguishment, M&amp;A costs and deemed dividend; INCLUDES digital-asset FV changes (3Q26E: assumed $467.7M BTC gain, I54). Comparability with CapIQ normalized consensus is UNRESOLVED: the CapIQ 2Q26 normalized actual (-$0.09) equals reported GAAP EPS, consistent with no digital-asset FV adjustment (2Q26 FV change not disclosed; 6M26 unrealized loss $539M) - supports retention, but 3Q26 CapIQ EBT excl. exceptional items vs GAAP EBT differ by $441M (Inputs C51/C52, close to the gain), suggesting contributors may exclude it; contributor sets differ (14 vs 17). Not confirmed equivalent. Ex-gain alternative: I93.</t>
  </si>
  <si>
    <t>Normalized diluted EPS</t>
  </si>
  <si>
    <t>Normalized diluted EPS - model basis INCLUDING assumed BTC FV gain; CapIQ comparability unresolved (see J90; ex-gain alternative I93).</t>
  </si>
  <si>
    <t>CapIQ normalized EPS actual</t>
  </si>
  <si>
    <t>CapIQ normalized EPS actual (Inputs)</t>
  </si>
  <si>
    <t>Memo: norm. EPS ex-BTC gain</t>
  </si>
  <si>
    <t>Memo: normalized EPS excl. digital-asset FV gain - alternative if CapIQ contributors exclude the gain (unresolved).</t>
  </si>
  <si>
    <t>Adjusted EBITDA (issuer-defined)</t>
  </si>
  <si>
    <t>Sum of segment D&amp;A (equals consolidated Adj. EBITDA reconciliation, e.g. 2Q26 $2,848M). FY25 not disclosed by line.</t>
  </si>
  <si>
    <t>Sum of segment SBC (2Q26 $831M per reconciliation).</t>
  </si>
  <si>
    <t>Adjusted EBITDA</t>
  </si>
  <si>
    <t>Adjusted EBITDA margin</t>
  </si>
  <si>
    <t>Check: segment EBITDA sum</t>
  </si>
  <si>
    <t>Check: segment Adj. EBITDA sum less consolidated (should be ~0). 1Q25 differs by rounding in S-1 segment figures.</t>
  </si>
  <si>
    <t>Forecast drivers (non-operating)</t>
  </si>
  <si>
    <t>Avg. debt &amp; leases</t>
  </si>
  <si>
    <t>Average debt &amp; finance leases ($M)</t>
  </si>
  <si>
    <t>Avg. interest rate on debt</t>
  </si>
  <si>
    <t>Average interest rate on debt. Assumption 6.5%: $25B notes at 5.855% weighted (S27) plus related-party GPU financing at higher rates.</t>
  </si>
  <si>
    <t>Avg. cash &amp; securities</t>
  </si>
  <si>
    <t>Average cash &amp; marketable securities ($M). Opening balance plus half of (Adj. EBITDA less capex) - avoids circularity with interest income. Approximation: ignores working capital, net interest and tax in the half-period cash change; vs a simple average of the model's own opening/closing cash (~93,205) interest income would be ~$10M lower (~$0.0008 EPS). Retained as documented assumption.</t>
  </si>
  <si>
    <t>Yield on cash &amp; securities</t>
  </si>
  <si>
    <t>Assumption 3.9%: implied by 1H26 interest income on pre/post-IPO balances.</t>
  </si>
  <si>
    <t>Bitcoin held (units)</t>
  </si>
  <si>
    <t>BTC price, opening ($)</t>
  </si>
  <si>
    <t>BTC price, closing ($)</t>
  </si>
  <si>
    <t>Balance Sheet</t>
  </si>
  <si>
    <t>Assets</t>
  </si>
  <si>
    <t>Cash and cash equivalents</t>
  </si>
  <si>
    <t>Marketable securities</t>
  </si>
  <si>
    <t>3Q26E held flat. 1Q26: cash &amp; short-term securities $23,675M less cash (S7).</t>
  </si>
  <si>
    <t>Accounts receivable, net</t>
  </si>
  <si>
    <t>Inventory</t>
  </si>
  <si>
    <t>Prepaid &amp; other current assets</t>
  </si>
  <si>
    <t>Prepaid expenses and other current assets</t>
  </si>
  <si>
    <t>Other current assets (1Q26)</t>
  </si>
  <si>
    <t>Other current assets (1Q26 derived: total less cash &amp; securities). Only used for 1Q26A where line detail is not disclosed.</t>
  </si>
  <si>
    <t>Total current assets</t>
  </si>
  <si>
    <t>PP&amp;E, net</t>
  </si>
  <si>
    <t>Property, plant and equipment, net. 3Q26E roll = opening + capex - all non-Cursor D&amp;A (includes any finance-lease ROU and legacy intangible amortization, not separately forecast; ROU I17 and legacy intangibles in I18 held flat). Reallocation between asset lines only; no P&amp;L effect.</t>
  </si>
  <si>
    <t>Finance lease ROU assets</t>
  </si>
  <si>
    <t>Finance lease right-of-use assets</t>
  </si>
  <si>
    <t>Intangible assets, net</t>
  </si>
  <si>
    <t>Digital assets (Bitcoin)</t>
  </si>
  <si>
    <t>Digital assets (Bitcoin). 3Q26E = 6/30 carrying value + modelled FV gain (IS I54); differs from 18,712 x 9/30 price by ~$2.25M because of the 6/30 price-source basis (see Income Statement J54).</t>
  </si>
  <si>
    <t>Goodwill</t>
  </si>
  <si>
    <t>Deferred tax assets</t>
  </si>
  <si>
    <t>Other assets</t>
  </si>
  <si>
    <t>Other non-current assets (1Q26)</t>
  </si>
  <si>
    <t>Other non-current assets (1Q26 derived)</t>
  </si>
  <si>
    <t>Total assets</t>
  </si>
  <si>
    <t>Liabilities</t>
  </si>
  <si>
    <t>Accounts payable</t>
  </si>
  <si>
    <t>Deferred revenue, current</t>
  </si>
  <si>
    <t>Debt &amp; leases, current</t>
  </si>
  <si>
    <t>Debt and finance leases, current</t>
  </si>
  <si>
    <t>Accrued &amp; other current liab.</t>
  </si>
  <si>
    <t>Accrued expenses and other current liabilities</t>
  </si>
  <si>
    <t>Other current liab. (1Q26)</t>
  </si>
  <si>
    <t>Other current liabilities (1Q26 derived)</t>
  </si>
  <si>
    <t>Total current liabilities</t>
  </si>
  <si>
    <t>Deferred revenue, non-current</t>
  </si>
  <si>
    <t>Deferred revenue, net of current</t>
  </si>
  <si>
    <t>Debt &amp; leases, non-current</t>
  </si>
  <si>
    <t>Debt and finance leases, net of current</t>
  </si>
  <si>
    <t>Other liabilities</t>
  </si>
  <si>
    <t>Other non-current liab. (1Q26)</t>
  </si>
  <si>
    <t>Other non-current liabilities (1Q26 derived)</t>
  </si>
  <si>
    <t>Total liabilities</t>
  </si>
  <si>
    <t>Redeemable conv. preferred</t>
  </si>
  <si>
    <t>Redeemable convertible preferred stock (mezzanine)</t>
  </si>
  <si>
    <t>Shareholders' equity</t>
  </si>
  <si>
    <t>Class A common stock (par)</t>
  </si>
  <si>
    <t>Class B and C stock (par)</t>
  </si>
  <si>
    <t>Class B and C common stock (par)</t>
  </si>
  <si>
    <t>Common stock (par)</t>
  </si>
  <si>
    <t>Additional paid-in capital</t>
  </si>
  <si>
    <t>3Q26E adds Cursor stock consideration and SBC.</t>
  </si>
  <si>
    <t>Accumulated deficit</t>
  </si>
  <si>
    <t>Accumulated OCI</t>
  </si>
  <si>
    <t>Accumulated other comprehensive income</t>
  </si>
  <si>
    <t>Total shareholders' equity</t>
  </si>
  <si>
    <t>Total liab., preferred &amp; equity</t>
  </si>
  <si>
    <t>Total liabilities, preferred and equity</t>
  </si>
  <si>
    <t>Check: A - L - pref. - equity</t>
  </si>
  <si>
    <t>Check: assets - liabilities - preferred - equity (should be 0). Mar-25 and Jun-25 balance sheets not disclosed (unavailable).</t>
  </si>
  <si>
    <t>Memo and forecast drivers</t>
  </si>
  <si>
    <t>Total debt &amp; finance leases</t>
  </si>
  <si>
    <t>1Q26 non-current debt not separately disclosed in summary data (principal $29,132M per S-1).</t>
  </si>
  <si>
    <t>Net cash (cash+securities-debt)</t>
  </si>
  <si>
    <t>Net cash (cash + securities - debt)</t>
  </si>
  <si>
    <t>Receivable days (DSO)</t>
  </si>
  <si>
    <t>3Q26E assumption 40 days (2Q26 ~42 days on quarterly revenue).</t>
  </si>
  <si>
    <t>Inventory growth q/q</t>
  </si>
  <si>
    <t>Inventory growth q/q (assumption)</t>
  </si>
  <si>
    <t>Cursor consideration (stock)</t>
  </si>
  <si>
    <t>Cursor purchase consideration (stock, non-cash). Recorded at implied equity value; final fair value at close not yet disclosed.</t>
  </si>
  <si>
    <t>Cursor intangibles (assumed)</t>
  </si>
  <si>
    <t>Cursor identifiable intangibles (assumption). Assumption; remainder of consideration to goodwill (net other assets assumed nil).</t>
  </si>
  <si>
    <t>Cash Flow Statement</t>
  </si>
  <si>
    <t>Operating activities</t>
  </si>
  <si>
    <t>Digital asset (gain) loss</t>
  </si>
  <si>
    <t>Unrealized (gain) loss on digital assets</t>
  </si>
  <si>
    <t>Change in accounts receivable</t>
  </si>
  <si>
    <t>Change in inventory</t>
  </si>
  <si>
    <t>Other non-cash &amp; work. capital</t>
  </si>
  <si>
    <t>Other non-cash items and working capital (derived). Historical: reported CFO less items above. 3Q26E: other balances held flat.</t>
  </si>
  <si>
    <t>Memo: CFO YTD (6M) reported</t>
  </si>
  <si>
    <t>Memo: CFO year-to-date (6M) reported</t>
  </si>
  <si>
    <t>Cash from operations</t>
  </si>
  <si>
    <t>Net cash provided by operating activities</t>
  </si>
  <si>
    <t>Investing activities</t>
  </si>
  <si>
    <t>Purchases of PP&amp;E (capex)</t>
  </si>
  <si>
    <t>Outflow shown negative; equals minus the sum of segment capex (6M26 purchases of PP&amp;E $28,476M).</t>
  </si>
  <si>
    <t>Other investing (derived)</t>
  </si>
  <si>
    <t>Securities, rebates, spectrum payments. 3Q26E nil (Cursor is all-stock; securities held flat).</t>
  </si>
  <si>
    <t>Memo: CFI YTD (6M) reported</t>
  </si>
  <si>
    <t>Memo: CFI year-to-date (6M) reported</t>
  </si>
  <si>
    <t>Cash from investing</t>
  </si>
  <si>
    <t>Net cash used in investing activities</t>
  </si>
  <si>
    <t>Financing activities</t>
  </si>
  <si>
    <t>Memo: CFF YTD (6M) reported</t>
  </si>
  <si>
    <t>Memo: CFF year-to-date (6M) reported</t>
  </si>
  <si>
    <t>Cash from financing</t>
  </si>
  <si>
    <t>Net cash provided by financing activities. 3Q26E: no new debt/equity financing assumed (Cursor consideration non-cash).</t>
  </si>
  <si>
    <t>Cash reconciliation</t>
  </si>
  <si>
    <t>Effect of FX &amp; other</t>
  </si>
  <si>
    <t>FY25 (F29) is NOT the issuer-reported FX effect: derived residual = ending cash - beginning cash - CFO - CFI - CFF (FX and other). Quarterly split not disclosed (6M26 reported FX $(42)M; 6M25 $75M).</t>
  </si>
  <si>
    <t>Net change in cash</t>
  </si>
  <si>
    <t>Net change in cash, equivalents and restricted cash</t>
  </si>
  <si>
    <t>Beginning cash incl. restricted</t>
  </si>
  <si>
    <t>Beginning cash, equivalents and restricted cash</t>
  </si>
  <si>
    <t>Ending cash incl. restricted</t>
  </si>
  <si>
    <t>Ending cash, equivalents and restricted cash</t>
  </si>
  <si>
    <t>Restricted cash</t>
  </si>
  <si>
    <t>Restricted cash (in prepaid and other assets)</t>
  </si>
  <si>
    <t>Balance Sheet cash</t>
  </si>
  <si>
    <t>Balance Sheet cash and cash equivalents</t>
  </si>
  <si>
    <t>Check: cash ties to BS</t>
  </si>
  <si>
    <t>Check: ending cash less restricted ties to Balance Sheet (should be 0). 3Q26E (I35) is a linkage identity (BS cash is built from this CF); excluded from Cover PASS.</t>
  </si>
  <si>
    <t>Check: cash roll-forward</t>
  </si>
  <si>
    <t>Check: beginning + net change = ending (should be 0). FY25 n/a: F29 is a derived residual, so the check would be circular. 3Q26E (I36) is a linkage identity (I32 = I31 + I30); excluded from Cover PASS.</t>
  </si>
  <si>
    <t>Free cash flow (analyst-defined; issuer does not define FCF)</t>
  </si>
  <si>
    <t>Operating cash flow less capex</t>
  </si>
  <si>
    <t>FCF margin</t>
  </si>
  <si>
    <t>Capex % of revenue</t>
  </si>
  <si>
    <t>Share Count</t>
  </si>
  <si>
    <t>Shares outstanding (period end, millions)</t>
  </si>
  <si>
    <t>Common shares outstanding</t>
  </si>
  <si>
    <t>Common shares outstanding (Class A + B + C)</t>
  </si>
  <si>
    <t>Shares outstanding 7/28/26</t>
  </si>
  <si>
    <t>Shares outstanding at 2026-07-28 (10-Q cover)</t>
  </si>
  <si>
    <t>Less: unvested restricted shares</t>
  </si>
  <si>
    <t>Less: unvested restricted performance shares (excluded from EPS). 10-Q excludes 1,331M performance/market-condition awards from EPS; 1,302M are issued restricted Class B shares. UNRESOLVED ASSUMPTION: ASC 260 contingently-issuable test at 9/30/26 not evidenced in frozen sources. Sensitivity: if the 1,302M were fully dilutive, normalized EPS ~ $0.198 (vs $0.219).</t>
  </si>
  <si>
    <t>Cursor shares: common/preferred</t>
  </si>
  <si>
    <t>Cursor shares: converted Cursor common/preferred</t>
  </si>
  <si>
    <t>Cursor shares: vested RSUs</t>
  </si>
  <si>
    <t>Cursor shares: vested Cursor RSUs</t>
  </si>
  <si>
    <t>Cursor merger shares issued</t>
  </si>
  <si>
    <t>Issued 2026-08-14.</t>
  </si>
  <si>
    <t>Days Cursor shares outstanding</t>
  </si>
  <si>
    <t>Days Cursor shares outstanding in quarter</t>
  </si>
  <si>
    <t>Other issuance, net</t>
  </si>
  <si>
    <t>Other issuance (RSU vesting, ESPP, options), net. Assumption; no buyback programme announced. Weighting: treated as a period-end net amount (added to I9) and included at FULL weight in weighted basic shares I38 - an explicit judgment, not time-weighted (timing not evidenced; half-weighting would raise EPS by ~$0.0001). Not retuned. Historical other issuance not disclosed (n/a): period-end roll-forward does not reconcile (1Q26 unexplained ~1,325.5M, consistent with the 1,302M restricted Class B award plus other; 2Q26 ~26.5M). EPS unaffected (historical weighted shares are reported).</t>
  </si>
  <si>
    <t>Shares repurchased</t>
  </si>
  <si>
    <t>Shares repurchased in period</t>
  </si>
  <si>
    <t>Shares issued: IPO</t>
  </si>
  <si>
    <t>Shares issued: pref. conversion</t>
  </si>
  <si>
    <t>Shares issued: preferred conversion (IPO)</t>
  </si>
  <si>
    <t>Shares issued: mergers</t>
  </si>
  <si>
    <t>Shares issued: mergers (xAI 1Q26; Cursor 3Q26E)</t>
  </si>
  <si>
    <t>Weighted average shares (millions)</t>
  </si>
  <si>
    <t>Weighted average basic shares</t>
  </si>
  <si>
    <t>Potentially dilutive awards</t>
  </si>
  <si>
    <t>Potentially dilutive share-based awards (as-converted). 3Q26E = 564M existing (H41) + 29.1M assumed Cursor awards (I44) time-weighted for 48/92 days (I27/I6): awards issued at the 2026-08-14 close (S12), same weighting as the Cursor merger shares in I38.</t>
  </si>
  <si>
    <t>Assumed Cursor awards (M)</t>
  </si>
  <si>
    <t>Assumed Cursor unvested awards (M), count at the 2026-08-14 close (S12); enters I41 time-weighted by I27/I6.</t>
  </si>
  <si>
    <t>Treasury-stock dilution factor</t>
  </si>
  <si>
    <t>Treasury-stock net dilution factor. Assumption: low-strike options/RSUs at ~$150 average share price. UNRESOLVED ASSUMPTION (no award strike/price evidence in frozen sources). Sensitivity: factor 1.0 gives normalized EPS ~ $0.217; each +100M diluted shares ~ -$0.0017.</t>
  </si>
  <si>
    <t>Incremental dilutive shares</t>
  </si>
  <si>
    <t>Actual periods: net losses, so diluted = basic (anti-dilutive).</t>
  </si>
  <si>
    <t>Weighted average diluted shares</t>
  </si>
  <si>
    <t>EPS behind the forecast</t>
  </si>
  <si>
    <t>GAAP net income to common</t>
  </si>
  <si>
    <t>Net income attributable to common (GAAP)</t>
  </si>
  <si>
    <t>GAAP diluted EPS (NI / shares)</t>
  </si>
  <si>
    <t>GAAP diluted EPS = net income / diluted shares</t>
  </si>
  <si>
    <t>Normalized net income (model basis, includes assumed BTC FV gain; see Income Statement J90)</t>
  </si>
  <si>
    <t>Memo: market cap 10/16 ($M)</t>
  </si>
  <si>
    <t>Memo: market cap at 2026-10-16 ($M) = $146.03 x shares at 7/28</t>
  </si>
  <si>
    <t>Guidance register (column headers in row 9; columns are not periods)</t>
  </si>
  <si>
    <t>Guidance given (one row per item)</t>
  </si>
  <si>
    <t>Metric</t>
  </si>
  <si>
    <t>Date given</t>
  </si>
  <si>
    <t>Low</t>
  </si>
  <si>
    <t>High</t>
  </si>
  <si>
    <t>Midpoint</t>
  </si>
  <si>
    <t>Actual</t>
  </si>
  <si>
    <t>Beat/Miss</t>
  </si>
  <si>
    <t>Total capex ($M)</t>
  </si>
  <si>
    <t>3Q26</t>
  </si>
  <si>
    <t>Pending</t>
  </si>
  <si>
    <t>S5: "next two quarters very similar to the current quarter" (2Q26 capex). Actual not yet reported; model 3Q26E capex is on Cash Flow Statement.</t>
  </si>
  <si>
    <t>Nameplate compute YE26 (GW)</t>
  </si>
  <si>
    <t>FY26</t>
  </si>
  <si>
    <t>S5: "end this year with over 2 GW of compute".</t>
  </si>
  <si>
    <t>ARR, Dec-2026 ($M)</t>
  </si>
  <si>
    <t>Dec-26</t>
  </si>
  <si>
    <t>S5/S14: "$100 billion plus ARR in December".</t>
  </si>
  <si>
    <t>Cursor merger close</t>
  </si>
  <si>
    <t>Closed</t>
  </si>
  <si>
    <t>Met</t>
  </si>
  <si>
    <t>S3/S12: expected to close in 3Q26; closed 2026-08-14.</t>
  </si>
  <si>
    <t>Starlink V3 on Starship</t>
  </si>
  <si>
    <t>2H26</t>
  </si>
  <si>
    <t>Deployed</t>
  </si>
  <si>
    <t>S6/S16: V3 deployment on Starship in H2 2026; Flight 14 deployed 26 V3 satellites 2026-09-28. Date = S6 424B4 publication (2026-06-12); the statement first appeared in the S-1 filed 2026-05-20.</t>
  </si>
  <si>
    <t>Revenue / EPS guidance</t>
  </si>
  <si>
    <t>None issued</t>
  </si>
  <si>
    <t>S4/S5: no quantitative revenue, net income or EPS guidance.</t>
  </si>
  <si>
    <t>Guidance record: one reported quarter only.</t>
  </si>
  <si>
    <t>SpaceX has reported one quarter as a public company; there is no guidance-vs-actual history yet.</t>
  </si>
  <si>
    <t>Sources</t>
  </si>
  <si>
    <t>Source register (column headers in row 10; columns are not periods)</t>
  </si>
  <si>
    <t>Source register</t>
  </si>
  <si>
    <t>Dates: published &lt; cutoff; retrieved</t>
  </si>
  <si>
    <t>All publication dates precede the 2026-10-18 21:34 UTC information cutoff. Retrieved = date fetched during this run (2026-10-20 UTC, before the 3Q26 release after market close). Limitation: retrieval (2026-10-20) is after the cutoff and no archived pre-cutoff snapshots were recorded; live pages (e.g. S15, S17, S23) may have changed after the cutoff. Values used are pre-cutoff facts (launches through 9/30, 9/30 BTC close, 10/16 close).</t>
  </si>
  <si>
    <t>ID - Publisher / document</t>
  </si>
  <si>
    <t>Published</t>
  </si>
  <si>
    <t>Retrieved</t>
  </si>
  <si>
    <t>URL or file</t>
  </si>
  <si>
    <t>What it feeds</t>
  </si>
  <si>
    <t>S1 CapIQ consensus (attached)</t>
  </si>
  <si>
    <t>SPCX_consensus.json</t>
  </si>
  <si>
    <t>S&amp;P Capital IQ (attached) | Cover consensus; Inputs summary row; prior calibration</t>
  </si>
  <si>
    <t>S2 CapIQ history (attached)</t>
  </si>
  <si>
    <t>SPCX_history.csv</t>
  </si>
  <si>
    <t>S&amp;P Capital IQ (attached) | Inputs history row; 2Q26 normalized EPS actual</t>
  </si>
  <si>
    <t>S3 SpaceX 10-Q Q2 2026</t>
  </si>
  <si>
    <t>https://www.sec.gov/Archives/edgar/data/1181412/000162828026052535/spcx-20260630.htm</t>
  </si>
  <si>
    <t>SpaceX / SEC EDGAR - Form 10-Q (Q2 2026) | IS, BS, CF, segment note, revenue note, EPS note, share counts</t>
  </si>
  <si>
    <t>S4 SpaceX Q2 2026 release</t>
  </si>
  <si>
    <t>https://d1f19qmytqk9eo.cloudfront.net/edgar0105/2026/08/04/1181412/000162828026052515/document/earningsreleaseq22608042.htm</t>
  </si>
  <si>
    <t>SpaceX - Q2 2026 earnings release (8-K Ex.99.1) | Segment KPIs (launches, payloads, subs, ARPU, GW), segment D&amp;A/SBC/capex, Q1 2026 columns</t>
  </si>
  <si>
    <t>S5 SpaceX Q2 2026 webcast</t>
  </si>
  <si>
    <t>https://s21.q4cdn.com/184289198/files/doc_financials/2026/q2/SpaceX-Q2-2026-Earnings_Transcript-FINAL.pdf</t>
  </si>
  <si>
    <t>SpaceX - Q2 2026 webcast transcript | Guidance: capex next two quarters ~Q2 level; &gt;2 GW YE26; $100B ARR Dec-26; $6.7B CSA ramp Oct</t>
  </si>
  <si>
    <t>S6 SpaceX 424B4 prospectus</t>
  </si>
  <si>
    <t>https://www.sec.gov/Archives/edgar/data/1181412/000162828026042639/spaceexplorationtechnologi.htm</t>
  </si>
  <si>
    <t>SpaceX / SEC EDGAR - Final prospectus (424B4) | FY25 and Q1 2025/Q1 2026 summary IS, CF, capex, BS (3/31/26), KPIs, EPS and shares</t>
  </si>
  <si>
    <t>S7 Aardvark Labs S-1 analysis</t>
  </si>
  <si>
    <t>https://research.aardvarklabs.co/research/spcx/earnings/2026-s1/spcx-2026-s1-analysis</t>
  </si>
  <si>
    <t>Aardvark Labs - S-1 analysis (corrected, checked to S-1) | FY25 cost lines, interest, other, tax; FY24/FY25 sub-segment revenue; Space FY25 R&amp;D</t>
  </si>
  <si>
    <t>S8 SpaceX IR results date</t>
  </si>
  <si>
    <t>https://ir.spacex.com/updates/releases-details/2026/SpaceX-to-Post-Third-Quarter-2026-Results-and-Host-Webcast-on-October-20-2026-2026-QssQGye3im/</t>
  </si>
  <si>
    <t>SpaceX IR - Q3 2026 results date | Expected report date 2026-10-20 (after close)</t>
  </si>
  <si>
    <t>S9 SpaceX FWP Google CSA</t>
  </si>
  <si>
    <t>https://www.sec.gov/Archives/edgar/data/1181412/000162828026041150/spacexagreementfwp.htm</t>
  </si>
  <si>
    <t>SpaceX / SEC EDGAR - FWP Google cloud service agreement | Google $920M/month from Oct-26; reduced-fee ramp through Sep-26</t>
  </si>
  <si>
    <t>S10 Axios Anthropic fee</t>
  </si>
  <si>
    <t>https://www.axios.com/2026/05/20/anthropic-spacex-compute</t>
  </si>
  <si>
    <t>Axios - Anthropic paying SpaceX $1.25B/month | Anthropic monthly fee; reduced fees May/Jun ramp</t>
  </si>
  <si>
    <t>S11 CNBC Reflection AI deal</t>
  </si>
  <si>
    <t>https://www.cnbc.com/2026/06/22/spacex-ai-colossus-data-center-reflection.html</t>
  </si>
  <si>
    <t>CNBC - Reflection AI compute deal | Reflection $150M/month from 2026-07-01</t>
  </si>
  <si>
    <t>S12 SpaceX 8-K Cursor close</t>
  </si>
  <si>
    <t>https://www.sec.gov/Archives/edgar/data/1181412/000162828026056945/spcx-20260814.htm</t>
  </si>
  <si>
    <t>SpaceX / SEC EDGAR - 8-K Cursor merger completed | Cursor close date; 389,289,254 + 1,752,426 Class A shares issued; ~29.1M assumed awards</t>
  </si>
  <si>
    <t>S13 Forbes Cursor ARR</t>
  </si>
  <si>
    <t>https://www.forbes.com/sites/richardnieva/2026/06/08/cursor-4-billion-annualized-revenue/</t>
  </si>
  <si>
    <t>Forbes - Cursor $4B annualized revenue | Cursor ARR basis for post-close revenue assumption</t>
  </si>
  <si>
    <t>S14 Business Insider CFO</t>
  </si>
  <si>
    <t>https://www.businessinsider.com/spacex-strikes-billion-a-month-compute-deal-with-mystery-customer-2026-9</t>
  </si>
  <si>
    <t>Business Insider - CFO remarks at investor conference | New hosting deal $1.11B/month from 2026-12-01 (Q4, not Q3); $100B ARR conviction</t>
  </si>
  <si>
    <t>S15 Deutsche Bank launches</t>
  </si>
  <si>
    <t>https://finvaulta.com/research/deutsche-bank/rocket-launch-tracker-2026-10-08</t>
  </si>
  <si>
    <t>Deutsche Bank Rocket Launch Tracker (via Finvaulta) | 3Q26 Falcon launches 33, of which 21 internal (12 customer)</t>
  </si>
  <si>
    <t>S16 SpaceX Starship Flight 14</t>
  </si>
  <si>
    <t>https://www.spacex.com/launches/starship-flight-14/</t>
  </si>
  <si>
    <t>SpaceX - Starship Flight 14 | First orbital Starship flight, 26 Starlink V3 satellites (internal launch)</t>
  </si>
  <si>
    <t>S17 FutureSearch Starlink subs</t>
  </si>
  <si>
    <t>https://futuresearch.ai/app/p/a/starlink-15-million-subscribers-by-2026</t>
  </si>
  <si>
    <t>FutureSearch / Yahoo Finance - Starlink subscriber tracking | 13M+ broadband subs by mid-Aug all-hands; ~13.5M est. exiting Sep; UBS 14.3M</t>
  </si>
  <si>
    <t>S18 StatMuse Bitcoin prices</t>
  </si>
  <si>
    <t>https://www.statmuse.com/money/ask/bitcoin-price-september-2026</t>
  </si>
  <si>
    <t>StatMuse Money - Bitcoin closing prices | BTC close 2026-06-30 $58,558.86; 2026-09-30 $83,553.85</t>
  </si>
  <si>
    <t>S19 Investing.com UBS preview</t>
  </si>
  <si>
    <t>https://www.investing.com/news/analyst-ratings/ubs-raises-spacex-stock-price-target-on-ai-growth-cloud-deals-93CH-4922171</t>
  </si>
  <si>
    <t>Investing.com - UBS Q3 preview | Street rev $12.9B / EBITDA $6.9B; UBS segment views (newer consensus context)</t>
  </si>
  <si>
    <t>S20 Yahoo TD Cowen note</t>
  </si>
  <si>
    <t>https://finance.yahoo.com/markets/stocks/article/spacex-stock-higher-as-td-cowen-initiates-at-buy-sees-ai-compute-driving-majority-of-revenue-193713033.html</t>
  </si>
  <si>
    <t>Yahoo Finance - TD Cowen initiation | Four compute customers; Dec-26 $1.1B/month deal timing</t>
  </si>
  <si>
    <t>S21 CNBC LSEG consensus</t>
  </si>
  <si>
    <t>https://www.cnbc.com/2026/10/16/spacex-evercore-isi-price-target.html</t>
  </si>
  <si>
    <t>CNBC - Evercore ISI note (LSEG consensus) | Newer consensus: LSEG EPS $0.14, revenue $12,738M</t>
  </si>
  <si>
    <t>S22 Panke (FactSet cons.)</t>
  </si>
  <si>
    <t>https://tape.panke.app/q3</t>
  </si>
  <si>
    <t>Panke tape - SPCX Q3 estimates page | FactSet 17-Oct consensus: rev $12.89B, AI $6.5B, Conn $4.8B, Space $1.4B, EPS $0.14</t>
  </si>
  <si>
    <t>S23 Bullfincher market cap</t>
  </si>
  <si>
    <t>https://bullfincher.io/companies/space-exploration-technologies-corp/market-cap</t>
  </si>
  <si>
    <t>Bullfincher - SPCX market cap | Market cap $1.92T at $146.03 x 13.18B shares (2026-10-16)</t>
  </si>
  <si>
    <t>S24 Reuters S&amp;P 500 rules</t>
  </si>
  <si>
    <t>https://www.reuters.com/business/finance/sp-global-keeps-fast-entry-proposal-unchanged-spacex-listing-looms-2026-06-04/</t>
  </si>
  <si>
    <t>Reuters - S&amp;P keeps index entry rules (no S&amp;P 500 fast entry) | S&amp;P 500 membership: not a member</t>
  </si>
  <si>
    <t>S25 Seeking Alpha Anthropic</t>
  </si>
  <si>
    <t>https://seekingalpha.com/news/4648135-anthropic-agrees-to-pay-spacex-nearly-double-prior-estimates-for-compute-report</t>
  </si>
  <si>
    <t>Seeking Alpha - Anthropic up to $84.5B SpaceX compute | Anthropic expansion context (no Q3 timing disclosed; not modelled)</t>
  </si>
  <si>
    <t>S26 Quartz compute deals</t>
  </si>
  <si>
    <t>https://qz.com/spacex-ai-computing-deal-billion-revenue-target-091126</t>
  </si>
  <si>
    <t>Quartz - compute deal roster ($6.7B July deal; Reflection) | $6.7B six-month CSA ramps from Oct-26 (Q4)</t>
  </si>
  <si>
    <t>S27 StockTitan notes pricing</t>
  </si>
  <si>
    <t>https://www.stocktitan.net/sec-filings/SPCX/8-k.html</t>
  </si>
  <si>
    <t>StockTitan - $25B senior notes pricing (8-K) | Notes coupons 5.35%-6.65%; weighted 5.855%</t>
  </si>
  <si>
    <t>S28 TechCrunch Cursor ARR</t>
  </si>
  <si>
    <t>https://techcrunch.com/2026/04/17/sources-cursor-in-talks-to-raise-2b-at-50b-valuation-as-enterprise-growth-surges/</t>
  </si>
  <si>
    <t>TechCrunch - Cursor forecasts &gt;$6B ARR by end-2026 | Cursor ARR trajectory</t>
  </si>
  <si>
    <t>S29 Aardvark/S-1 Musk award</t>
  </si>
  <si>
    <t>Aardvark Labs / S-1 - Musk 2026 performance award 1,302M restricted Class B shares | Restricted shares excluded from EPS share count</t>
  </si>
  <si>
    <t>S30 Nasdaq-100 inclusion</t>
  </si>
  <si>
    <t>https://www.nasdaq.com/press-release/space-exploration-technologies-corporation-join-nasdaq-100-indexr-beginning-july-7</t>
  </si>
  <si>
    <t>Nasdaq - SPCX joins Nasdaq-100 | Index membership context</t>
  </si>
  <si>
    <t>Omitted tab: Geo (S3 checked)</t>
  </si>
  <si>
    <t>No geographic revenue disclosure in the Q2 2026 10-Q (Notes 3 and 18) or the prospectus segment note.</t>
  </si>
  <si>
    <t>Excluded: post-cutoff pages</t>
  </si>
  <si>
    <t>Pages dated 2026-10-19/20 (previews) were not used; no 3Q26 actual results were seen.</t>
  </si>
  <si>
    <t>History limit: no 3Q25/4Q25</t>
  </si>
  <si>
    <t>3Q25 and 4Q25 standalone quarters were never published (company private); 2H25A = FY25 less 1H25.</t>
  </si>
  <si>
    <t>Inputs (CapIQ raw files, reference history, prior calibration)</t>
  </si>
  <si>
    <t>Key-value inputs sheet (column C = value as supplied; columns are not periods)</t>
  </si>
  <si>
    <t>CapIQ summary row (SPCX_consensus.json -&gt; summary_row; blanks preserved)</t>
  </si>
  <si>
    <t>ticker</t>
  </si>
  <si>
    <t>company_name</t>
  </si>
  <si>
    <t>exchange_ticker</t>
  </si>
  <si>
    <t>NasdaqGS:SPCX</t>
  </si>
  <si>
    <t>capiq_company_id</t>
  </si>
  <si>
    <t>ID 7702894</t>
  </si>
  <si>
    <t>currency_basis</t>
  </si>
  <si>
    <t>USD</t>
  </si>
  <si>
    <t>fiscal_year_end</t>
  </si>
  <si>
    <t>Dec-31</t>
  </si>
  <si>
    <t>fiscal_quarter</t>
  </si>
  <si>
    <t>FQ3 2026 - Sep 2026</t>
  </si>
  <si>
    <t>quarter_end_date</t>
  </si>
  <si>
    <t>expected_report_date</t>
  </si>
  <si>
    <t>eps_basis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</si>
  <si>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</si>
  <si>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</si>
  <si>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</si>
  <si>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</si>
  <si>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</si>
  <si>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</si>
  <si>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</si>
  <si>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</si>
  <si>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</si>
  <si>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</si>
  <si>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</si>
  <si>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</si>
  <si>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</si>
  <si>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</si>
  <si>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</si>
  <si>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</si>
  <si>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</si>
  <si>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</si>
  <si>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</si>
  <si>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</si>
  <si>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</si>
  <si>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</si>
  <si>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</si>
  <si>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</si>
  <si>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</si>
  <si>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</si>
  <si>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</si>
  <si>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</si>
  <si>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</si>
  <si>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</si>
  <si>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</si>
  <si>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</si>
  <si>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</si>
  <si>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</si>
  <si>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</si>
  <si>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</si>
  <si>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</si>
  <si>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</si>
  <si>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</si>
  <si>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</si>
  <si>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</si>
  <si>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</si>
  <si>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</si>
  <si>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</si>
  <si>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</si>
  <si>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</si>
  <si>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</si>
  <si>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</si>
  <si>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</si>
  <si>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</si>
  <si>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</si>
  <si>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</si>
  <si>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</si>
  <si>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</si>
  <si>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</si>
  <si>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</si>
  <si>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</si>
  <si>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</si>
  <si>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225.64/104.83</t>
  </si>
  <si>
    <t>estimates_captured_at</t>
  </si>
  <si>
    <t>notes</t>
  </si>
  <si>
    <t>COVERAGE GAP. The security exists in CapIQ as NasdaqGS:SPCX and forward consensus is available, but the Surprise tab carries no reported-quarter EPS block, so there is no six-quarter history: only one quarter (Jun-2026, normalized actual -0.09) has reported. The history file is therefore not produced for SPCX rather than padded. CapIQ expects the FQ3 2026 release on Nov-05-2026, outside the Oct 19-23 window. Target-price panel is 31 of 36 and the forward EPS range spans negative to positive, so dispersion is wide.</t>
  </si>
  <si>
    <t>CapIQ file metadata</t>
  </si>
  <si>
    <t>source</t>
  </si>
  <si>
    <t>S&amp;P Capital IQ</t>
  </si>
  <si>
    <t>as_of_date</t>
  </si>
  <si>
    <t>analyst_count</t>
  </si>
  <si>
    <t>consensus_eps</t>
  </si>
  <si>
    <t>consensus_revenue_m</t>
  </si>
  <si>
    <t>currency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</si>
  <si>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</si>
  <si>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</si>
  <si>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</si>
  <si>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</si>
  <si>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</si>
  <si>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CapIQ history file (SPCX_history.csv) - 1 row supplied; rows 2-6 not supplied and not padded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</si>
  <si>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</si>
  <si>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</si>
  <si>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</si>
  <si>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</si>
  <si>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</si>
  <si>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</si>
  <si>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</si>
  <si>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</si>
  <si>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Reference history: FY2024 (S-1) used for FY25 Y/Y</t>
  </si>
  <si>
    <t>Total revenue FY24</t>
  </si>
  <si>
    <t>Space revenue FY24</t>
  </si>
  <si>
    <t>Connectivity revenue FY24</t>
  </si>
  <si>
    <t>AI revenue FY24</t>
  </si>
  <si>
    <t>Launch services FY24</t>
  </si>
  <si>
    <t>Launch &amp; development FY24</t>
  </si>
  <si>
    <t>Launch &amp; development FY24 (3,796 - 2,584)</t>
  </si>
  <si>
    <t>Enterprise &amp; government FY24</t>
  </si>
  <si>
    <t>Consumer FY24 (7,599 - 2,769)</t>
  </si>
  <si>
    <t>AI solutions &amp; infrastructure FY24</t>
  </si>
  <si>
    <t>Advertising FY24 (2,620 - 892)</t>
  </si>
  <si>
    <t>Prior calibration (frozen playbook v3: size and issuer history; large-cap prior 0.78, k = 8)</t>
  </si>
  <si>
    <t>Provenance: cached forecasting-playbook.md header reads 'v2 experimental'; relabelled v3 per repair scope (frozen v3 prior). Parameters identical: 0.60/0.70/0.78 cohort priors, k = 8.</t>
  </si>
  <si>
    <t>SPCX close 10/16 ($)</t>
  </si>
  <si>
    <t>SPCX close 2026-10-16 ($). CapIQ last_close_price; matches $146.03 close on 2026-10-16 (S23).</t>
  </si>
  <si>
    <t>Shares outstanding (M)</t>
  </si>
  <si>
    <t>10-Q cover count (7/28/26); same 13.18B used by data vendors (S23).</t>
  </si>
  <si>
    <t>Market cap 10/16 ($M)</t>
  </si>
  <si>
    <t>Market cap 2026-10-16 ($M)</t>
  </si>
  <si>
    <t>Size bucket</t>
  </si>
  <si>
    <t>Size bucket (small $0.3-2B; mid $2-10B; large &gt;$10B)</t>
  </si>
  <si>
    <t>S&amp;P 500 member</t>
  </si>
  <si>
    <t>No</t>
  </si>
  <si>
    <t>S&amp;P 500 member (S24: no fast entry; profitability test unmet)</t>
  </si>
  <si>
    <t>Cohort prior</t>
  </si>
  <si>
    <t>Cohort prior (0.60 small / 0.70 mid / 0.78 large or S&amp;P 500)</t>
  </si>
  <si>
    <t>Strict beats (b)</t>
  </si>
  <si>
    <t>Strict beats in valid actual-consensus pairs (b)</t>
  </si>
  <si>
    <t>Valid pairs (n)</t>
  </si>
  <si>
    <t>Valid actual-consensus pairs (n). Only one actual (2Q26 normalized -0.09) and no pre-report consensus: unpaired, excluded.</t>
  </si>
  <si>
    <t>Pseudo-observations</t>
  </si>
  <si>
    <t>Starting probability</t>
  </si>
  <si>
    <t>Starting probability = (8*prior + b)/(8 + n)</t>
  </si>
  <si>
    <t>Evidence update</t>
  </si>
  <si>
    <t>Quarter-specific evidence update. Model EPS above consensus mean on interest income and CSA ramp; offset by single-quarter history and AI cost uncertainty.</t>
  </si>
  <si>
    <t>Final P(beat)</t>
  </si>
  <si>
    <t>Final P(beat consensus EPS)</t>
  </si>
  <si>
    <t>medium</t>
  </si>
  <si>
    <t>Newer consensus (recorded separately; scoring baseline unchanged = CapIQ 2026-10-18)</t>
  </si>
  <si>
    <t>LSEG EPS consensus 10/16</t>
  </si>
  <si>
    <t>LSEG EPS consensus (2026-10-16, via CNBC/Evercore)</t>
  </si>
  <si>
    <t>LSEG revenue consensus 10/16</t>
  </si>
  <si>
    <t>LSEG revenue consensus ($M)</t>
  </si>
  <si>
    <t>FactSet revenue cons. 10/17</t>
  </si>
  <si>
    <t>FactSet revenue consensus 2026-10-17 ($M)</t>
  </si>
  <si>
    <t>FactSet EPS cons. 10/17</t>
  </si>
  <si>
    <t>FactSet EPS consensus 2026-10-17</t>
  </si>
</sst>
</file>

<file path=xl/styles.xml><?xml version="1.0" encoding="utf-8"?>
<styleSheet xmlns="http://schemas.openxmlformats.org/spreadsheetml/2006/main">
  <numFmts count="8">
    <numFmt numFmtId="164" formatCode="#,##0.0_);(#,##0.0);–_)"/>
    <numFmt numFmtId="165" formatCode="yyyy-mm-dd"/>
    <numFmt numFmtId="166" formatCode="0"/>
    <numFmt numFmtId="167" formatCode="0.0%_);(0.0%);–_)"/>
    <numFmt numFmtId="168" formatCode="$0.00_);($0.00)"/>
    <numFmt numFmtId="169" formatCode="#,##0_);(#,##0);–_)"/>
    <numFmt numFmtId="170" formatCode="#,##0.00_);(#,##0.00);–_)"/>
    <numFmt numFmtId="171" formatCode="General"/>
  </numFmts>
  <fonts count="24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0000"/>
      <name val="Arial"/>
    </font>
    <font>
      <b/>
      <i val="0"/>
      <strike val="0"/>
      <u/>
      <sz val="10"/>
      <color rgb="FF000000"/>
      <name val="Arial"/>
    </font>
    <font>
      <b/>
      <i val="0"/>
      <strike val="0"/>
      <sz val="10"/>
      <color rgb="FF006100"/>
      <name val="Arial"/>
    </font>
    <font>
      <b/>
      <i/>
      <strike val="0"/>
      <sz val="10"/>
      <color rgb="FF000000"/>
      <name val="Arial"/>
    </font>
    <font>
      <b/>
      <i val="0"/>
      <strike val="0"/>
      <sz val="14"/>
      <color rgb="FF000000"/>
      <name val="Arial"/>
    </font>
    <font>
      <b/>
      <i val="0"/>
      <strike val="0"/>
      <sz val="10"/>
      <color rgb="FF0000FF"/>
      <name val="Arial"/>
    </font>
    <font>
      <b/>
      <i/>
      <strike val="0"/>
      <sz val="10"/>
      <color rgb="FF006100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595959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4">
    <border/>
    <border>
      <bottom style="thin">
        <color rgb="FF808080"/>
      </bottom>
    </border>
    <border>
      <top style="thin">
        <color rgb="FF808080"/>
      </top>
    </border>
    <border>
      <top style="thin">
        <color rgb="FF000000"/>
      </top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general" vertical="bottom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general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66" fontId="1" fillId="3" borderId="1" xfId="0" applyNumberFormat="1" applyFont="1" applyFill="1" applyBorder="1" applyAlignment="1" applyProtection="1">
      <alignment horizontal="right" vertical="bottom"/>
      <protection locked="1" hidden="0"/>
    </xf>
    <xf numFmtId="164" fontId="4" fillId="2" borderId="0" xfId="0" applyNumberFormat="1" applyFont="1" applyFill="1" applyAlignment="1" applyProtection="1">
      <alignment horizontal="general" vertical="bottom"/>
      <protection locked="1" hidden="0"/>
    </xf>
    <xf numFmtId="0" fontId="5" fillId="3" borderId="2" xfId="0" applyFont="1" applyFill="1" applyBorder="1" applyAlignment="1" applyProtection="1">
      <alignment horizontal="right" vertical="bottom"/>
      <protection locked="1" hidden="0"/>
    </xf>
    <xf numFmtId="165" fontId="4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0" fontId="6" fillId="2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 indent="1"/>
      <protection locked="1" hidden="0"/>
    </xf>
    <xf numFmtId="0" fontId="5" fillId="2" borderId="0" xfId="0" applyFont="1" applyFill="1" applyAlignment="1" applyProtection="1">
      <alignment horizontal="general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0" fontId="5" fillId="3" borderId="2" xfId="0" applyFont="1" applyFill="1" applyBorder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167" fontId="7" fillId="2" borderId="0" xfId="0" applyNumberFormat="1" applyFont="1" applyFill="1" applyAlignment="1" applyProtection="1">
      <alignment horizontal="right" vertical="bottom"/>
      <protection locked="1" hidden="0"/>
    </xf>
    <xf numFmtId="0" fontId="7" fillId="2" borderId="0" xfId="0" applyFont="1" applyFill="1" applyAlignment="1" applyProtection="1">
      <alignment horizontal="general" vertical="bottom" indent="2"/>
      <protection locked="1" hidden="0"/>
    </xf>
    <xf numFmtId="168" fontId="2" fillId="2" borderId="0" xfId="0" applyNumberFormat="1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right" vertical="bottom"/>
      <protection locked="1" hidden="0"/>
    </xf>
    <xf numFmtId="0" fontId="7" fillId="2" borderId="0" xfId="0" applyFont="1" applyFill="1" applyAlignment="1" applyProtection="1">
      <alignment horizontal="general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0" fontId="8" fillId="2" borderId="0" xfId="0" applyFont="1" applyFill="1" applyAlignment="1" applyProtection="1">
      <alignment horizontal="general" vertical="bottom"/>
      <protection locked="1" hidden="0"/>
    </xf>
    <xf numFmtId="0" fontId="9" fillId="2" borderId="0" xfId="0" applyFont="1" applyFill="1" applyAlignment="1" applyProtection="1">
      <alignment horizontal="right" vertical="bottom"/>
      <protection locked="1" hidden="0"/>
    </xf>
    <xf numFmtId="167" fontId="10" fillId="2" borderId="0" xfId="0" applyNumberFormat="1" applyFont="1" applyFill="1" applyAlignment="1" applyProtection="1">
      <alignment horizontal="right" vertical="bottom"/>
      <protection locked="1" hidden="0"/>
    </xf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0" fontId="11" fillId="2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top" wrapText="1"/>
      <protection locked="1" hidden="0"/>
    </xf>
    <xf numFmtId="0" fontId="5" fillId="2" borderId="0" xfId="0" applyFont="1" applyFill="1" applyAlignment="1" applyProtection="1">
      <alignment horizontal="general" vertical="bottom" indent="1"/>
      <protection locked="1" hidden="0"/>
    </xf>
    <xf numFmtId="168" fontId="4" fillId="2" borderId="0" xfId="0" applyNumberFormat="1" applyFont="1" applyFill="1" applyAlignment="1" applyProtection="1">
      <alignment horizontal="right" vertical="bottom"/>
      <protection locked="1" hidden="0"/>
    </xf>
    <xf numFmtId="164" fontId="12" fillId="4" borderId="3" xfId="0" applyNumberFormat="1" applyFont="1" applyFill="1" applyBorder="1" applyAlignment="1" applyProtection="1">
      <alignment horizontal="right" vertical="bottom"/>
      <protection locked="1" hidden="0"/>
    </xf>
    <xf numFmtId="164" fontId="1" fillId="4" borderId="0" xfId="0" applyNumberFormat="1" applyFont="1" applyFill="1" applyAlignment="1" applyProtection="1">
      <alignment horizontal="right" vertical="bottom"/>
      <protection locked="1" hidden="0"/>
    </xf>
    <xf numFmtId="0" fontId="7" fillId="2" borderId="0" xfId="0" applyFont="1" applyFill="1" applyAlignment="1" applyProtection="1">
      <alignment horizontal="general" vertical="bottom" indent="1"/>
      <protection locked="1" hidden="0"/>
    </xf>
    <xf numFmtId="164" fontId="4" fillId="2" borderId="0" xfId="0" applyNumberFormat="1" applyFont="1" applyFill="1" applyAlignment="1" applyProtection="1">
      <alignment horizontal="right" vertical="bottom"/>
      <protection locked="1" hidden="0"/>
    </xf>
    <xf numFmtId="167" fontId="13" fillId="2" borderId="0" xfId="0" applyNumberFormat="1" applyFont="1" applyFill="1" applyAlignment="1" applyProtection="1">
      <alignment horizontal="right" vertical="bottom"/>
      <protection locked="1" hidden="0"/>
    </xf>
    <xf numFmtId="164" fontId="5" fillId="4" borderId="3" xfId="0" applyNumberFormat="1" applyFont="1" applyFill="1" applyBorder="1" applyAlignment="1" applyProtection="1">
      <alignment horizontal="right" vertical="bottom"/>
      <protection locked="1" hidden="0"/>
    </xf>
    <xf numFmtId="169" fontId="14" fillId="2" borderId="0" xfId="0" applyNumberFormat="1" applyFont="1" applyFill="1" applyAlignment="1" applyProtection="1">
      <alignment horizontal="right" vertical="bottom"/>
      <protection locked="1" hidden="0"/>
    </xf>
    <xf numFmtId="168" fontId="1" fillId="2" borderId="0" xfId="0" applyNumberFormat="1" applyFont="1" applyFill="1" applyAlignment="1" applyProtection="1">
      <alignment horizontal="right" vertical="bottom"/>
      <protection locked="1" hidden="0"/>
    </xf>
    <xf numFmtId="167" fontId="14" fillId="2" borderId="0" xfId="0" applyNumberFormat="1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top" wrapText="1"/>
      <protection locked="1" hidden="0"/>
    </xf>
    <xf numFmtId="164" fontId="5" fillId="2" borderId="3" xfId="0" applyNumberFormat="1" applyFont="1" applyFill="1" applyBorder="1" applyAlignment="1" applyProtection="1">
      <alignment horizontal="right" vertical="bottom"/>
      <protection locked="1" hidden="0"/>
    </xf>
    <xf numFmtId="164" fontId="2" fillId="4" borderId="0" xfId="0" applyNumberFormat="1" applyFont="1" applyFill="1" applyAlignment="1" applyProtection="1">
      <alignment horizontal="right" vertical="bottom"/>
      <protection locked="1" hidden="0"/>
    </xf>
    <xf numFmtId="169" fontId="7" fillId="2" borderId="0" xfId="0" applyNumberFormat="1" applyFont="1" applyFill="1" applyAlignment="1" applyProtection="1">
      <alignment horizontal="right" vertical="bottom"/>
      <protection locked="1" hidden="0"/>
    </xf>
    <xf numFmtId="0" fontId="6" fillId="2" borderId="0" xfId="0" applyFont="1" applyFill="1" applyAlignment="1" applyProtection="1">
      <alignment horizontal="general" vertical="top" wrapText="1"/>
      <protection locked="1" hidden="0"/>
    </xf>
    <xf numFmtId="167" fontId="15" fillId="2" borderId="0" xfId="0" applyNumberFormat="1" applyFont="1" applyFill="1" applyAlignment="1" applyProtection="1">
      <alignment horizontal="right" vertical="bottom"/>
      <protection locked="1" hidden="0"/>
    </xf>
    <xf numFmtId="167" fontId="15" fillId="4" borderId="0" xfId="0" applyNumberFormat="1" applyFont="1" applyFill="1" applyAlignment="1" applyProtection="1">
      <alignment horizontal="right" vertical="bottom"/>
      <protection locked="1" hidden="0"/>
    </xf>
    <xf numFmtId="164" fontId="12" fillId="2" borderId="3" xfId="0" applyNumberFormat="1" applyFont="1" applyFill="1" applyBorder="1" applyAlignment="1" applyProtection="1">
      <alignment horizontal="right" vertical="bottom"/>
      <protection locked="1" hidden="0"/>
    </xf>
    <xf numFmtId="0" fontId="10" fillId="2" borderId="0" xfId="0" applyFont="1" applyFill="1" applyAlignment="1" applyProtection="1">
      <alignment horizontal="general" vertical="bottom" indent="1"/>
      <protection locked="1" hidden="0"/>
    </xf>
    <xf numFmtId="167" fontId="14" fillId="4" borderId="0" xfId="0" applyNumberFormat="1" applyFont="1" applyFill="1" applyAlignment="1" applyProtection="1">
      <alignment horizontal="right" vertical="bottom"/>
      <protection locked="1" hidden="0"/>
    </xf>
    <xf numFmtId="169" fontId="7" fillId="4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 indent="2"/>
      <protection locked="1" hidden="0"/>
    </xf>
    <xf numFmtId="164" fontId="4" fillId="4" borderId="0" xfId="0" applyNumberFormat="1" applyFont="1" applyFill="1" applyAlignment="1" applyProtection="1">
      <alignment horizontal="right" vertical="bottom"/>
      <protection locked="1" hidden="0"/>
    </xf>
    <xf numFmtId="0" fontId="1" fillId="4" borderId="0" xfId="0" applyFont="1" applyFill="1" applyAlignment="1" applyProtection="1">
      <alignment horizontal="general" vertical="bottom"/>
      <protection locked="1" hidden="0"/>
    </xf>
    <xf numFmtId="169" fontId="14" fillId="4" borderId="0" xfId="0" applyNumberFormat="1" applyFont="1" applyFill="1" applyAlignment="1" applyProtection="1">
      <alignment horizontal="right" vertical="bottom"/>
      <protection locked="1" hidden="0"/>
    </xf>
    <xf numFmtId="167" fontId="7" fillId="4" borderId="0" xfId="0" applyNumberFormat="1" applyFont="1" applyFill="1" applyAlignment="1" applyProtection="1">
      <alignment horizontal="right" vertical="bottom"/>
      <protection locked="1" hidden="0"/>
    </xf>
    <xf numFmtId="169" fontId="4" fillId="2" borderId="0" xfId="0" applyNumberFormat="1" applyFont="1" applyFill="1" applyAlignment="1" applyProtection="1">
      <alignment horizontal="right" vertical="bottom"/>
      <protection locked="1" hidden="0"/>
    </xf>
    <xf numFmtId="169" fontId="4" fillId="4" borderId="0" xfId="0" applyNumberFormat="1" applyFont="1" applyFill="1" applyAlignment="1" applyProtection="1">
      <alignment horizontal="right" vertical="bottom"/>
      <protection locked="1" hidden="0"/>
    </xf>
    <xf numFmtId="169" fontId="12" fillId="2" borderId="3" xfId="0" applyNumberFormat="1" applyFont="1" applyFill="1" applyBorder="1" applyAlignment="1" applyProtection="1">
      <alignment horizontal="right" vertical="bottom"/>
      <protection locked="1" hidden="0"/>
    </xf>
    <xf numFmtId="169" fontId="5" fillId="4" borderId="3" xfId="0" applyNumberFormat="1" applyFont="1" applyFill="1" applyBorder="1" applyAlignment="1" applyProtection="1">
      <alignment horizontal="right" vertical="bottom"/>
      <protection locked="1" hidden="0"/>
    </xf>
    <xf numFmtId="170" fontId="1" fillId="2" borderId="0" xfId="0" applyNumberFormat="1" applyFont="1" applyFill="1" applyAlignment="1" applyProtection="1">
      <alignment horizontal="right" vertical="bottom"/>
      <protection locked="1" hidden="0"/>
    </xf>
    <xf numFmtId="169" fontId="1" fillId="2" borderId="0" xfId="0" applyNumberFormat="1" applyFont="1" applyFill="1" applyAlignment="1" applyProtection="1">
      <alignment horizontal="right" vertical="bottom"/>
      <protection locked="1" hidden="0"/>
    </xf>
    <xf numFmtId="170" fontId="4" fillId="2" borderId="0" xfId="0" applyNumberFormat="1" applyFont="1" applyFill="1" applyAlignment="1" applyProtection="1">
      <alignment horizontal="right" vertical="bottom"/>
      <protection locked="1" hidden="0"/>
    </xf>
    <xf numFmtId="169" fontId="5" fillId="2" borderId="3" xfId="0" applyNumberFormat="1" applyFont="1" applyFill="1" applyBorder="1" applyAlignment="1" applyProtection="1">
      <alignment horizontal="right" vertical="bottom"/>
      <protection locked="1" hidden="0"/>
    </xf>
    <xf numFmtId="169" fontId="1" fillId="4" borderId="0" xfId="0" applyNumberFormat="1" applyFont="1" applyFill="1" applyAlignment="1" applyProtection="1">
      <alignment horizontal="right" vertical="bottom"/>
      <protection locked="1" hidden="0"/>
    </xf>
    <xf numFmtId="0" fontId="1" fillId="4" borderId="0" xfId="0" applyFont="1" applyFill="1" applyAlignment="1" applyProtection="1">
      <alignment horizontal="right" vertical="bottom"/>
      <protection locked="1" hidden="0"/>
    </xf>
    <xf numFmtId="168" fontId="5" fillId="2" borderId="0" xfId="0" applyNumberFormat="1" applyFont="1" applyFill="1" applyAlignment="1" applyProtection="1">
      <alignment horizontal="right" vertical="bottom"/>
      <protection locked="1" hidden="0"/>
    </xf>
    <xf numFmtId="170" fontId="4" fillId="4" borderId="0" xfId="0" applyNumberFormat="1" applyFont="1" applyFill="1" applyAlignment="1" applyProtection="1">
      <alignment horizontal="right" vertical="bottom"/>
      <protection locked="1" hidden="0"/>
    </xf>
    <xf numFmtId="168" fontId="5" fillId="2" borderId="3" xfId="0" applyNumberFormat="1" applyFont="1" applyFill="1" applyBorder="1" applyAlignment="1" applyProtection="1">
      <alignment horizontal="right" vertical="bottom"/>
      <protection locked="1" hidden="0"/>
    </xf>
    <xf numFmtId="168" fontId="5" fillId="4" borderId="3" xfId="0" applyNumberFormat="1" applyFont="1" applyFill="1" applyBorder="1" applyAlignment="1" applyProtection="1">
      <alignment horizontal="right" vertical="bottom"/>
      <protection locked="1" hidden="0"/>
    </xf>
    <xf numFmtId="164" fontId="9" fillId="2" borderId="3" xfId="0" applyNumberFormat="1" applyFont="1" applyFill="1" applyBorder="1" applyAlignment="1" applyProtection="1">
      <alignment horizontal="right" vertical="bottom"/>
      <protection locked="1" hidden="0"/>
    </xf>
    <xf numFmtId="168" fontId="1" fillId="4" borderId="0" xfId="0" applyNumberFormat="1" applyFont="1" applyFill="1" applyAlignment="1" applyProtection="1">
      <alignment horizontal="right" vertical="bottom"/>
      <protection locked="1" hidden="0"/>
    </xf>
    <xf numFmtId="168" fontId="5" fillId="4" borderId="0" xfId="0" applyNumberFormat="1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bottom" indent="2"/>
      <protection locked="1" hidden="0"/>
    </xf>
    <xf numFmtId="168" fontId="4" fillId="4" borderId="0" xfId="0" applyNumberFormat="1" applyFont="1" applyFill="1" applyAlignment="1" applyProtection="1">
      <alignment horizontal="right" vertical="bottom"/>
      <protection locked="1" hidden="0"/>
    </xf>
    <xf numFmtId="169" fontId="2" fillId="4" borderId="0" xfId="0" applyNumberFormat="1" applyFont="1" applyFill="1" applyAlignment="1" applyProtection="1">
      <alignment horizontal="right" vertical="bottom"/>
      <protection locked="1" hidden="0"/>
    </xf>
    <xf numFmtId="164" fontId="9" fillId="4" borderId="3" xfId="0" applyNumberFormat="1" applyFont="1" applyFill="1" applyBorder="1" applyAlignment="1" applyProtection="1">
      <alignment horizontal="right" vertical="bottom"/>
      <protection locked="1" hidden="0"/>
    </xf>
    <xf numFmtId="171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1" fontId="16" fillId="3" borderId="2" xfId="0" applyNumberFormat="1" applyFont="1" applyFill="1" applyBorder="1" applyAlignment="1" applyProtection="1">
      <alignment horizontal="left" vertical="bottom" textRotation="0" indent="1" readingOrder="0"/>
      <protection locked="1" hidden="0"/>
    </xf>
    <xf numFmtId="165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1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1" fontId="19" fillId="3" borderId="1" xfId="0" applyNumberFormat="1" applyFont="1" applyFill="1" applyBorder="1" applyAlignment="1" applyProtection="1">
      <alignment horizontal="left" vertical="bottom" textRotation="0" indent="1" readingOrder="0"/>
      <protection locked="1" hidden="0"/>
    </xf>
    <xf numFmtId="171" fontId="19" fillId="3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71" fontId="1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1" fontId="2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21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64" fontId="22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71" fontId="23" fillId="0" borderId="0" xfId="0" applyNumberFormat="1" applyFont="1" applyFill="1" applyAlignment="1" applyProtection="1">
      <alignment horizontal="left" vertical="bottom" textRotation="0" indent="1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0</xdr:row>
      <xdr:rowOff>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showGridLines="0" tabSelected="1" workbookViewId="0"/>
  </sheetViews>
  <sheetFormatPr defaultColWidth="8.42578125" defaultRowHeight="15"/>
  <cols>
    <col min="1" max="1" width="10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1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3</v>
      </c>
      <c r="C4" s="8"/>
      <c r="D4" s="8"/>
      <c r="E4" s="8"/>
      <c r="F4" s="8"/>
      <c r="G4" s="8"/>
      <c r="H4" s="8"/>
      <c r="I4" s="8"/>
      <c r="J4" s="79" t="s">
        <v>4</v>
      </c>
      <c r="K4" s="1"/>
    </row>
    <row r="5">
      <c r="A5" s="1"/>
      <c r="B5" s="14"/>
      <c r="C5" s="5"/>
      <c r="D5" s="5"/>
      <c r="E5" s="5"/>
      <c r="F5" s="5"/>
      <c r="G5" s="5"/>
      <c r="H5" s="5"/>
      <c r="I5" s="5"/>
      <c r="J5" s="84"/>
      <c r="K5" s="1"/>
    </row>
    <row r="6">
      <c r="A6" s="1"/>
      <c r="B6" s="10"/>
      <c r="C6" s="6"/>
      <c r="D6" s="6"/>
      <c r="E6" s="6"/>
      <c r="F6" s="6"/>
      <c r="G6" s="6"/>
      <c r="H6" s="6"/>
      <c r="I6" s="6"/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7" t="s">
        <v>5</v>
      </c>
      <c r="C8" s="13"/>
      <c r="D8" s="13"/>
      <c r="E8" s="13"/>
      <c r="F8" s="13"/>
      <c r="G8" s="13"/>
      <c r="H8" s="13"/>
      <c r="I8" s="13"/>
      <c r="J8" s="1"/>
      <c r="K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>
      <c r="A10" s="1"/>
      <c r="B10" s="12" t="s">
        <v>6</v>
      </c>
      <c r="C10" s="1" t="s">
        <v>7</v>
      </c>
      <c r="D10" s="1"/>
      <c r="E10" s="1"/>
      <c r="F10" s="1"/>
      <c r="G10" s="1"/>
      <c r="H10" s="1"/>
      <c r="I10" s="1"/>
      <c r="J10" s="1"/>
      <c r="K10" s="1"/>
    </row>
    <row r="11">
      <c r="A11" s="1"/>
      <c r="B11" s="12" t="s">
        <v>8</v>
      </c>
      <c r="C11" s="1" t="s">
        <v>9</v>
      </c>
      <c r="D11" s="1"/>
      <c r="E11" s="1"/>
      <c r="F11" s="1"/>
      <c r="G11" s="1"/>
      <c r="H11" s="1"/>
      <c r="I11" s="1"/>
      <c r="J11" s="1"/>
      <c r="K11" s="1"/>
    </row>
    <row r="12">
      <c r="A12" s="1"/>
      <c r="B12" s="12" t="s">
        <v>10</v>
      </c>
      <c r="C12" s="1" t="s">
        <v>11</v>
      </c>
      <c r="D12" s="1"/>
      <c r="E12" s="1"/>
      <c r="F12" s="1"/>
      <c r="G12" s="1"/>
      <c r="H12" s="1"/>
      <c r="I12" s="1"/>
      <c r="J12" s="1"/>
      <c r="K12" s="1"/>
    </row>
    <row r="13">
      <c r="A13" s="1"/>
      <c r="B13" s="12" t="s">
        <v>12</v>
      </c>
      <c r="C13" s="1" t="s">
        <v>13</v>
      </c>
      <c r="D13" s="1"/>
      <c r="E13" s="1"/>
      <c r="F13" s="1"/>
      <c r="G13" s="1"/>
      <c r="H13" s="1"/>
      <c r="I13" s="1"/>
      <c r="J13" s="1"/>
      <c r="K13" s="1"/>
    </row>
    <row r="14">
      <c r="A14" s="1"/>
      <c r="B14" s="12" t="s">
        <v>14</v>
      </c>
      <c r="C14" s="1" t="s">
        <v>15</v>
      </c>
      <c r="D14" s="1"/>
      <c r="E14" s="1"/>
      <c r="F14" s="1"/>
      <c r="G14" s="1"/>
      <c r="H14" s="1"/>
      <c r="I14" s="1"/>
      <c r="J14" s="1"/>
      <c r="K14" s="1"/>
    </row>
    <row r="15">
      <c r="A15" s="1"/>
      <c r="B15" s="12" t="s">
        <v>16</v>
      </c>
      <c r="C15" s="1" t="s">
        <v>17</v>
      </c>
      <c r="D15" s="1"/>
      <c r="E15" s="1"/>
      <c r="F15" s="1"/>
      <c r="G15" s="1"/>
      <c r="H15" s="1"/>
      <c r="I15" s="1"/>
      <c r="J15" s="1"/>
      <c r="K15" s="1"/>
    </row>
    <row r="16">
      <c r="A16" s="1"/>
      <c r="B16" s="12" t="s">
        <v>18</v>
      </c>
      <c r="C16" s="1" t="s">
        <v>19</v>
      </c>
      <c r="D16" s="1"/>
      <c r="E16" s="1"/>
      <c r="F16" s="1"/>
      <c r="G16" s="1"/>
      <c r="H16" s="1"/>
      <c r="I16" s="1"/>
      <c r="J16" s="1"/>
      <c r="K16" s="1"/>
    </row>
    <row r="17">
      <c r="A17" s="1"/>
      <c r="B17" s="12" t="s">
        <v>20</v>
      </c>
      <c r="C17" s="1" t="s">
        <v>21</v>
      </c>
      <c r="D17" s="1"/>
      <c r="E17" s="1"/>
      <c r="F17" s="1"/>
      <c r="G17" s="1"/>
      <c r="H17" s="1"/>
      <c r="I17" s="1"/>
      <c r="J17" s="1"/>
      <c r="K17" s="1"/>
    </row>
    <row r="18">
      <c r="A18" s="1"/>
      <c r="B18" s="12" t="s">
        <v>22</v>
      </c>
      <c r="C18" s="1" t="s">
        <v>23</v>
      </c>
      <c r="D18" s="1"/>
      <c r="E18" s="1"/>
      <c r="F18" s="1"/>
      <c r="G18" s="1"/>
      <c r="H18" s="1"/>
      <c r="I18" s="1"/>
      <c r="J18" s="1"/>
      <c r="K18" s="1"/>
    </row>
    <row r="19">
      <c r="A19" s="1"/>
      <c r="B19" s="12" t="s">
        <v>24</v>
      </c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>
      <c r="A20" s="1"/>
      <c r="B20" s="13" t="s">
        <v>26</v>
      </c>
      <c r="C20" s="13"/>
      <c r="D20" s="13"/>
      <c r="E20" s="13"/>
      <c r="F20" s="13"/>
      <c r="G20" s="13"/>
      <c r="H20" s="13"/>
      <c r="I20" s="13"/>
      <c r="J20" s="1"/>
      <c r="K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>
      <c r="A22" s="1"/>
      <c r="B22" s="13" t="s">
        <v>27</v>
      </c>
      <c r="C22" s="20" t="s">
        <v>28</v>
      </c>
      <c r="D22" s="20" t="s">
        <v>29</v>
      </c>
      <c r="E22" s="20" t="s">
        <v>30</v>
      </c>
      <c r="F22" s="20"/>
      <c r="G22" s="20" t="s">
        <v>31</v>
      </c>
      <c r="H22" s="20" t="s">
        <v>32</v>
      </c>
      <c r="I22" s="20" t="s">
        <v>33</v>
      </c>
      <c r="J22" s="1"/>
      <c r="K22" s="1"/>
    </row>
    <row r="23">
      <c r="A23" s="1"/>
      <c r="B23" s="12" t="s">
        <v>34</v>
      </c>
      <c r="C23" s="22">
        <f>'Income Statement'!I12</f>
        <v>12857.851246575341</v>
      </c>
      <c r="D23" s="22">
        <f>Inputs!C40</f>
        <v>13022.56</v>
      </c>
      <c r="E23" s="26">
        <f>C23-D23</f>
        <v>-164.70875342465843</v>
      </c>
      <c r="F23" s="26"/>
      <c r="G23" s="22" t="str">
        <f>Guidance!G15</f>
        <v>n/a</v>
      </c>
      <c r="H23" s="22">
        <f>Inputs!C124</f>
        <v>12890</v>
      </c>
      <c r="I23" s="81" t="b">
        <f>ABS(C23-'Income Statement'!I12)&lt;0.000001</f>
        <v>1</v>
      </c>
      <c r="J23" s="1"/>
      <c r="K23" s="1"/>
    </row>
    <row r="24">
      <c r="A24" s="1"/>
      <c r="B24" s="18" t="s">
        <v>35</v>
      </c>
      <c r="C24" s="17"/>
      <c r="D24" s="17"/>
      <c r="E24" s="17">
        <f>IF(OR(D23&lt;=0,C23&lt;0),"n/m",C23/D23-1)</f>
        <v>-0.012647955042991432</v>
      </c>
      <c r="F24" s="17"/>
      <c r="G24" s="17"/>
      <c r="H24" s="17"/>
      <c r="I24" s="17"/>
      <c r="J24" s="1"/>
      <c r="K24" s="1"/>
    </row>
    <row r="25">
      <c r="A25" s="1"/>
      <c r="B25" s="12" t="s">
        <v>36</v>
      </c>
      <c r="C25" s="22">
        <f>'Income Statement'!I90</f>
        <v>2749.8792644056866</v>
      </c>
      <c r="D25" s="22">
        <f>Inputs!C53</f>
        <v>1951.23</v>
      </c>
      <c r="E25" s="26">
        <f>C25-D25</f>
        <v>798.6492644056866</v>
      </c>
      <c r="F25" s="26"/>
      <c r="G25" s="22" t="str">
        <f>Guidance!G15</f>
        <v>n/a</v>
      </c>
      <c r="H25" s="34" t="s">
        <v>37</v>
      </c>
      <c r="I25" s="81" t="b">
        <f>ABS(C25-'Income Statement'!I90)&lt;0.000001</f>
        <v>1</v>
      </c>
      <c r="J25" s="1"/>
      <c r="K25" s="1"/>
    </row>
    <row r="26">
      <c r="A26" s="1"/>
      <c r="B26" s="18" t="s">
        <v>35</v>
      </c>
      <c r="C26" s="17"/>
      <c r="D26" s="17"/>
      <c r="E26" s="17">
        <f>IF(OR(D25&lt;=0,C25&lt;0),"n/m",C25/D25-1)</f>
        <v>0.40930554799059404</v>
      </c>
      <c r="F26" s="17"/>
      <c r="G26" s="17"/>
      <c r="H26" s="17"/>
      <c r="I26" s="17"/>
      <c r="J26" s="1"/>
      <c r="K26" s="1"/>
    </row>
    <row r="27">
      <c r="A27" s="1"/>
      <c r="B27" s="12" t="s">
        <v>38</v>
      </c>
      <c r="C27" s="19">
        <f>'Income Statement'!I91</f>
        <v>0.21898916067305688</v>
      </c>
      <c r="D27" s="19">
        <f>Inputs!C22</f>
        <v>0.13</v>
      </c>
      <c r="E27" s="38">
        <f>C27-D27</f>
        <v>0.08898916067305687</v>
      </c>
      <c r="F27" s="38"/>
      <c r="G27" s="19" t="str">
        <f>Guidance!G15</f>
        <v>n/a</v>
      </c>
      <c r="H27" s="19">
        <f>Inputs!C125</f>
        <v>0.14</v>
      </c>
      <c r="I27" s="81" t="b">
        <f>ABS(C27-'Income Statement'!I91)&lt;0.000001</f>
        <v>1</v>
      </c>
      <c r="J27" s="1"/>
      <c r="K27" s="1"/>
    </row>
    <row r="28">
      <c r="A28" s="1"/>
      <c r="B28" s="18" t="s">
        <v>35</v>
      </c>
      <c r="C28" s="17"/>
      <c r="D28" s="17"/>
      <c r="E28" s="17">
        <f>IF(OR(D27&lt;=0,C27&lt;0),"n/m",C27/D27-1)</f>
        <v>0.6845320051773605</v>
      </c>
      <c r="F28" s="17"/>
      <c r="G28" s="17"/>
      <c r="H28" s="17"/>
      <c r="I28" s="17"/>
      <c r="J28" s="1"/>
      <c r="K28" s="1"/>
    </row>
    <row r="29">
      <c r="A29" s="1"/>
      <c r="B29" s="12" t="s">
        <v>39</v>
      </c>
      <c r="C29" s="22">
        <f>'Income Statement'!I71</f>
        <v>2749.8792644056866</v>
      </c>
      <c r="D29" s="22">
        <f>Inputs!C54</f>
        <v>2144.97</v>
      </c>
      <c r="E29" s="26">
        <f>C29-D29</f>
        <v>604.9092644056868</v>
      </c>
      <c r="F29" s="26"/>
      <c r="G29" s="22" t="str">
        <f>Guidance!G15</f>
        <v>n/a</v>
      </c>
      <c r="H29" s="34" t="s">
        <v>37</v>
      </c>
      <c r="I29" s="81" t="b">
        <f>ABS(C29-'Income Statement'!I71)&lt;0.000001</f>
        <v>1</v>
      </c>
      <c r="J29" s="1"/>
      <c r="K29" s="1"/>
    </row>
    <row r="30">
      <c r="A30" s="1"/>
      <c r="B30" s="18" t="s">
        <v>35</v>
      </c>
      <c r="C30" s="17"/>
      <c r="D30" s="17"/>
      <c r="E30" s="17">
        <f>IF(OR(D29&lt;=0,C29&lt;0),"n/m",C29/D29-1)</f>
        <v>0.2820129253116299</v>
      </c>
      <c r="F30" s="17"/>
      <c r="G30" s="17"/>
      <c r="H30" s="17"/>
      <c r="I30" s="17"/>
      <c r="J30" s="1"/>
      <c r="K30" s="1"/>
    </row>
    <row r="31">
      <c r="A31" s="1"/>
      <c r="B31" s="12" t="s">
        <v>40</v>
      </c>
      <c r="C31" s="19">
        <f>'Income Statement'!I76</f>
        <v>0.21898916067305688</v>
      </c>
      <c r="D31" s="19">
        <f>Inputs!C31</f>
        <v>0.17</v>
      </c>
      <c r="E31" s="38">
        <f>C31-D31</f>
        <v>0.048989160673056864</v>
      </c>
      <c r="F31" s="38"/>
      <c r="G31" s="19" t="str">
        <f>Guidance!G15</f>
        <v>n/a</v>
      </c>
      <c r="H31" s="30" t="s">
        <v>37</v>
      </c>
      <c r="I31" s="81" t="b">
        <f>ABS(C31-'Income Statement'!I76)&lt;0.000001</f>
        <v>1</v>
      </c>
      <c r="J31" s="1"/>
      <c r="K31" s="1"/>
    </row>
    <row r="32">
      <c r="A32" s="1"/>
      <c r="B32" s="18" t="s">
        <v>35</v>
      </c>
      <c r="C32" s="17"/>
      <c r="D32" s="17"/>
      <c r="E32" s="17">
        <f>IF(OR(D31&lt;=0,C31&lt;0),"n/m",C31/D31-1)</f>
        <v>0.2881715333709227</v>
      </c>
      <c r="F32" s="17"/>
      <c r="G32" s="17"/>
      <c r="H32" s="17"/>
      <c r="I32" s="17"/>
      <c r="J32" s="1"/>
      <c r="K32" s="1"/>
    </row>
    <row r="33">
      <c r="A33" s="1"/>
      <c r="B33" s="12" t="s">
        <v>41</v>
      </c>
      <c r="C33" s="22">
        <f>'Income Statement'!I101</f>
        <v>6840.807584657534</v>
      </c>
      <c r="D33" s="22">
        <f>Inputs!C49</f>
        <v>6674.45</v>
      </c>
      <c r="E33" s="26">
        <f>C33-D33</f>
        <v>166.35758465753406</v>
      </c>
      <c r="F33" s="26"/>
      <c r="G33" s="22" t="str">
        <f>Guidance!G15</f>
        <v>n/a</v>
      </c>
      <c r="H33" s="34" t="s">
        <v>37</v>
      </c>
      <c r="I33" s="81" t="b">
        <f>ABS(C33-'Income Statement'!I101)&lt;0.000001</f>
        <v>1</v>
      </c>
      <c r="J33" s="1"/>
      <c r="K33" s="1"/>
    </row>
    <row r="34">
      <c r="A34" s="1"/>
      <c r="B34" s="29" t="s">
        <v>42</v>
      </c>
      <c r="C34" s="24" t="str">
        <f>IF(AND(ABS('Revenue summary'!H38)&lt;0.5,ABS('Revenue summary'!I58)&lt;0.5,ABS('Balance Sheet'!F47)&lt;0.5,ABS('Balance Sheet'!G47)&lt;0.5,ABS('Balance Sheet'!H47)&lt;0.5,ABS('Balance Sheet'!I47)&lt;0.5,ABS('Cash Flow Statement'!H35)&lt;0.5,'Income Statement'!H78,ABS('Income Statement'!H69)&lt;0.5,ABS('Income Statement'!I46)&lt;0.5,ABS('Revenue summary'!C38)&lt;0.5,ABS('Revenue summary'!D38)&lt;0.5,ABS('Revenue summary'!F38)&lt;0.5,ABS('Revenue summary'!G38)&lt;0.5),"PASS","FAIL")</f>
        <v>PASS</v>
      </c>
      <c r="D34" s="20"/>
      <c r="E34" s="20"/>
      <c r="F34" s="20"/>
      <c r="G34" s="20"/>
      <c r="H34" s="20"/>
      <c r="I34" s="20"/>
      <c r="J34" s="1"/>
      <c r="K34" s="1"/>
    </row>
    <row r="35">
      <c r="A35" s="1"/>
      <c r="B35" s="48" t="s">
        <v>43</v>
      </c>
      <c r="C35" s="35">
        <f>Inputs!C119</f>
        <v>0.8</v>
      </c>
      <c r="D35" s="25"/>
      <c r="E35" s="25"/>
      <c r="F35" s="25"/>
      <c r="G35" s="25"/>
      <c r="H35" s="25"/>
      <c r="I35" s="25"/>
      <c r="J35" s="1"/>
      <c r="K35" s="1"/>
    </row>
    <row r="36">
      <c r="A36" s="1"/>
      <c r="B36" s="29" t="s">
        <v>44</v>
      </c>
      <c r="C36" s="24" t="str">
        <f>Inputs!C120</f>
        <v>medium</v>
      </c>
      <c r="D36" s="20"/>
      <c r="E36" s="20"/>
      <c r="F36" s="20"/>
      <c r="G36" s="20"/>
      <c r="H36" s="20"/>
      <c r="I36" s="20"/>
      <c r="J36" s="1"/>
      <c r="K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>
      <c r="A38" s="1"/>
      <c r="B38" s="1" t="s">
        <v>45</v>
      </c>
      <c r="C38" s="16"/>
      <c r="D38" s="16"/>
      <c r="E38" s="16"/>
      <c r="F38" s="16"/>
      <c r="G38" s="16"/>
      <c r="H38" s="16"/>
      <c r="I38" s="16"/>
      <c r="J38" s="1"/>
      <c r="K38" s="1"/>
    </row>
    <row r="39">
      <c r="A39" s="1"/>
      <c r="B39" s="1" t="s">
        <v>46</v>
      </c>
      <c r="C39" s="16"/>
      <c r="D39" s="16"/>
      <c r="E39" s="16"/>
      <c r="F39" s="16"/>
      <c r="G39" s="16"/>
      <c r="H39" s="16"/>
      <c r="I39" s="16"/>
      <c r="J39" s="1"/>
      <c r="K39" s="1"/>
    </row>
    <row r="40">
      <c r="A40" s="1"/>
      <c r="B40" s="85" t="s">
        <v>47</v>
      </c>
      <c r="C40" s="1"/>
      <c r="D40" s="1"/>
      <c r="E40" s="1"/>
      <c r="F40" s="1"/>
      <c r="G40" s="1"/>
      <c r="H40" s="1"/>
      <c r="I40" s="1"/>
      <c r="J40" s="1"/>
      <c r="K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48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56</v>
      </c>
      <c r="J4" s="79" t="s">
        <v>4</v>
      </c>
      <c r="K4" s="1"/>
    </row>
    <row r="5">
      <c r="A5" s="1"/>
      <c r="B5" s="14" t="s">
        <v>57</v>
      </c>
      <c r="C5" s="5">
        <v>45747</v>
      </c>
      <c r="D5" s="5">
        <v>45838</v>
      </c>
      <c r="E5" s="5">
        <v>46022</v>
      </c>
      <c r="F5" s="5">
        <v>46022</v>
      </c>
      <c r="G5" s="5">
        <v>46112</v>
      </c>
      <c r="H5" s="5">
        <v>46203</v>
      </c>
      <c r="I5" s="5">
        <v>46295</v>
      </c>
      <c r="J5" s="84"/>
      <c r="K5" s="1"/>
    </row>
    <row r="6">
      <c r="A6" s="1"/>
      <c r="B6" s="10" t="s">
        <v>58</v>
      </c>
      <c r="C6" s="6">
        <v>90</v>
      </c>
      <c r="D6" s="6">
        <v>91</v>
      </c>
      <c r="E6" s="6">
        <v>184</v>
      </c>
      <c r="F6" s="6">
        <v>365</v>
      </c>
      <c r="G6" s="6">
        <v>90</v>
      </c>
      <c r="H6" s="6">
        <v>91</v>
      </c>
      <c r="I6" s="6">
        <v>92</v>
      </c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59</v>
      </c>
      <c r="C8" s="1"/>
      <c r="D8" s="1"/>
      <c r="E8" s="1"/>
      <c r="F8" s="1"/>
      <c r="G8" s="1"/>
      <c r="H8" s="1"/>
      <c r="I8" s="53"/>
      <c r="J8" s="1"/>
      <c r="K8" s="1"/>
    </row>
    <row r="9">
      <c r="A9" s="1"/>
      <c r="B9" s="12" t="s">
        <v>60</v>
      </c>
      <c r="C9" s="22">
        <f>'Segment - Space'!C55</f>
        <v>865</v>
      </c>
      <c r="D9" s="22">
        <f>'Segment - Space'!D55</f>
        <v>746</v>
      </c>
      <c r="E9" s="22">
        <f>'Segment - Space'!E55</f>
        <v>2475</v>
      </c>
      <c r="F9" s="22">
        <f>'Segment - Space'!F55</f>
        <v>4086</v>
      </c>
      <c r="G9" s="22">
        <f>'Segment - Space'!G55</f>
        <v>619</v>
      </c>
      <c r="H9" s="22">
        <f>'Segment - Space'!H55</f>
        <v>962</v>
      </c>
      <c r="I9" s="42">
        <f>'Segment - Space'!I55</f>
        <v>1171.94</v>
      </c>
      <c r="J9" s="1"/>
      <c r="K9" s="1"/>
    </row>
    <row r="10">
      <c r="A10" s="1"/>
      <c r="B10" s="18" t="s">
        <v>61</v>
      </c>
      <c r="C10" s="39" t="s">
        <v>37</v>
      </c>
      <c r="D10" s="39" t="s">
        <v>37</v>
      </c>
      <c r="E10" s="39" t="s">
        <v>37</v>
      </c>
      <c r="F10" s="45">
        <f>IF(ISNUMBER(F9),F9/Inputs!C98-1,"n/a")</f>
        <v>0.0763962065331929</v>
      </c>
      <c r="G10" s="17">
        <f>IF(AND(ISNUMBER(G9),ISNUMBER(C9)),IF(OR(C9&lt;=0,G9&lt;0),"n/m",G9/C9-1),"n/a")</f>
        <v>-0.284393063583815</v>
      </c>
      <c r="H10" s="17">
        <f>IF(AND(ISNUMBER(H9),ISNUMBER(D9)),IF(OR(D9&lt;=0,H9&lt;0),"n/m",H9/D9-1),"n/a")</f>
        <v>0.28954423592493295</v>
      </c>
      <c r="I10" s="49" t="s">
        <v>37</v>
      </c>
      <c r="J10" s="1"/>
      <c r="K10" s="1"/>
    </row>
    <row r="11">
      <c r="A11" s="1"/>
      <c r="B11" s="18" t="s">
        <v>62</v>
      </c>
      <c r="C11" s="39" t="s">
        <v>37</v>
      </c>
      <c r="D11" s="17">
        <f>IF(AND(ISNUMBER(D9),ISNUMBER(C9)),IF(OR(C9&lt;=0,D9&lt;0),"n/m",D9/C9-1),"n/a")</f>
        <v>-0.1375722543352601</v>
      </c>
      <c r="E11" s="39" t="s">
        <v>37</v>
      </c>
      <c r="F11" s="39" t="s">
        <v>37</v>
      </c>
      <c r="G11" s="39" t="s">
        <v>37</v>
      </c>
      <c r="H11" s="17">
        <f>IF(AND(ISNUMBER(H9),ISNUMBER(G9)),IF(OR(G9&lt;=0,H9&lt;0),"n/m",H9/G9-1),"n/a")</f>
        <v>0.554119547657512</v>
      </c>
      <c r="I11" s="55">
        <f>IF(AND(ISNUMBER(I9),ISNUMBER(H9)),IF(OR(H9&lt;=0,I9&lt;0),"n/m",I9/H9-1),"n/a")</f>
        <v>0.2182328482328484</v>
      </c>
      <c r="J11" s="1"/>
      <c r="K11" s="1"/>
    </row>
    <row r="12">
      <c r="A12" s="1"/>
      <c r="B12" s="18" t="s">
        <v>63</v>
      </c>
      <c r="C12" s="17">
        <f>IF(AND(ISNUMBER(C9),ISNUMBER(C30)),IF(C30=0,"n/a",C9/C30),"n/a")</f>
        <v>0.2126874846324072</v>
      </c>
      <c r="D12" s="17">
        <f>IF(AND(ISNUMBER(D9),ISNUMBER(D30)),IF(D30=0,"n/a",D9/D30),"n/a")</f>
        <v>0.18324735937116188</v>
      </c>
      <c r="E12" s="17">
        <f>IF(AND(ISNUMBER(E9),ISNUMBER(E30)),IF(E30=0,"n/a",E9/E30),"n/a")</f>
        <v>0.23490888382687927</v>
      </c>
      <c r="F12" s="17">
        <f>IF(AND(ISNUMBER(F9),ISNUMBER(F30)),IF(F30=0,"n/a",F9/F30),"n/a")</f>
        <v>0.21880689729035022</v>
      </c>
      <c r="G12" s="17">
        <f>IF(AND(ISNUMBER(G9),ISNUMBER(G30)),IF(G30=0,"n/a",G9/G30),"n/a")</f>
        <v>0.13187047294418405</v>
      </c>
      <c r="H12" s="17">
        <f>IF(AND(ISNUMBER(H9),ISNUMBER(H30)),IF(H30=0,"n/a",H9/H30),"n/a")</f>
        <v>0.12311236242641413</v>
      </c>
      <c r="I12" s="55">
        <f>IF(AND(ISNUMBER(I9),ISNUMBER(I30)),IF(I30=0,"n/a",I9/I30),"n/a")</f>
        <v>0.09114586702907639</v>
      </c>
      <c r="J12" s="1"/>
      <c r="K12" s="1"/>
    </row>
    <row r="13">
      <c r="A13" s="1"/>
      <c r="B13" s="18" t="s">
        <v>64</v>
      </c>
      <c r="C13" s="39" t="s">
        <v>37</v>
      </c>
      <c r="D13" s="39" t="s">
        <v>37</v>
      </c>
      <c r="E13" s="39" t="s">
        <v>37</v>
      </c>
      <c r="F13" s="39" t="s">
        <v>37</v>
      </c>
      <c r="G13" s="39">
        <v>0</v>
      </c>
      <c r="H13" s="39">
        <v>0</v>
      </c>
      <c r="I13" s="49" t="s">
        <v>37</v>
      </c>
      <c r="J13" s="11" t="s">
        <v>65</v>
      </c>
      <c r="K13" s="1"/>
    </row>
    <row r="14">
      <c r="A14" s="1"/>
      <c r="B14" s="18" t="s">
        <v>66</v>
      </c>
      <c r="C14" s="39" t="s">
        <v>37</v>
      </c>
      <c r="D14" s="39" t="s">
        <v>37</v>
      </c>
      <c r="E14" s="39" t="s">
        <v>37</v>
      </c>
      <c r="F14" s="39" t="s">
        <v>37</v>
      </c>
      <c r="G14" s="39" t="s">
        <v>37</v>
      </c>
      <c r="H14" s="39" t="s">
        <v>37</v>
      </c>
      <c r="I14" s="49" t="s">
        <v>37</v>
      </c>
      <c r="J14" s="1"/>
      <c r="K14" s="1"/>
    </row>
    <row r="15">
      <c r="A15" s="1"/>
      <c r="B15" s="18" t="s">
        <v>67</v>
      </c>
      <c r="C15" s="17" t="str">
        <f>IF(AND(ISNUMBER(C10),ISNUMBER(C13),ISNUMBER(C14)),(1+C10)/((1+C13)*(1+C14))-1,"n/a")</f>
        <v>n/a</v>
      </c>
      <c r="D15" s="17" t="str">
        <f>IF(AND(ISNUMBER(D10),ISNUMBER(D13),ISNUMBER(D14)),(1+D10)/((1+D13)*(1+D14))-1,"n/a")</f>
        <v>n/a</v>
      </c>
      <c r="E15" s="17" t="str">
        <f>IF(AND(ISNUMBER(E10),ISNUMBER(E13),ISNUMBER(E14)),(1+E10)/((1+E13)*(1+E14))-1,"n/a")</f>
        <v>n/a</v>
      </c>
      <c r="F15" s="17" t="str">
        <f>IF(AND(ISNUMBER(F10),ISNUMBER(F13),ISNUMBER(F14)),(1+F10)/((1+F13)*(1+F14))-1,"n/a")</f>
        <v>n/a</v>
      </c>
      <c r="G15" s="17" t="str">
        <f>IF(AND(ISNUMBER(G10),ISNUMBER(G13),ISNUMBER(G14)),(1+G10)/((1+G13)*(1+G14))-1,"n/a")</f>
        <v>n/a</v>
      </c>
      <c r="H15" s="17" t="str">
        <f>IF(AND(ISNUMBER(H10),ISNUMBER(H13),ISNUMBER(H14)),(1+H10)/((1+H13)*(1+H14))-1,"n/a")</f>
        <v>n/a</v>
      </c>
      <c r="I15" s="55" t="str">
        <f>IF(AND(ISNUMBER(I10),ISNUMBER(I13),ISNUMBER(I14)),(1+I10)/((1+I13)*(1+I14))-1,"n/a")</f>
        <v>n/a</v>
      </c>
      <c r="J15" s="11" t="s">
        <v>68</v>
      </c>
      <c r="K15" s="1"/>
    </row>
    <row r="16">
      <c r="A16" s="1"/>
      <c r="B16" s="12" t="s">
        <v>69</v>
      </c>
      <c r="C16" s="22">
        <f>'Segment - Connectivity'!C59</f>
        <v>2474</v>
      </c>
      <c r="D16" s="22">
        <f>'Segment - Connectivity'!D59</f>
        <v>2588</v>
      </c>
      <c r="E16" s="22">
        <f>'Segment - Connectivity'!E59</f>
        <v>6325</v>
      </c>
      <c r="F16" s="22">
        <f>'Segment - Connectivity'!F59</f>
        <v>11387</v>
      </c>
      <c r="G16" s="22">
        <f>'Segment - Connectivity'!G59</f>
        <v>3257</v>
      </c>
      <c r="H16" s="22">
        <f>'Segment - Connectivity'!H59</f>
        <v>4291</v>
      </c>
      <c r="I16" s="42">
        <f>'Segment - Connectivity'!I59</f>
        <v>4754.012</v>
      </c>
      <c r="J16" s="1"/>
      <c r="K16" s="1"/>
    </row>
    <row r="17">
      <c r="A17" s="1"/>
      <c r="B17" s="18" t="s">
        <v>61</v>
      </c>
      <c r="C17" s="39" t="s">
        <v>37</v>
      </c>
      <c r="D17" s="39" t="s">
        <v>37</v>
      </c>
      <c r="E17" s="39" t="s">
        <v>37</v>
      </c>
      <c r="F17" s="45">
        <f>IF(ISNUMBER(F16),F16/Inputs!C99-1,"n/a")</f>
        <v>0.4984866429793393</v>
      </c>
      <c r="G17" s="17">
        <f>IF(AND(ISNUMBER(G16),ISNUMBER(C16)),IF(OR(C16&lt;=0,G16&lt;0),"n/m",G16/C16-1),"n/a")</f>
        <v>0.3164915117219078</v>
      </c>
      <c r="H17" s="17">
        <f>IF(AND(ISNUMBER(H16),ISNUMBER(D16)),IF(OR(D16&lt;=0,H16&lt;0),"n/m",H16/D16-1),"n/a")</f>
        <v>0.6580370942812983</v>
      </c>
      <c r="I17" s="49" t="s">
        <v>37</v>
      </c>
      <c r="J17" s="1"/>
      <c r="K17" s="1"/>
    </row>
    <row r="18">
      <c r="A18" s="1"/>
      <c r="B18" s="18" t="s">
        <v>62</v>
      </c>
      <c r="C18" s="39" t="s">
        <v>37</v>
      </c>
      <c r="D18" s="17">
        <f>IF(AND(ISNUMBER(D16),ISNUMBER(C16)),IF(OR(C16&lt;=0,D16&lt;0),"n/m",D16/C16-1),"n/a")</f>
        <v>0.0460792239288601</v>
      </c>
      <c r="E18" s="39" t="s">
        <v>37</v>
      </c>
      <c r="F18" s="39" t="s">
        <v>37</v>
      </c>
      <c r="G18" s="39" t="s">
        <v>37</v>
      </c>
      <c r="H18" s="17">
        <f>IF(AND(ISNUMBER(H16),ISNUMBER(G16)),IF(OR(G16&lt;=0,H16&lt;0),"n/m",H16/G16-1),"n/a")</f>
        <v>0.31747006447651205</v>
      </c>
      <c r="I18" s="55">
        <f>IF(AND(ISNUMBER(I16),ISNUMBER(H16)),IF(OR(H16&lt;=0,I16&lt;0),"n/m",I16/H16-1),"n/a")</f>
        <v>0.10790305290142155</v>
      </c>
      <c r="J18" s="1"/>
      <c r="K18" s="1"/>
    </row>
    <row r="19">
      <c r="A19" s="1"/>
      <c r="B19" s="18" t="s">
        <v>63</v>
      </c>
      <c r="C19" s="17">
        <f>IF(AND(ISNUMBER(C16),ISNUMBER(C30)),IF(C30=0,"n/a",C16/C30),"n/a")</f>
        <v>0.6083107941971969</v>
      </c>
      <c r="D19" s="17">
        <f>IF(AND(ISNUMBER(D16),ISNUMBER(D30)),IF(D30=0,"n/a",D16/D30),"n/a")</f>
        <v>0.6357160402849423</v>
      </c>
      <c r="E19" s="17">
        <f>IF(AND(ISNUMBER(E16),ISNUMBER(E30)),IF(E30=0,"n/a",E16/E30),"n/a")</f>
        <v>0.600322703113136</v>
      </c>
      <c r="F19" s="17">
        <f>IF(AND(ISNUMBER(F16),ISNUMBER(F30)),IF(F30=0,"n/a",F16/F30),"n/a")</f>
        <v>0.6097783013816</v>
      </c>
      <c r="G19" s="17">
        <f>IF(AND(ISNUMBER(G16),ISNUMBER(G30)),IF(G30=0,"n/a",G16/G30),"n/a")</f>
        <v>0.6938645078824031</v>
      </c>
      <c r="H19" s="17">
        <f>IF(AND(ISNUMBER(H16),ISNUMBER(H30)),IF(H30=0,"n/a",H16/H30),"n/a")</f>
        <v>0.5491425646275915</v>
      </c>
      <c r="I19" s="55">
        <f>IF(AND(ISNUMBER(I16),ISNUMBER(I30)),IF(I30=0,"n/a",I16/I30),"n/a")</f>
        <v>0.36973611755434016</v>
      </c>
      <c r="J19" s="1"/>
      <c r="K19" s="1"/>
    </row>
    <row r="20">
      <c r="A20" s="1"/>
      <c r="B20" s="18" t="s">
        <v>64</v>
      </c>
      <c r="C20" s="39" t="s">
        <v>37</v>
      </c>
      <c r="D20" s="39" t="s">
        <v>37</v>
      </c>
      <c r="E20" s="39" t="s">
        <v>37</v>
      </c>
      <c r="F20" s="39" t="s">
        <v>37</v>
      </c>
      <c r="G20" s="39">
        <v>0</v>
      </c>
      <c r="H20" s="39">
        <v>0</v>
      </c>
      <c r="I20" s="49" t="s">
        <v>37</v>
      </c>
      <c r="J20" s="11" t="s">
        <v>65</v>
      </c>
      <c r="K20" s="1"/>
    </row>
    <row r="21">
      <c r="A21" s="1"/>
      <c r="B21" s="18" t="s">
        <v>66</v>
      </c>
      <c r="C21" s="39" t="s">
        <v>37</v>
      </c>
      <c r="D21" s="39" t="s">
        <v>37</v>
      </c>
      <c r="E21" s="39" t="s">
        <v>37</v>
      </c>
      <c r="F21" s="39" t="s">
        <v>37</v>
      </c>
      <c r="G21" s="39" t="s">
        <v>37</v>
      </c>
      <c r="H21" s="39" t="s">
        <v>37</v>
      </c>
      <c r="I21" s="49" t="s">
        <v>37</v>
      </c>
      <c r="J21" s="1"/>
      <c r="K21" s="1"/>
    </row>
    <row r="22">
      <c r="A22" s="1"/>
      <c r="B22" s="18" t="s">
        <v>67</v>
      </c>
      <c r="C22" s="17" t="str">
        <f>IF(AND(ISNUMBER(C17),ISNUMBER(C20),ISNUMBER(C21)),(1+C17)/((1+C20)*(1+C21))-1,"n/a")</f>
        <v>n/a</v>
      </c>
      <c r="D22" s="17" t="str">
        <f>IF(AND(ISNUMBER(D17),ISNUMBER(D20),ISNUMBER(D21)),(1+D17)/((1+D20)*(1+D21))-1,"n/a")</f>
        <v>n/a</v>
      </c>
      <c r="E22" s="17" t="str">
        <f>IF(AND(ISNUMBER(E17),ISNUMBER(E20),ISNUMBER(E21)),(1+E17)/((1+E20)*(1+E21))-1,"n/a")</f>
        <v>n/a</v>
      </c>
      <c r="F22" s="17" t="str">
        <f>IF(AND(ISNUMBER(F17),ISNUMBER(F20),ISNUMBER(F21)),(1+F17)/((1+F20)*(1+F21))-1,"n/a")</f>
        <v>n/a</v>
      </c>
      <c r="G22" s="17" t="str">
        <f>IF(AND(ISNUMBER(G17),ISNUMBER(G20),ISNUMBER(G21)),(1+G17)/((1+G20)*(1+G21))-1,"n/a")</f>
        <v>n/a</v>
      </c>
      <c r="H22" s="17" t="str">
        <f>IF(AND(ISNUMBER(H17),ISNUMBER(H20),ISNUMBER(H21)),(1+H17)/((1+H20)*(1+H21))-1,"n/a")</f>
        <v>n/a</v>
      </c>
      <c r="I22" s="55" t="str">
        <f>IF(AND(ISNUMBER(I17),ISNUMBER(I20),ISNUMBER(I21)),(1+I17)/((1+I20)*(1+I21))-1,"n/a")</f>
        <v>n/a</v>
      </c>
      <c r="J22" s="11" t="s">
        <v>68</v>
      </c>
      <c r="K22" s="1"/>
    </row>
    <row r="23">
      <c r="A23" s="1"/>
      <c r="B23" s="12" t="s">
        <v>70</v>
      </c>
      <c r="C23" s="22">
        <f>'Segment - AI'!C97</f>
        <v>728</v>
      </c>
      <c r="D23" s="22">
        <f>'Segment - AI'!D97</f>
        <v>737</v>
      </c>
      <c r="E23" s="22">
        <f>'Segment - AI'!E97</f>
        <v>1736</v>
      </c>
      <c r="F23" s="22">
        <f>'Segment - AI'!F97</f>
        <v>3201</v>
      </c>
      <c r="G23" s="22">
        <f>'Segment - AI'!G97</f>
        <v>818</v>
      </c>
      <c r="H23" s="22">
        <f>'Segment - AI'!H97</f>
        <v>2561</v>
      </c>
      <c r="I23" s="42">
        <f>'Segment - AI'!I97</f>
        <v>6931.899246575343</v>
      </c>
      <c r="J23" s="1"/>
      <c r="K23" s="1"/>
    </row>
    <row r="24">
      <c r="A24" s="1"/>
      <c r="B24" s="18" t="s">
        <v>61</v>
      </c>
      <c r="C24" s="39" t="s">
        <v>37</v>
      </c>
      <c r="D24" s="39" t="s">
        <v>37</v>
      </c>
      <c r="E24" s="39" t="s">
        <v>37</v>
      </c>
      <c r="F24" s="45">
        <f>IF(ISNUMBER(F23),F23/Inputs!C100-1,"n/a")</f>
        <v>0.22175572519083975</v>
      </c>
      <c r="G24" s="17">
        <f>IF(AND(ISNUMBER(G23),ISNUMBER(C23)),IF(OR(C23&lt;=0,G23&lt;0),"n/m",G23/C23-1),"n/a")</f>
        <v>0.12362637362637363</v>
      </c>
      <c r="H24" s="17">
        <f>IF(AND(ISNUMBER(H23),ISNUMBER(D23)),IF(OR(D23&lt;=0,H23&lt;0),"n/m",H23/D23-1),"n/a")</f>
        <v>2.474898236092266</v>
      </c>
      <c r="I24" s="49" t="s">
        <v>37</v>
      </c>
      <c r="J24" s="1"/>
      <c r="K24" s="1"/>
    </row>
    <row r="25">
      <c r="A25" s="1"/>
      <c r="B25" s="18" t="s">
        <v>62</v>
      </c>
      <c r="C25" s="39" t="s">
        <v>37</v>
      </c>
      <c r="D25" s="17">
        <f>IF(AND(ISNUMBER(D23),ISNUMBER(C23)),IF(OR(C23&lt;=0,D23&lt;0),"n/m",D23/C23-1),"n/a")</f>
        <v>0.012362637362637319</v>
      </c>
      <c r="E25" s="39" t="s">
        <v>37</v>
      </c>
      <c r="F25" s="39" t="s">
        <v>37</v>
      </c>
      <c r="G25" s="39" t="s">
        <v>37</v>
      </c>
      <c r="H25" s="17">
        <f>IF(AND(ISNUMBER(H23),ISNUMBER(G23)),IF(OR(G23&lt;=0,H23&lt;0),"n/m",H23/G23-1),"n/a")</f>
        <v>2.13080684596577</v>
      </c>
      <c r="I25" s="55">
        <f>IF(AND(ISNUMBER(I23),ISNUMBER(H23)),IF(OR(H23&lt;=0,I23&lt;0),"n/m",I23/H23-1),"n/a")</f>
        <v>1.7067158323214926</v>
      </c>
      <c r="J25" s="1"/>
      <c r="K25" s="1"/>
    </row>
    <row r="26">
      <c r="A26" s="1"/>
      <c r="B26" s="18" t="s">
        <v>63</v>
      </c>
      <c r="C26" s="17">
        <f>IF(AND(ISNUMBER(C23),ISNUMBER(C30)),IF(C30=0,"n/a",C23/C30),"n/a")</f>
        <v>0.17900172117039587</v>
      </c>
      <c r="D26" s="17">
        <f>IF(AND(ISNUMBER(D23),ISNUMBER(D30)),IF(D30=0,"n/a",D23/D30),"n/a")</f>
        <v>0.18103660034389585</v>
      </c>
      <c r="E26" s="17">
        <f>IF(AND(ISNUMBER(E23),ISNUMBER(E30)),IF(E30=0,"n/a",E23/E30),"n/a")</f>
        <v>0.16476841305998483</v>
      </c>
      <c r="F26" s="17">
        <f>IF(AND(ISNUMBER(F23),ISNUMBER(F30)),IF(F30=0,"n/a",F23/F30),"n/a")</f>
        <v>0.1714148013280497</v>
      </c>
      <c r="G26" s="17">
        <f>IF(AND(ISNUMBER(G23),ISNUMBER(G30)),IF(G30=0,"n/a",G23/G30),"n/a")</f>
        <v>0.17426501917341286</v>
      </c>
      <c r="H26" s="17">
        <f>IF(AND(ISNUMBER(H23),ISNUMBER(H30)),IF(H30=0,"n/a",H23/H30),"n/a")</f>
        <v>0.32774507294599436</v>
      </c>
      <c r="I26" s="55">
        <f>IF(AND(ISNUMBER(I23),ISNUMBER(I30)),IF(I30=0,"n/a",I23/I30),"n/a")</f>
        <v>0.5391180154165836</v>
      </c>
      <c r="J26" s="1"/>
      <c r="K26" s="1"/>
    </row>
    <row r="27">
      <c r="A27" s="1"/>
      <c r="B27" s="18" t="s">
        <v>64</v>
      </c>
      <c r="C27" s="39" t="s">
        <v>37</v>
      </c>
      <c r="D27" s="39" t="s">
        <v>37</v>
      </c>
      <c r="E27" s="39" t="s">
        <v>37</v>
      </c>
      <c r="F27" s="39" t="s">
        <v>37</v>
      </c>
      <c r="G27" s="39">
        <v>0</v>
      </c>
      <c r="H27" s="39">
        <v>0</v>
      </c>
      <c r="I27" s="49" t="s">
        <v>37</v>
      </c>
      <c r="J27" s="11" t="s">
        <v>65</v>
      </c>
      <c r="K27" s="1"/>
    </row>
    <row r="28">
      <c r="A28" s="1"/>
      <c r="B28" s="18" t="s">
        <v>66</v>
      </c>
      <c r="C28" s="39" t="s">
        <v>37</v>
      </c>
      <c r="D28" s="39" t="s">
        <v>37</v>
      </c>
      <c r="E28" s="39" t="s">
        <v>37</v>
      </c>
      <c r="F28" s="39" t="s">
        <v>37</v>
      </c>
      <c r="G28" s="39" t="s">
        <v>37</v>
      </c>
      <c r="H28" s="39" t="s">
        <v>37</v>
      </c>
      <c r="I28" s="49" t="s">
        <v>37</v>
      </c>
      <c r="J28" s="1"/>
      <c r="K28" s="1"/>
    </row>
    <row r="29">
      <c r="A29" s="1"/>
      <c r="B29" s="18" t="s">
        <v>67</v>
      </c>
      <c r="C29" s="17" t="str">
        <f>IF(AND(ISNUMBER(C24),ISNUMBER(C27),ISNUMBER(C28)),(1+C24)/((1+C27)*(1+C28))-1,"n/a")</f>
        <v>n/a</v>
      </c>
      <c r="D29" s="17" t="str">
        <f>IF(AND(ISNUMBER(D24),ISNUMBER(D27),ISNUMBER(D28)),(1+D24)/((1+D27)*(1+D28))-1,"n/a")</f>
        <v>n/a</v>
      </c>
      <c r="E29" s="17" t="str">
        <f>IF(AND(ISNUMBER(E24),ISNUMBER(E27),ISNUMBER(E28)),(1+E24)/((1+E27)*(1+E28))-1,"n/a")</f>
        <v>n/a</v>
      </c>
      <c r="F29" s="17" t="str">
        <f>IF(AND(ISNUMBER(F24),ISNUMBER(F27),ISNUMBER(F28)),(1+F24)/((1+F27)*(1+F28))-1,"n/a")</f>
        <v>n/a</v>
      </c>
      <c r="G29" s="17" t="str">
        <f>IF(AND(ISNUMBER(G24),ISNUMBER(G27),ISNUMBER(G28)),(1+G24)/((1+G27)*(1+G28))-1,"n/a")</f>
        <v>n/a</v>
      </c>
      <c r="H29" s="17" t="str">
        <f>IF(AND(ISNUMBER(H24),ISNUMBER(H27),ISNUMBER(H28)),(1+H24)/((1+H27)*(1+H28))-1,"n/a")</f>
        <v>n/a</v>
      </c>
      <c r="I29" s="55" t="str">
        <f>IF(AND(ISNUMBER(I24),ISNUMBER(I27),ISNUMBER(I28)),(1+I24)/((1+I27)*(1+I28))-1,"n/a")</f>
        <v>n/a</v>
      </c>
      <c r="J29" s="11" t="s">
        <v>68</v>
      </c>
      <c r="K29" s="1"/>
    </row>
    <row r="30">
      <c r="A30" s="1"/>
      <c r="B30" s="13" t="s">
        <v>71</v>
      </c>
      <c r="C30" s="41">
        <f>IF(COUNT(C9,C16,C23)=3,C9+C16+C23,"n/a")</f>
        <v>4067</v>
      </c>
      <c r="D30" s="41">
        <f>IF(COUNT(D9,D16,D23)=3,D9+D16+D23,"n/a")</f>
        <v>4071</v>
      </c>
      <c r="E30" s="41">
        <f>IF(COUNT(E9,E16,E23)=3,E9+E16+E23,"n/a")</f>
        <v>10536</v>
      </c>
      <c r="F30" s="41">
        <f>IF(COUNT(F9,F16,F23)=3,F9+F16+F23,"n/a")</f>
        <v>18674</v>
      </c>
      <c r="G30" s="41">
        <f>IF(COUNT(G9,G16,G23)=3,G9+G16+G23,"n/a")</f>
        <v>4694</v>
      </c>
      <c r="H30" s="41">
        <f>IF(COUNT(H9,H16,H23)=3,H9+H16+H23,"n/a")</f>
        <v>7814</v>
      </c>
      <c r="I30" s="36">
        <f>IF(COUNT(I9,I16,I23)=3,I9+I16+I23,"n/a")</f>
        <v>12857.851246575341</v>
      </c>
      <c r="J30" s="1"/>
      <c r="K30" s="1"/>
    </row>
    <row r="31">
      <c r="A31" s="1"/>
      <c r="B31" s="18" t="s">
        <v>61</v>
      </c>
      <c r="C31" s="39" t="s">
        <v>37</v>
      </c>
      <c r="D31" s="39" t="s">
        <v>37</v>
      </c>
      <c r="E31" s="39" t="s">
        <v>37</v>
      </c>
      <c r="F31" s="45">
        <f>IF(ISNUMBER(F30),F30/Inputs!C97-1,"n/a")</f>
        <v>0.3324295397788084</v>
      </c>
      <c r="G31" s="17">
        <f>IF(AND(ISNUMBER(G30),ISNUMBER(C30)),IF(OR(C30&lt;=0,G30&lt;0),"n/m",G30/C30-1),"n/a")</f>
        <v>0.15416769117285467</v>
      </c>
      <c r="H31" s="17">
        <f>IF(AND(ISNUMBER(H30),ISNUMBER(D30)),IF(OR(D30&lt;=0,H30&lt;0),"n/m",H30/D30-1),"n/a")</f>
        <v>0.9194301154507492</v>
      </c>
      <c r="I31" s="49" t="s">
        <v>37</v>
      </c>
      <c r="J31" s="1"/>
      <c r="K31" s="1"/>
    </row>
    <row r="32">
      <c r="A32" s="1"/>
      <c r="B32" s="51" t="s">
        <v>72</v>
      </c>
      <c r="C32" s="34" t="s">
        <v>37</v>
      </c>
      <c r="D32" s="26">
        <f>IF(AND(ISNUMBER(D30),ISNUMBER(C30)),D30-C30,"n/a")</f>
        <v>4</v>
      </c>
      <c r="E32" s="34" t="s">
        <v>37</v>
      </c>
      <c r="F32" s="34" t="s">
        <v>37</v>
      </c>
      <c r="G32" s="34" t="s">
        <v>37</v>
      </c>
      <c r="H32" s="26">
        <f>IF(AND(ISNUMBER(H30),ISNUMBER(G30)),H30-G30,"n/a")</f>
        <v>3120</v>
      </c>
      <c r="I32" s="32">
        <f>IF(AND(ISNUMBER(I30),ISNUMBER(H30)),I30-H30,"n/a")</f>
        <v>5043.851246575341</v>
      </c>
      <c r="J32" s="1"/>
      <c r="K32" s="1"/>
    </row>
    <row r="33">
      <c r="A33" s="1"/>
      <c r="B33" s="18" t="s">
        <v>62</v>
      </c>
      <c r="C33" s="39" t="s">
        <v>37</v>
      </c>
      <c r="D33" s="17">
        <f>IF(AND(ISNUMBER(D30),ISNUMBER(C30)),IF(OR(C30&lt;=0,D30&lt;0),"n/m",D30/C30-1),"n/a")</f>
        <v>0.0009835259404966656</v>
      </c>
      <c r="E33" s="39" t="s">
        <v>37</v>
      </c>
      <c r="F33" s="39" t="s">
        <v>37</v>
      </c>
      <c r="G33" s="39" t="s">
        <v>37</v>
      </c>
      <c r="H33" s="17">
        <f>IF(AND(ISNUMBER(H30),ISNUMBER(G30)),IF(OR(G30&lt;=0,H30&lt;0),"n/m",H30/G30-1),"n/a")</f>
        <v>0.6646783127396676</v>
      </c>
      <c r="I33" s="55">
        <f>IF(AND(ISNUMBER(I30),ISNUMBER(H30)),IF(OR(H30&lt;=0,I30&lt;0),"n/m",I30/H30-1),"n/a")</f>
        <v>0.6454890256687154</v>
      </c>
      <c r="J33" s="1"/>
      <c r="K33" s="1"/>
    </row>
    <row r="34">
      <c r="A34" s="1"/>
      <c r="B34" s="18" t="s">
        <v>64</v>
      </c>
      <c r="C34" s="39" t="s">
        <v>37</v>
      </c>
      <c r="D34" s="39" t="s">
        <v>37</v>
      </c>
      <c r="E34" s="39" t="s">
        <v>37</v>
      </c>
      <c r="F34" s="39" t="s">
        <v>37</v>
      </c>
      <c r="G34" s="39">
        <v>0</v>
      </c>
      <c r="H34" s="39">
        <v>0</v>
      </c>
      <c r="I34" s="49" t="s">
        <v>37</v>
      </c>
      <c r="J34" s="11" t="s">
        <v>65</v>
      </c>
      <c r="K34" s="1"/>
    </row>
    <row r="35">
      <c r="A35" s="1"/>
      <c r="B35" s="18" t="s">
        <v>66</v>
      </c>
      <c r="C35" s="39" t="s">
        <v>37</v>
      </c>
      <c r="D35" s="39" t="s">
        <v>37</v>
      </c>
      <c r="E35" s="39" t="s">
        <v>37</v>
      </c>
      <c r="F35" s="39" t="s">
        <v>37</v>
      </c>
      <c r="G35" s="39" t="s">
        <v>37</v>
      </c>
      <c r="H35" s="39" t="s">
        <v>37</v>
      </c>
      <c r="I35" s="49" t="s">
        <v>37</v>
      </c>
      <c r="J35" s="87" t="s">
        <v>73</v>
      </c>
      <c r="K35" s="1"/>
    </row>
    <row r="36">
      <c r="A36" s="1"/>
      <c r="B36" s="18" t="s">
        <v>67</v>
      </c>
      <c r="C36" s="17" t="str">
        <f>IF(AND(ISNUMBER(C31),ISNUMBER(C34),ISNUMBER(C35)),(1+C31)/((1+C34)*(1+C35))-1,"n/a")</f>
        <v>n/a</v>
      </c>
      <c r="D36" s="17" t="str">
        <f>IF(AND(ISNUMBER(D31),ISNUMBER(D34),ISNUMBER(D35)),(1+D31)/((1+D34)*(1+D35))-1,"n/a")</f>
        <v>n/a</v>
      </c>
      <c r="E36" s="17" t="str">
        <f>IF(AND(ISNUMBER(E31),ISNUMBER(E34),ISNUMBER(E35)),(1+E31)/((1+E34)*(1+E35))-1,"n/a")</f>
        <v>n/a</v>
      </c>
      <c r="F36" s="17" t="str">
        <f>IF(AND(ISNUMBER(F31),ISNUMBER(F34),ISNUMBER(F35)),(1+F31)/((1+F34)*(1+F35))-1,"n/a")</f>
        <v>n/a</v>
      </c>
      <c r="G36" s="17" t="str">
        <f>IF(AND(ISNUMBER(G31),ISNUMBER(G34),ISNUMBER(G35)),(1+G31)/((1+G34)*(1+G35))-1,"n/a")</f>
        <v>n/a</v>
      </c>
      <c r="H36" s="17" t="str">
        <f>IF(AND(ISNUMBER(H31),ISNUMBER(H34),ISNUMBER(H35)),(1+H31)/((1+H34)*(1+H35))-1,"n/a")</f>
        <v>n/a</v>
      </c>
      <c r="I36" s="55" t="str">
        <f>IF(AND(ISNUMBER(I31),ISNUMBER(I34),ISNUMBER(I35)),(1+I31)/((1+I34)*(1+I35))-1,"n/a")</f>
        <v>n/a</v>
      </c>
      <c r="J36" s="11" t="s">
        <v>68</v>
      </c>
      <c r="K36" s="1"/>
    </row>
    <row r="37">
      <c r="A37" s="1"/>
      <c r="B37" s="12" t="s">
        <v>74</v>
      </c>
      <c r="C37" s="34">
        <v>4067</v>
      </c>
      <c r="D37" s="34">
        <v>4071</v>
      </c>
      <c r="E37" s="26">
        <f>IF(COUNT(F37,C37,D37)=3,F37-C37-D37,"n/a")</f>
        <v>10536</v>
      </c>
      <c r="F37" s="34">
        <v>18674</v>
      </c>
      <c r="G37" s="34">
        <v>4694</v>
      </c>
      <c r="H37" s="34">
        <v>7814</v>
      </c>
      <c r="I37" s="52" t="s">
        <v>37</v>
      </c>
      <c r="J37" s="1"/>
      <c r="K37" s="1"/>
    </row>
    <row r="38">
      <c r="A38" s="1"/>
      <c r="B38" s="12" t="s">
        <v>75</v>
      </c>
      <c r="C38" s="22">
        <f>IF(ISNUMBER(C37),C30-C37,C30-'Income Statement'!C12)</f>
        <v>0</v>
      </c>
      <c r="D38" s="22">
        <f>IF(ISNUMBER(D37),D30-D37,D30-'Income Statement'!D12)</f>
        <v>0</v>
      </c>
      <c r="E38" s="22">
        <f>IF(ISNUMBER(E37),E30-E37,E30-'Income Statement'!E12)</f>
        <v>0</v>
      </c>
      <c r="F38" s="22">
        <f>IF(ISNUMBER(F37),F30-F37,F30-'Income Statement'!F12)</f>
        <v>0</v>
      </c>
      <c r="G38" s="22">
        <f>IF(ISNUMBER(G37),G30-G37,G30-'Income Statement'!G12)</f>
        <v>0</v>
      </c>
      <c r="H38" s="22">
        <f>IF(ISNUMBER(H37),H30-H37,H30-'Income Statement'!H12)</f>
        <v>0</v>
      </c>
      <c r="I38" s="42">
        <f>IF(ISNUMBER(I37),I30-I37,I30-'Income Statement'!I12)</f>
        <v>0</v>
      </c>
      <c r="J38" s="11" t="s">
        <v>76</v>
      </c>
      <c r="K38" s="1"/>
    </row>
    <row r="39">
      <c r="A39" s="1"/>
      <c r="B39" s="1"/>
      <c r="C39" s="1"/>
      <c r="D39" s="1"/>
      <c r="E39" s="1"/>
      <c r="F39" s="1"/>
      <c r="G39" s="1"/>
      <c r="H39" s="1"/>
      <c r="I39" s="53"/>
      <c r="J39" s="1"/>
      <c r="K39" s="1"/>
    </row>
    <row r="40">
      <c r="A40" s="1"/>
      <c r="B40" s="23" t="s">
        <v>77</v>
      </c>
      <c r="C40" s="1"/>
      <c r="D40" s="1"/>
      <c r="E40" s="1"/>
      <c r="F40" s="1"/>
      <c r="G40" s="1"/>
      <c r="H40" s="1"/>
      <c r="I40" s="53"/>
      <c r="J40" s="1"/>
      <c r="K40" s="1"/>
    </row>
    <row r="41">
      <c r="A41" s="1"/>
      <c r="B41" s="12" t="s">
        <v>78</v>
      </c>
      <c r="C41" s="22">
        <f>'Segment - Space'!C38</f>
        <v>566</v>
      </c>
      <c r="D41" s="22">
        <f>'Segment - Space'!D38</f>
        <v>490</v>
      </c>
      <c r="E41" s="22">
        <f>'Segment - Space'!E38</f>
        <v>1520</v>
      </c>
      <c r="F41" s="22">
        <f>'Segment - Space'!F38</f>
        <v>2576</v>
      </c>
      <c r="G41" s="22">
        <f>'Segment - Space'!G38</f>
        <v>330</v>
      </c>
      <c r="H41" s="22">
        <f>'Segment - Space'!H38</f>
        <v>648</v>
      </c>
      <c r="I41" s="42">
        <f>'Segment - Space'!I38</f>
        <v>792</v>
      </c>
      <c r="J41" s="1"/>
      <c r="K41" s="1"/>
    </row>
    <row r="42">
      <c r="A42" s="1"/>
      <c r="B42" s="18" t="s">
        <v>63</v>
      </c>
      <c r="C42" s="17">
        <f>IF(AND(ISNUMBER(C41),ISNUMBER(C30)),IF(C30=0,"n/a",C41/C30),"n/a")</f>
        <v>0.1391689205802803</v>
      </c>
      <c r="D42" s="17">
        <f>IF(AND(ISNUMBER(D41),ISNUMBER(D30)),IF(D30=0,"n/a",D41/D30),"n/a")</f>
        <v>0.1203635470400393</v>
      </c>
      <c r="E42" s="17">
        <f>IF(AND(ISNUMBER(E41),ISNUMBER(E30)),IF(E30=0,"n/a",E41/E30),"n/a")</f>
        <v>0.1442672741078208</v>
      </c>
      <c r="F42" s="17">
        <f>IF(AND(ISNUMBER(F41),ISNUMBER(F30)),IF(F30=0,"n/a",F41/F30),"n/a")</f>
        <v>0.13794580700439113</v>
      </c>
      <c r="G42" s="17">
        <f>IF(AND(ISNUMBER(G41),ISNUMBER(G30)),IF(G30=0,"n/a",G41/G30),"n/a")</f>
        <v>0.07030251384746485</v>
      </c>
      <c r="H42" s="17">
        <f>IF(AND(ISNUMBER(H41),ISNUMBER(H30)),IF(H30=0,"n/a",H41/H30),"n/a")</f>
        <v>0.08292807780906065</v>
      </c>
      <c r="I42" s="55">
        <f>IF(AND(ISNUMBER(I41),ISNUMBER(I30)),IF(I30=0,"n/a",I41/I30),"n/a")</f>
        <v>0.06159660621450628</v>
      </c>
      <c r="J42" s="1"/>
      <c r="K42" s="1"/>
    </row>
    <row r="43">
      <c r="A43" s="1"/>
      <c r="B43" s="12" t="s">
        <v>79</v>
      </c>
      <c r="C43" s="22">
        <f>'Segment - Space'!C48</f>
        <v>299</v>
      </c>
      <c r="D43" s="22">
        <f>'Segment - Space'!D48</f>
        <v>256</v>
      </c>
      <c r="E43" s="22">
        <f>'Segment - Space'!E48</f>
        <v>955</v>
      </c>
      <c r="F43" s="22">
        <f>'Segment - Space'!F48</f>
        <v>1510</v>
      </c>
      <c r="G43" s="22">
        <f>'Segment - Space'!G48</f>
        <v>289</v>
      </c>
      <c r="H43" s="22">
        <f>'Segment - Space'!H48</f>
        <v>314</v>
      </c>
      <c r="I43" s="42">
        <f>'Segment - Space'!I48</f>
        <v>379.94</v>
      </c>
      <c r="J43" s="1"/>
      <c r="K43" s="1"/>
    </row>
    <row r="44">
      <c r="A44" s="1"/>
      <c r="B44" s="18" t="s">
        <v>63</v>
      </c>
      <c r="C44" s="17">
        <f>IF(AND(ISNUMBER(C43),ISNUMBER(C30)),IF(C30=0,"n/a",C43/C30),"n/a")</f>
        <v>0.07351856405212688</v>
      </c>
      <c r="D44" s="17">
        <f>IF(AND(ISNUMBER(D43),ISNUMBER(D30)),IF(D30=0,"n/a",D43/D30),"n/a")</f>
        <v>0.06288381233112257</v>
      </c>
      <c r="E44" s="17">
        <f>IF(AND(ISNUMBER(E43),ISNUMBER(E30)),IF(E30=0,"n/a",E43/E30),"n/a")</f>
        <v>0.09064160971905846</v>
      </c>
      <c r="F44" s="17">
        <f>IF(AND(ISNUMBER(F43),ISNUMBER(F30)),IF(F30=0,"n/a",F43/F30),"n/a")</f>
        <v>0.08086109028595909</v>
      </c>
      <c r="G44" s="17">
        <f>IF(AND(ISNUMBER(G43),ISNUMBER(G30)),IF(G30=0,"n/a",G43/G30),"n/a")</f>
        <v>0.061567959096719214</v>
      </c>
      <c r="H44" s="17">
        <f>IF(AND(ISNUMBER(H43),ISNUMBER(H30)),IF(H30=0,"n/a",H43/H30),"n/a")</f>
        <v>0.04018428461735347</v>
      </c>
      <c r="I44" s="55">
        <f>IF(AND(ISNUMBER(I43),ISNUMBER(I30)),IF(I30=0,"n/a",I43/I30),"n/a")</f>
        <v>0.029549260814570096</v>
      </c>
      <c r="J44" s="1"/>
      <c r="K44" s="1"/>
    </row>
    <row r="45">
      <c r="A45" s="1"/>
      <c r="B45" s="12" t="s">
        <v>80</v>
      </c>
      <c r="C45" s="22">
        <f>'Segment - Connectivity'!C42</f>
        <v>1492</v>
      </c>
      <c r="D45" s="22">
        <f>'Segment - Connectivity'!D42</f>
        <v>1721</v>
      </c>
      <c r="E45" s="22">
        <f>'Segment - Connectivity'!E42</f>
        <v>3995</v>
      </c>
      <c r="F45" s="22">
        <f>'Segment - Connectivity'!F42</f>
        <v>7208</v>
      </c>
      <c r="G45" s="22">
        <f>'Segment - Connectivity'!G42</f>
        <v>2148</v>
      </c>
      <c r="H45" s="22">
        <f>'Segment - Connectivity'!H42</f>
        <v>2485</v>
      </c>
      <c r="I45" s="42">
        <f>'Segment - Connectivity'!I42</f>
        <v>2854.1</v>
      </c>
      <c r="J45" s="1"/>
      <c r="K45" s="1"/>
    </row>
    <row r="46">
      <c r="A46" s="1"/>
      <c r="B46" s="18" t="s">
        <v>63</v>
      </c>
      <c r="C46" s="17">
        <f>IF(AND(ISNUMBER(C45),ISNUMBER(C30)),IF(C30=0,"n/a",C45/C30),"n/a")</f>
        <v>0.3668551758052619</v>
      </c>
      <c r="D46" s="17">
        <f>IF(AND(ISNUMBER(D45),ISNUMBER(D30)),IF(D30=0,"n/a",D45/D30),"n/a")</f>
        <v>0.4227462539916482</v>
      </c>
      <c r="E46" s="17">
        <f>IF(AND(ISNUMBER(E45),ISNUMBER(E30)),IF(E30=0,"n/a",E45/E30),"n/a")</f>
        <v>0.37917615793470005</v>
      </c>
      <c r="F46" s="17">
        <f>IF(AND(ISNUMBER(F45),ISNUMBER(F30)),IF(F30=0,"n/a",F45/F30),"n/a")</f>
        <v>0.38599121773588946</v>
      </c>
      <c r="G46" s="17">
        <f>IF(AND(ISNUMBER(G45),ISNUMBER(G30)),IF(G30=0,"n/a",G45/G30),"n/a")</f>
        <v>0.4576054537707712</v>
      </c>
      <c r="H46" s="17">
        <f>IF(AND(ISNUMBER(H45),ISNUMBER(H30)),IF(H30=0,"n/a",H45/H30),"n/a")</f>
        <v>0.31801894036345024</v>
      </c>
      <c r="I46" s="55">
        <f>IF(AND(ISNUMBER(I45),ISNUMBER(I30)),IF(I30=0,"n/a",I45/I30),"n/a")</f>
        <v>0.22197332550103835</v>
      </c>
      <c r="J46" s="1"/>
      <c r="K46" s="1"/>
    </row>
    <row r="47">
      <c r="A47" s="1"/>
      <c r="B47" s="12" t="s">
        <v>81</v>
      </c>
      <c r="C47" s="22">
        <f>'Segment - Connectivity'!C52</f>
        <v>982</v>
      </c>
      <c r="D47" s="22">
        <f>'Segment - Connectivity'!D52</f>
        <v>867</v>
      </c>
      <c r="E47" s="22">
        <f>'Segment - Connectivity'!E52</f>
        <v>2330</v>
      </c>
      <c r="F47" s="22">
        <f>'Segment - Connectivity'!F52</f>
        <v>4179</v>
      </c>
      <c r="G47" s="22">
        <f>'Segment - Connectivity'!G52</f>
        <v>1109</v>
      </c>
      <c r="H47" s="22">
        <f>'Segment - Connectivity'!H52</f>
        <v>1806</v>
      </c>
      <c r="I47" s="42">
        <f>'Segment - Connectivity'!I52</f>
        <v>1899.912</v>
      </c>
      <c r="J47" s="1"/>
      <c r="K47" s="1"/>
    </row>
    <row r="48">
      <c r="A48" s="1"/>
      <c r="B48" s="18" t="s">
        <v>63</v>
      </c>
      <c r="C48" s="17">
        <f>IF(AND(ISNUMBER(C47),ISNUMBER(C30)),IF(C30=0,"n/a",C47/C30),"n/a")</f>
        <v>0.24145561839193508</v>
      </c>
      <c r="D48" s="17">
        <f>IF(AND(ISNUMBER(D47),ISNUMBER(D30)),IF(D30=0,"n/a",D47/D30),"n/a")</f>
        <v>0.21296978629329402</v>
      </c>
      <c r="E48" s="17">
        <f>IF(AND(ISNUMBER(E47),ISNUMBER(E30)),IF(E30=0,"n/a",E47/E30),"n/a")</f>
        <v>0.22114654517843585</v>
      </c>
      <c r="F48" s="17">
        <f>IF(AND(ISNUMBER(F47),ISNUMBER(F30)),IF(F30=0,"n/a",F47/F30),"n/a")</f>
        <v>0.22378708364571062</v>
      </c>
      <c r="G48" s="17">
        <f>IF(AND(ISNUMBER(G47),ISNUMBER(G30)),IF(G30=0,"n/a",G47/G30),"n/a")</f>
        <v>0.23625905411163187</v>
      </c>
      <c r="H48" s="17">
        <f>IF(AND(ISNUMBER(H47),ISNUMBER(H30)),IF(H30=0,"n/a",H47/H30),"n/a")</f>
        <v>0.2311236242641413</v>
      </c>
      <c r="I48" s="55">
        <f>IF(AND(ISNUMBER(I47),ISNUMBER(I30)),IF(I30=0,"n/a",I47/I30),"n/a")</f>
        <v>0.14776279205330184</v>
      </c>
      <c r="J48" s="1"/>
      <c r="K48" s="1"/>
    </row>
    <row r="49">
      <c r="A49" s="1"/>
      <c r="B49" s="12" t="s">
        <v>82</v>
      </c>
      <c r="C49" s="22">
        <f>'Segment - AI'!C50</f>
        <v>0</v>
      </c>
      <c r="D49" s="22">
        <f>'Segment - AI'!D50</f>
        <v>0</v>
      </c>
      <c r="E49" s="22">
        <f>'Segment - AI'!E50</f>
        <v>0</v>
      </c>
      <c r="F49" s="22">
        <f>'Segment - AI'!F50</f>
        <v>0</v>
      </c>
      <c r="G49" s="22">
        <f>'Segment - AI'!G50</f>
        <v>0</v>
      </c>
      <c r="H49" s="22">
        <f>'Segment - AI'!H50</f>
        <v>1600</v>
      </c>
      <c r="I49" s="42">
        <f>'Segment - AI'!I50</f>
        <v>5193.6</v>
      </c>
      <c r="J49" s="11" t="s">
        <v>83</v>
      </c>
      <c r="K49" s="1"/>
    </row>
    <row r="50">
      <c r="A50" s="1"/>
      <c r="B50" s="18" t="s">
        <v>63</v>
      </c>
      <c r="C50" s="17">
        <f>IF(AND(ISNUMBER(C49),ISNUMBER(C30)),IF(C30=0,"n/a",C49/C30),"n/a")</f>
        <v>0</v>
      </c>
      <c r="D50" s="17">
        <f>IF(AND(ISNUMBER(D49),ISNUMBER(D30)),IF(D30=0,"n/a",D49/D30),"n/a")</f>
        <v>0</v>
      </c>
      <c r="E50" s="17">
        <f>IF(AND(ISNUMBER(E49),ISNUMBER(E30)),IF(E30=0,"n/a",E49/E30),"n/a")</f>
        <v>0</v>
      </c>
      <c r="F50" s="17">
        <f>IF(AND(ISNUMBER(F49),ISNUMBER(F30)),IF(F30=0,"n/a",F49/F30),"n/a")</f>
        <v>0</v>
      </c>
      <c r="G50" s="17">
        <f>IF(AND(ISNUMBER(G49),ISNUMBER(G30)),IF(G30=0,"n/a",G49/G30),"n/a")</f>
        <v>0</v>
      </c>
      <c r="H50" s="17">
        <f>IF(AND(ISNUMBER(H49),ISNUMBER(H30)),IF(H30=0,"n/a",H49/H30),"n/a")</f>
        <v>0.20476068594829794</v>
      </c>
      <c r="I50" s="55">
        <f>IF(AND(ISNUMBER(I49),ISNUMBER(I30)),IF(I30=0,"n/a",I49/I30),"n/a")</f>
        <v>0.4039244116611867</v>
      </c>
      <c r="J50" s="1"/>
      <c r="K50" s="1"/>
    </row>
    <row r="51">
      <c r="A51" s="1"/>
      <c r="B51" s="12" t="s">
        <v>84</v>
      </c>
      <c r="C51" s="22">
        <f>'Segment - AI'!C60</f>
        <v>284</v>
      </c>
      <c r="D51" s="22">
        <f>'Segment - AI'!D60</f>
        <v>311</v>
      </c>
      <c r="E51" s="22">
        <f>'Segment - AI'!E60</f>
        <v>762</v>
      </c>
      <c r="F51" s="22">
        <f>'Segment - AI'!F60</f>
        <v>1357</v>
      </c>
      <c r="G51" s="22">
        <f>'Segment - AI'!G60</f>
        <v>475</v>
      </c>
      <c r="H51" s="22">
        <f>'Segment - AI'!H60</f>
        <v>594</v>
      </c>
      <c r="I51" s="42">
        <f>'Segment - AI'!I60</f>
        <v>700.92</v>
      </c>
      <c r="J51" s="11" t="s">
        <v>85</v>
      </c>
      <c r="K51" s="1"/>
    </row>
    <row r="52">
      <c r="A52" s="1"/>
      <c r="B52" s="18" t="s">
        <v>63</v>
      </c>
      <c r="C52" s="17">
        <f>IF(AND(ISNUMBER(C51),ISNUMBER(C30)),IF(C30=0,"n/a",C51/C30),"n/a")</f>
        <v>0.06983034177526433</v>
      </c>
      <c r="D52" s="17">
        <f>IF(AND(ISNUMBER(D51),ISNUMBER(D30)),IF(D30=0,"n/a",D51/D30),"n/a")</f>
        <v>0.0763940063866372</v>
      </c>
      <c r="E52" s="17">
        <f>IF(AND(ISNUMBER(E51),ISNUMBER(E30)),IF(E30=0,"n/a",E51/E30),"n/a")</f>
        <v>0.07232346241457858</v>
      </c>
      <c r="F52" s="17">
        <f>IF(AND(ISNUMBER(F51),ISNUMBER(F30)),IF(F30=0,"n/a",F51/F30),"n/a")</f>
        <v>0.07266788047552747</v>
      </c>
      <c r="G52" s="17">
        <f>IF(AND(ISNUMBER(G51),ISNUMBER(G30)),IF(G30=0,"n/a",G51/G30),"n/a")</f>
        <v>0.1011930123561994</v>
      </c>
      <c r="H52" s="17">
        <f>IF(AND(ISNUMBER(H51),ISNUMBER(H30)),IF(H30=0,"n/a",H51/H30),"n/a")</f>
        <v>0.0760174046583056</v>
      </c>
      <c r="I52" s="55">
        <f>IF(AND(ISNUMBER(I51),ISNUMBER(I30)),IF(I30=0,"n/a",I51/I30),"n/a")</f>
        <v>0.054512996499838054</v>
      </c>
      <c r="J52" s="1"/>
      <c r="K52" s="1"/>
    </row>
    <row r="53">
      <c r="A53" s="1"/>
      <c r="B53" s="12" t="s">
        <v>86</v>
      </c>
      <c r="C53" s="22">
        <f>'Segment - AI'!C73</f>
        <v>0</v>
      </c>
      <c r="D53" s="22">
        <f>'Segment - AI'!D73</f>
        <v>0</v>
      </c>
      <c r="E53" s="22">
        <f>'Segment - AI'!E73</f>
        <v>0</v>
      </c>
      <c r="F53" s="22">
        <f>'Segment - AI'!F73</f>
        <v>0</v>
      </c>
      <c r="G53" s="22">
        <f>'Segment - AI'!G73</f>
        <v>0</v>
      </c>
      <c r="H53" s="22">
        <f>'Segment - AI'!H73</f>
        <v>0</v>
      </c>
      <c r="I53" s="42">
        <f>'Segment - AI'!I73</f>
        <v>657.5342465753424</v>
      </c>
      <c r="J53" s="11" t="s">
        <v>87</v>
      </c>
      <c r="K53" s="1"/>
    </row>
    <row r="54">
      <c r="A54" s="1"/>
      <c r="B54" s="18" t="s">
        <v>63</v>
      </c>
      <c r="C54" s="17">
        <f>IF(AND(ISNUMBER(C53),ISNUMBER(C30)),IF(C30=0,"n/a",C53/C30),"n/a")</f>
        <v>0</v>
      </c>
      <c r="D54" s="17">
        <f>IF(AND(ISNUMBER(D53),ISNUMBER(D30)),IF(D30=0,"n/a",D53/D30),"n/a")</f>
        <v>0</v>
      </c>
      <c r="E54" s="17">
        <f>IF(AND(ISNUMBER(E53),ISNUMBER(E30)),IF(E30=0,"n/a",E53/E30),"n/a")</f>
        <v>0</v>
      </c>
      <c r="F54" s="17">
        <f>IF(AND(ISNUMBER(F53),ISNUMBER(F30)),IF(F30=0,"n/a",F53/F30),"n/a")</f>
        <v>0</v>
      </c>
      <c r="G54" s="17">
        <f>IF(AND(ISNUMBER(G53),ISNUMBER(G30)),IF(G30=0,"n/a",G53/G30),"n/a")</f>
        <v>0</v>
      </c>
      <c r="H54" s="17">
        <f>IF(AND(ISNUMBER(H53),ISNUMBER(H30)),IF(H30=0,"n/a",H53/H30),"n/a")</f>
        <v>0</v>
      </c>
      <c r="I54" s="55">
        <f>IF(AND(ISNUMBER(I53),ISNUMBER(I30)),IF(I30=0,"n/a",I53/I30),"n/a")</f>
        <v>0.05113873492279475</v>
      </c>
      <c r="J54" s="1"/>
      <c r="K54" s="1"/>
    </row>
    <row r="55">
      <c r="A55" s="1"/>
      <c r="B55" s="12" t="s">
        <v>88</v>
      </c>
      <c r="C55" s="22">
        <f>'Segment - AI'!C90</f>
        <v>444</v>
      </c>
      <c r="D55" s="22">
        <f>'Segment - AI'!D90</f>
        <v>426</v>
      </c>
      <c r="E55" s="22">
        <f>'Segment - AI'!E90</f>
        <v>974</v>
      </c>
      <c r="F55" s="22">
        <f>'Segment - AI'!F90</f>
        <v>1844</v>
      </c>
      <c r="G55" s="22">
        <f>'Segment - AI'!G90</f>
        <v>343</v>
      </c>
      <c r="H55" s="22">
        <f>'Segment - AI'!H90</f>
        <v>367</v>
      </c>
      <c r="I55" s="42">
        <f>'Segment - AI'!I90</f>
        <v>379.84499999999997</v>
      </c>
      <c r="J55" s="1"/>
      <c r="K55" s="1"/>
    </row>
    <row r="56">
      <c r="A56" s="1"/>
      <c r="B56" s="18" t="s">
        <v>63</v>
      </c>
      <c r="C56" s="17">
        <f>IF(AND(ISNUMBER(C55),ISNUMBER(C30)),IF(C30=0,"n/a",C55/C30),"n/a")</f>
        <v>0.10917137939513155</v>
      </c>
      <c r="D56" s="17">
        <f>IF(AND(ISNUMBER(D55),ISNUMBER(D30)),IF(D30=0,"n/a",D55/D30),"n/a")</f>
        <v>0.10464259395725865</v>
      </c>
      <c r="E56" s="17">
        <f>IF(AND(ISNUMBER(E55),ISNUMBER(E30)),IF(E30=0,"n/a",E55/E30),"n/a")</f>
        <v>0.09244495064540623</v>
      </c>
      <c r="F56" s="17">
        <f>IF(AND(ISNUMBER(F55),ISNUMBER(F30)),IF(F30=0,"n/a",F55/F30),"n/a")</f>
        <v>0.09874692085252222</v>
      </c>
      <c r="G56" s="17">
        <f>IF(AND(ISNUMBER(G55),ISNUMBER(G30)),IF(G30=0,"n/a",G55/G30),"n/a")</f>
        <v>0.07307200681721346</v>
      </c>
      <c r="H56" s="17">
        <f>IF(AND(ISNUMBER(H55),ISNUMBER(H30)),IF(H30=0,"n/a",H55/H30),"n/a")</f>
        <v>0.04696698233939084</v>
      </c>
      <c r="I56" s="55">
        <f>IF(AND(ISNUMBER(I55),ISNUMBER(I30)),IF(I30=0,"n/a",I55/I30),"n/a")</f>
        <v>0.029541872332764063</v>
      </c>
      <c r="J56" s="1"/>
      <c r="K56" s="1"/>
    </row>
    <row r="57">
      <c r="A57" s="1"/>
      <c r="B57" s="13" t="s">
        <v>89</v>
      </c>
      <c r="C57" s="41">
        <f>IF(COUNT(C41,C43,C45,C47,C49,C51,C53,C55)=8,C41+C43+C45+C47+C49+C51+C53+C55,"n/a")</f>
        <v>4067</v>
      </c>
      <c r="D57" s="41">
        <f>IF(COUNT(D41,D43,D45,D47,D49,D51,D53,D55)=8,D41+D43+D45+D47+D49+D51+D53+D55,"n/a")</f>
        <v>4071</v>
      </c>
      <c r="E57" s="41">
        <f>IF(COUNT(E41,E43,E45,E47,E49,E51,E53,E55)=8,E41+E43+E45+E47+E49+E51+E53+E55,"n/a")</f>
        <v>10536</v>
      </c>
      <c r="F57" s="41">
        <f>IF(COUNT(F41,F43,F45,F47,F49,F51,F53,F55)=8,F41+F43+F45+F47+F49+F51+F53+F55,"n/a")</f>
        <v>18674</v>
      </c>
      <c r="G57" s="41">
        <f>IF(COUNT(G41,G43,G45,G47,G49,G51,G53,G55)=8,G41+G43+G45+G47+G49+G51+G53+G55,"n/a")</f>
        <v>4694</v>
      </c>
      <c r="H57" s="41">
        <f>IF(COUNT(H41,H43,H45,H47,H49,H51,H53,H55)=8,H41+H43+H45+H47+H49+H51+H53+H55,"n/a")</f>
        <v>7814</v>
      </c>
      <c r="I57" s="36">
        <f>IF(COUNT(I41,I43,I45,I47,I49,I51,I53,I55)=8,I41+I43+I45+I47+I49+I51+I53+I55,"n/a")</f>
        <v>12857.851246575341</v>
      </c>
      <c r="J57" s="1"/>
      <c r="K57" s="1"/>
    </row>
    <row r="58">
      <c r="A58" s="1"/>
      <c r="B58" s="12" t="s">
        <v>90</v>
      </c>
      <c r="C58" s="26">
        <f>IF(ISNUMBER(C57),C57-C30,"n/a")</f>
        <v>0</v>
      </c>
      <c r="D58" s="26">
        <f>IF(ISNUMBER(D57),D57-D30,"n/a")</f>
        <v>0</v>
      </c>
      <c r="E58" s="26">
        <f>IF(ISNUMBER(E57),E57-E30,"n/a")</f>
        <v>0</v>
      </c>
      <c r="F58" s="26">
        <f>IF(ISNUMBER(F57),F57-F30,"n/a")</f>
        <v>0</v>
      </c>
      <c r="G58" s="26">
        <f>IF(ISNUMBER(G57),G57-G30,"n/a")</f>
        <v>0</v>
      </c>
      <c r="H58" s="26">
        <f>IF(ISNUMBER(H57),H57-H30,"n/a")</f>
        <v>0</v>
      </c>
      <c r="I58" s="32">
        <f>IF(ISNUMBER(I57),I57-I30,"n/a")</f>
        <v>0</v>
      </c>
      <c r="J58" s="11" t="s">
        <v>91</v>
      </c>
      <c r="K58" s="1"/>
    </row>
    <row r="59">
      <c r="A59" s="1"/>
      <c r="B59" s="1"/>
      <c r="C59" s="1"/>
      <c r="D59" s="1"/>
      <c r="E59" s="1"/>
      <c r="F59" s="1"/>
      <c r="G59" s="1"/>
      <c r="H59" s="1"/>
      <c r="I59" s="53"/>
      <c r="J59" s="1"/>
      <c r="K59" s="1"/>
    </row>
    <row r="60">
      <c r="A60" s="1"/>
      <c r="B60" s="23" t="s">
        <v>92</v>
      </c>
      <c r="C60" s="1"/>
      <c r="D60" s="1"/>
      <c r="E60" s="1"/>
      <c r="F60" s="1"/>
      <c r="G60" s="1"/>
      <c r="H60" s="1"/>
      <c r="I60" s="53"/>
      <c r="J60" s="1"/>
      <c r="K60" s="1"/>
    </row>
    <row r="61">
      <c r="A61" s="1"/>
      <c r="B61" s="12" t="s">
        <v>93</v>
      </c>
      <c r="C61" s="22">
        <f>'Segment - Connectivity'!C75</f>
        <v>352</v>
      </c>
      <c r="D61" s="22">
        <f>'Segment - Connectivity'!D75</f>
        <v>403</v>
      </c>
      <c r="E61" s="22" t="str">
        <f>'Segment - Connectivity'!E75</f>
        <v>n/a</v>
      </c>
      <c r="F61" s="22" t="str">
        <f>'Segment - Connectivity'!F75</f>
        <v>n/a</v>
      </c>
      <c r="G61" s="22">
        <f>'Segment - Connectivity'!G75</f>
        <v>380</v>
      </c>
      <c r="H61" s="22">
        <f>'Segment - Connectivity'!H75</f>
        <v>461</v>
      </c>
      <c r="I61" s="42">
        <f>'Segment - Connectivity'!I75</f>
        <v>479.44</v>
      </c>
      <c r="J61" s="1"/>
      <c r="K61" s="1"/>
    </row>
    <row r="62">
      <c r="A62" s="1"/>
      <c r="B62" s="18" t="s">
        <v>63</v>
      </c>
      <c r="C62" s="17">
        <f>IF(AND(ISNUMBER(C61),ISNUMBER(C30)),IF(C30=0,"n/a",C61/C30),"n/a")</f>
        <v>0.0865502827637079</v>
      </c>
      <c r="D62" s="17">
        <f>IF(AND(ISNUMBER(D61),ISNUMBER(D30)),IF(D30=0,"n/a",D61/D30),"n/a")</f>
        <v>0.09899287644313437</v>
      </c>
      <c r="E62" s="17" t="str">
        <f>IF(AND(ISNUMBER(E61),ISNUMBER(E30)),IF(E30=0,"n/a",E61/E30),"n/a")</f>
        <v>n/a</v>
      </c>
      <c r="F62" s="17" t="str">
        <f>IF(AND(ISNUMBER(F61),ISNUMBER(F30)),IF(F30=0,"n/a",F61/F30),"n/a")</f>
        <v>n/a</v>
      </c>
      <c r="G62" s="17">
        <f>IF(AND(ISNUMBER(G61),ISNUMBER(G30)),IF(G30=0,"n/a",G61/G30),"n/a")</f>
        <v>0.08095440988495953</v>
      </c>
      <c r="H62" s="17">
        <f>IF(AND(ISNUMBER(H61),ISNUMBER(H30)),IF(H30=0,"n/a",H61/H30),"n/a")</f>
        <v>0.05899667263885334</v>
      </c>
      <c r="I62" s="55">
        <f>IF(AND(ISNUMBER(I61),ISNUMBER(I30)),IF(I30=0,"n/a",I61/I30),"n/a")</f>
        <v>0.03728772333773092</v>
      </c>
      <c r="J62" s="1"/>
      <c r="K62" s="1"/>
    </row>
    <row r="63">
      <c r="A63" s="1"/>
      <c r="B63" s="18" t="s">
        <v>61</v>
      </c>
      <c r="C63" s="39" t="s">
        <v>37</v>
      </c>
      <c r="D63" s="39" t="s">
        <v>37</v>
      </c>
      <c r="E63" s="39" t="s">
        <v>37</v>
      </c>
      <c r="F63" s="39" t="s">
        <v>37</v>
      </c>
      <c r="G63" s="17">
        <f>IF(AND(ISNUMBER(G61),ISNUMBER(C61)),IF(OR(C61&lt;=0,G61&lt;0),"n/m",G61/C61-1),"n/a")</f>
        <v>0.07954545454545459</v>
      </c>
      <c r="H63" s="17">
        <f>IF(AND(ISNUMBER(H61),ISNUMBER(D61)),IF(OR(D61&lt;=0,H61&lt;0),"n/m",H61/D61-1),"n/a")</f>
        <v>0.14392059553349879</v>
      </c>
      <c r="I63" s="49" t="s">
        <v>37</v>
      </c>
      <c r="J63" s="1"/>
      <c r="K63" s="1"/>
    </row>
    <row r="64">
      <c r="A64" s="1"/>
      <c r="B64" s="51" t="s">
        <v>72</v>
      </c>
      <c r="C64" s="34" t="s">
        <v>37</v>
      </c>
      <c r="D64" s="26">
        <f>IF(AND(ISNUMBER(D61),ISNUMBER(C61)),D61-C61,"n/a")</f>
        <v>51</v>
      </c>
      <c r="E64" s="34" t="s">
        <v>37</v>
      </c>
      <c r="F64" s="34" t="s">
        <v>37</v>
      </c>
      <c r="G64" s="34" t="s">
        <v>37</v>
      </c>
      <c r="H64" s="26">
        <f>IF(AND(ISNUMBER(H61),ISNUMBER(G61)),H61-G61,"n/a")</f>
        <v>81</v>
      </c>
      <c r="I64" s="32">
        <f>IF(AND(ISNUMBER(I61),ISNUMBER(H61)),I61-H61,"n/a")</f>
        <v>18.439999999999998</v>
      </c>
      <c r="J64" s="1"/>
      <c r="K64" s="1"/>
    </row>
    <row r="65">
      <c r="A65" s="1"/>
      <c r="B65" s="18" t="s">
        <v>62</v>
      </c>
      <c r="C65" s="39" t="s">
        <v>37</v>
      </c>
      <c r="D65" s="17">
        <f>IF(AND(ISNUMBER(D61),ISNUMBER(C61)),IF(OR(C61&lt;=0,D61&lt;0),"n/m",D61/C61-1),"n/a")</f>
        <v>0.14488636363636354</v>
      </c>
      <c r="E65" s="39" t="s">
        <v>37</v>
      </c>
      <c r="F65" s="39" t="s">
        <v>37</v>
      </c>
      <c r="G65" s="39" t="s">
        <v>37</v>
      </c>
      <c r="H65" s="17">
        <f>IF(AND(ISNUMBER(H61),ISNUMBER(G61)),IF(OR(G61&lt;=0,H61&lt;0),"n/m",H61/G61-1),"n/a")</f>
        <v>0.2131578947368422</v>
      </c>
      <c r="I65" s="55">
        <f>IF(AND(ISNUMBER(I61),ISNUMBER(H61)),IF(OR(H61&lt;=0,I61&lt;0),"n/m",I61/H61-1),"n/a")</f>
        <v>0.040000000000000036</v>
      </c>
      <c r="J65" s="1"/>
      <c r="K65" s="1"/>
    </row>
    <row r="66">
      <c r="A66" s="1"/>
      <c r="B66" s="18" t="s">
        <v>64</v>
      </c>
      <c r="C66" s="39" t="s">
        <v>37</v>
      </c>
      <c r="D66" s="39" t="s">
        <v>37</v>
      </c>
      <c r="E66" s="39" t="s">
        <v>37</v>
      </c>
      <c r="F66" s="39" t="s">
        <v>37</v>
      </c>
      <c r="G66" s="39">
        <v>0</v>
      </c>
      <c r="H66" s="39">
        <v>0</v>
      </c>
      <c r="I66" s="49" t="s">
        <v>37</v>
      </c>
      <c r="J66" s="11" t="s">
        <v>65</v>
      </c>
      <c r="K66" s="1"/>
    </row>
    <row r="67">
      <c r="A67" s="1"/>
      <c r="B67" s="18" t="s">
        <v>66</v>
      </c>
      <c r="C67" s="39" t="s">
        <v>37</v>
      </c>
      <c r="D67" s="39" t="s">
        <v>37</v>
      </c>
      <c r="E67" s="39" t="s">
        <v>37</v>
      </c>
      <c r="F67" s="39" t="s">
        <v>37</v>
      </c>
      <c r="G67" s="39" t="s">
        <v>37</v>
      </c>
      <c r="H67" s="39" t="s">
        <v>37</v>
      </c>
      <c r="I67" s="49" t="s">
        <v>37</v>
      </c>
      <c r="J67" s="1"/>
      <c r="K67" s="1"/>
    </row>
    <row r="68">
      <c r="A68" s="1"/>
      <c r="B68" s="18" t="s">
        <v>67</v>
      </c>
      <c r="C68" s="17" t="str">
        <f>IF(AND(ISNUMBER(C63),ISNUMBER(C66),ISNUMBER(C67)),(1+C63)/((1+C66)*(1+C67))-1,"n/a")</f>
        <v>n/a</v>
      </c>
      <c r="D68" s="17" t="str">
        <f>IF(AND(ISNUMBER(D63),ISNUMBER(D66),ISNUMBER(D67)),(1+D63)/((1+D66)*(1+D67))-1,"n/a")</f>
        <v>n/a</v>
      </c>
      <c r="E68" s="17" t="str">
        <f>IF(AND(ISNUMBER(E63),ISNUMBER(E66),ISNUMBER(E67)),(1+E63)/((1+E66)*(1+E67))-1,"n/a")</f>
        <v>n/a</v>
      </c>
      <c r="F68" s="17" t="str">
        <f>IF(AND(ISNUMBER(F63),ISNUMBER(F66),ISNUMBER(F67)),(1+F63)/((1+F66)*(1+F67))-1,"n/a")</f>
        <v>n/a</v>
      </c>
      <c r="G68" s="17" t="str">
        <f>IF(AND(ISNUMBER(G63),ISNUMBER(G66),ISNUMBER(G67)),(1+G63)/((1+G66)*(1+G67))-1,"n/a")</f>
        <v>n/a</v>
      </c>
      <c r="H68" s="17" t="str">
        <f>IF(AND(ISNUMBER(H63),ISNUMBER(H66),ISNUMBER(H67)),(1+H63)/((1+H66)*(1+H67))-1,"n/a")</f>
        <v>n/a</v>
      </c>
      <c r="I68" s="55" t="str">
        <f>IF(AND(ISNUMBER(I63),ISNUMBER(I66),ISNUMBER(I67)),(1+I63)/((1+I66)*(1+I67))-1,"n/a")</f>
        <v>n/a</v>
      </c>
      <c r="J68" s="11" t="s">
        <v>68</v>
      </c>
      <c r="K68" s="1"/>
    </row>
    <row r="69">
      <c r="A69" s="1"/>
      <c r="B69" s="12" t="s">
        <v>94</v>
      </c>
      <c r="C69" s="26">
        <f>IF(COUNT(C30,C61)=2,C30-C61,"n/a")</f>
        <v>3715</v>
      </c>
      <c r="D69" s="26">
        <f>IF(COUNT(D30,D61)=2,D30-D61,"n/a")</f>
        <v>3668</v>
      </c>
      <c r="E69" s="26" t="str">
        <f>IF(COUNT(E30,E61)=2,E30-E61,"n/a")</f>
        <v>n/a</v>
      </c>
      <c r="F69" s="26" t="str">
        <f>IF(COUNT(F30,F61)=2,F30-F61,"n/a")</f>
        <v>n/a</v>
      </c>
      <c r="G69" s="26">
        <f>IF(COUNT(G30,G61)=2,G30-G61,"n/a")</f>
        <v>4314</v>
      </c>
      <c r="H69" s="26">
        <f>IF(COUNT(H30,H61)=2,H30-H61,"n/a")</f>
        <v>7353</v>
      </c>
      <c r="I69" s="32">
        <f>IF(COUNT(I30,I61)=2,I30-I61,"n/a")</f>
        <v>12378.41124657534</v>
      </c>
      <c r="J69" s="1"/>
      <c r="K69" s="1"/>
    </row>
    <row r="70">
      <c r="A70" s="1"/>
      <c r="B70" s="18" t="s">
        <v>63</v>
      </c>
      <c r="C70" s="17">
        <f>IF(AND(ISNUMBER(C69),ISNUMBER(C30)),IF(C30=0,"n/a",C69/C30),"n/a")</f>
        <v>0.9134497172362921</v>
      </c>
      <c r="D70" s="17">
        <f>IF(AND(ISNUMBER(D69),ISNUMBER(D30)),IF(D30=0,"n/a",D69/D30),"n/a")</f>
        <v>0.9010071235568656</v>
      </c>
      <c r="E70" s="17" t="str">
        <f>IF(AND(ISNUMBER(E69),ISNUMBER(E30)),IF(E30=0,"n/a",E69/E30),"n/a")</f>
        <v>n/a</v>
      </c>
      <c r="F70" s="17" t="str">
        <f>IF(AND(ISNUMBER(F69),ISNUMBER(F30)),IF(F30=0,"n/a",F69/F30),"n/a")</f>
        <v>n/a</v>
      </c>
      <c r="G70" s="17">
        <f>IF(AND(ISNUMBER(G69),ISNUMBER(G30)),IF(G30=0,"n/a",G69/G30),"n/a")</f>
        <v>0.9190455901150405</v>
      </c>
      <c r="H70" s="17">
        <f>IF(AND(ISNUMBER(H69),ISNUMBER(H30)),IF(H30=0,"n/a",H69/H30),"n/a")</f>
        <v>0.9410033273611467</v>
      </c>
      <c r="I70" s="55">
        <f>IF(AND(ISNUMBER(I69),ISNUMBER(I30)),IF(I30=0,"n/a",I69/I30),"n/a")</f>
        <v>0.962712276662269</v>
      </c>
      <c r="J70" s="1"/>
      <c r="K70" s="1"/>
    </row>
    <row r="71">
      <c r="A71" s="1"/>
      <c r="B71" s="18" t="s">
        <v>61</v>
      </c>
      <c r="C71" s="39" t="s">
        <v>37</v>
      </c>
      <c r="D71" s="39" t="s">
        <v>37</v>
      </c>
      <c r="E71" s="39" t="s">
        <v>37</v>
      </c>
      <c r="F71" s="39" t="s">
        <v>37</v>
      </c>
      <c r="G71" s="17">
        <f>IF(AND(ISNUMBER(G69),ISNUMBER(C69)),IF(OR(C69&lt;=0,G69&lt;0),"n/m",G69/C69-1),"n/a")</f>
        <v>0.1612382234185734</v>
      </c>
      <c r="H71" s="17">
        <f>IF(AND(ISNUMBER(H69),ISNUMBER(D69)),IF(OR(D69&lt;=0,H69&lt;0),"n/m",H69/D69-1),"n/a")</f>
        <v>1.0046346782988005</v>
      </c>
      <c r="I71" s="49" t="s">
        <v>37</v>
      </c>
      <c r="J71" s="1"/>
      <c r="K71" s="1"/>
    </row>
    <row r="72">
      <c r="A72" s="1"/>
      <c r="B72" s="51" t="s">
        <v>72</v>
      </c>
      <c r="C72" s="34" t="s">
        <v>37</v>
      </c>
      <c r="D72" s="26">
        <f>IF(AND(ISNUMBER(D69),ISNUMBER(C69)),D69-C69,"n/a")</f>
        <v>-47</v>
      </c>
      <c r="E72" s="34" t="s">
        <v>37</v>
      </c>
      <c r="F72" s="34" t="s">
        <v>37</v>
      </c>
      <c r="G72" s="34" t="s">
        <v>37</v>
      </c>
      <c r="H72" s="26">
        <f>IF(AND(ISNUMBER(H69),ISNUMBER(G69)),H69-G69,"n/a")</f>
        <v>3039</v>
      </c>
      <c r="I72" s="32">
        <f>IF(AND(ISNUMBER(I69),ISNUMBER(H69)),I69-H69,"n/a")</f>
        <v>5025.411246575341</v>
      </c>
      <c r="J72" s="1"/>
      <c r="K72" s="1"/>
    </row>
    <row r="73">
      <c r="A73" s="1"/>
      <c r="B73" s="18" t="s">
        <v>62</v>
      </c>
      <c r="C73" s="39" t="s">
        <v>37</v>
      </c>
      <c r="D73" s="17">
        <f>IF(AND(ISNUMBER(D69),ISNUMBER(C69)),IF(OR(C69&lt;=0,D69&lt;0),"n/m",D69/C69-1),"n/a")</f>
        <v>-0.012651413189771143</v>
      </c>
      <c r="E73" s="39" t="s">
        <v>37</v>
      </c>
      <c r="F73" s="39" t="s">
        <v>37</v>
      </c>
      <c r="G73" s="39" t="s">
        <v>37</v>
      </c>
      <c r="H73" s="17">
        <f>IF(AND(ISNUMBER(H69),ISNUMBER(G69)),IF(OR(G69&lt;=0,H69&lt;0),"n/m",H69/G69-1),"n/a")</f>
        <v>0.7044506258692629</v>
      </c>
      <c r="I73" s="55">
        <f>IF(AND(ISNUMBER(I69),ISNUMBER(H69)),IF(OR(H69&lt;=0,I69&lt;0),"n/m",I69/H69-1),"n/a")</f>
        <v>0.6834504619305508</v>
      </c>
      <c r="J73" s="1"/>
      <c r="K73" s="1"/>
    </row>
    <row r="74">
      <c r="A74" s="1"/>
      <c r="B74" s="18" t="s">
        <v>64</v>
      </c>
      <c r="C74" s="39" t="s">
        <v>37</v>
      </c>
      <c r="D74" s="39" t="s">
        <v>37</v>
      </c>
      <c r="E74" s="39" t="s">
        <v>37</v>
      </c>
      <c r="F74" s="39" t="s">
        <v>37</v>
      </c>
      <c r="G74" s="39">
        <v>0</v>
      </c>
      <c r="H74" s="39">
        <v>0</v>
      </c>
      <c r="I74" s="49" t="s">
        <v>37</v>
      </c>
      <c r="J74" s="11" t="s">
        <v>65</v>
      </c>
      <c r="K74" s="1"/>
    </row>
    <row r="75">
      <c r="A75" s="1"/>
      <c r="B75" s="18" t="s">
        <v>66</v>
      </c>
      <c r="C75" s="39" t="s">
        <v>37</v>
      </c>
      <c r="D75" s="39" t="s">
        <v>37</v>
      </c>
      <c r="E75" s="39" t="s">
        <v>37</v>
      </c>
      <c r="F75" s="39" t="s">
        <v>37</v>
      </c>
      <c r="G75" s="39" t="s">
        <v>37</v>
      </c>
      <c r="H75" s="39" t="s">
        <v>37</v>
      </c>
      <c r="I75" s="49" t="s">
        <v>37</v>
      </c>
      <c r="J75" s="1"/>
      <c r="K75" s="1"/>
    </row>
    <row r="76">
      <c r="A76" s="1"/>
      <c r="B76" s="18" t="s">
        <v>67</v>
      </c>
      <c r="C76" s="17" t="str">
        <f>IF(AND(ISNUMBER(C71),ISNUMBER(C74),ISNUMBER(C75)),(1+C71)/((1+C74)*(1+C75))-1,"n/a")</f>
        <v>n/a</v>
      </c>
      <c r="D76" s="17" t="str">
        <f>IF(AND(ISNUMBER(D71),ISNUMBER(D74),ISNUMBER(D75)),(1+D71)/((1+D74)*(1+D75))-1,"n/a")</f>
        <v>n/a</v>
      </c>
      <c r="E76" s="17" t="str">
        <f>IF(AND(ISNUMBER(E71),ISNUMBER(E74),ISNUMBER(E75)),(1+E71)/((1+E74)*(1+E75))-1,"n/a")</f>
        <v>n/a</v>
      </c>
      <c r="F76" s="17" t="str">
        <f>IF(AND(ISNUMBER(F71),ISNUMBER(F74),ISNUMBER(F75)),(1+F71)/((1+F74)*(1+F75))-1,"n/a")</f>
        <v>n/a</v>
      </c>
      <c r="G76" s="17" t="str">
        <f>IF(AND(ISNUMBER(G71),ISNUMBER(G74),ISNUMBER(G75)),(1+G71)/((1+G74)*(1+G75))-1,"n/a")</f>
        <v>n/a</v>
      </c>
      <c r="H76" s="17" t="str">
        <f>IF(AND(ISNUMBER(H71),ISNUMBER(H74),ISNUMBER(H75)),(1+H71)/((1+H74)*(1+H75))-1,"n/a")</f>
        <v>n/a</v>
      </c>
      <c r="I76" s="55" t="str">
        <f>IF(AND(ISNUMBER(I71),ISNUMBER(I74),ISNUMBER(I75)),(1+I71)/((1+I74)*(1+I75))-1,"n/a")</f>
        <v>n/a</v>
      </c>
      <c r="J76" s="11" t="s">
        <v>68</v>
      </c>
      <c r="K76" s="1"/>
    </row>
    <row r="77">
      <c r="A77" s="1"/>
      <c r="B77" s="1"/>
      <c r="C77" s="1"/>
      <c r="D77" s="1"/>
      <c r="E77" s="1"/>
      <c r="F77" s="1"/>
      <c r="G77" s="1"/>
      <c r="H77" s="1"/>
      <c r="I77" s="53"/>
      <c r="J77" s="1"/>
      <c r="K77" s="1"/>
    </row>
    <row r="78">
      <c r="A78" s="1"/>
      <c r="B78" s="23" t="s">
        <v>95</v>
      </c>
      <c r="C78" s="1"/>
      <c r="D78" s="1"/>
      <c r="E78" s="1"/>
      <c r="F78" s="1"/>
      <c r="G78" s="1"/>
      <c r="H78" s="1"/>
      <c r="I78" s="53"/>
      <c r="J78" s="1"/>
      <c r="K78" s="1"/>
    </row>
    <row r="79">
      <c r="A79" s="1"/>
      <c r="B79" s="33" t="s">
        <v>96</v>
      </c>
      <c r="C79" s="39" t="s">
        <v>37</v>
      </c>
      <c r="D79" s="39">
        <v>0.167</v>
      </c>
      <c r="E79" s="39" t="s">
        <v>37</v>
      </c>
      <c r="F79" s="39" t="s">
        <v>37</v>
      </c>
      <c r="G79" s="39" t="s">
        <v>37</v>
      </c>
      <c r="H79" s="39">
        <v>0.183</v>
      </c>
      <c r="I79" s="49" t="s">
        <v>37</v>
      </c>
      <c r="J79" s="11" t="s">
        <v>97</v>
      </c>
      <c r="K79" s="1"/>
    </row>
    <row r="80">
      <c r="A80" s="1"/>
      <c r="B80" s="18" t="s">
        <v>98</v>
      </c>
      <c r="C80" s="37" t="s">
        <v>37</v>
      </c>
      <c r="D80" s="37" t="s">
        <v>37</v>
      </c>
      <c r="E80" s="37" t="s">
        <v>37</v>
      </c>
      <c r="F80" s="37" t="s">
        <v>37</v>
      </c>
      <c r="G80" s="43" t="str">
        <f>IF(AND(ISNUMBER(G79),ISNUMBER(C79)),(G79-C79)*10000,"n/a")</f>
        <v>n/a</v>
      </c>
      <c r="H80" s="43">
        <f>IF(AND(ISNUMBER(H79),ISNUMBER(D79)),(H79-D79)*10000,"n/a")</f>
        <v>159.99999999999986</v>
      </c>
      <c r="I80" s="54" t="s">
        <v>37</v>
      </c>
      <c r="J80" s="1"/>
      <c r="K80" s="1"/>
    </row>
    <row r="81">
      <c r="A81" s="1"/>
      <c r="B81" s="18" t="s">
        <v>99</v>
      </c>
      <c r="C81" s="37" t="s">
        <v>37</v>
      </c>
      <c r="D81" s="43" t="str">
        <f>IF(AND(ISNUMBER(D79),ISNUMBER(C79)),(D79-C79)*10000,"n/a")</f>
        <v>n/a</v>
      </c>
      <c r="E81" s="37" t="s">
        <v>37</v>
      </c>
      <c r="F81" s="37" t="s">
        <v>37</v>
      </c>
      <c r="G81" s="37" t="s">
        <v>37</v>
      </c>
      <c r="H81" s="43" t="str">
        <f>IF(AND(ISNUMBER(H79),ISNUMBER(G79)),(H79-G79)*10000,"n/a")</f>
        <v>n/a</v>
      </c>
      <c r="I81" s="50" t="str">
        <f>IF(AND(ISNUMBER(I79),ISNUMBER(H79)),(I79-H79)*10000,"n/a")</f>
        <v>n/a</v>
      </c>
      <c r="J81" s="1"/>
      <c r="K81" s="1"/>
    </row>
    <row r="82">
      <c r="A82" s="1"/>
      <c r="B82" s="33" t="s">
        <v>100</v>
      </c>
      <c r="C82" s="39" t="s">
        <v>37</v>
      </c>
      <c r="D82" s="39" t="s">
        <v>37</v>
      </c>
      <c r="E82" s="39" t="s">
        <v>37</v>
      </c>
      <c r="F82" s="39" t="s">
        <v>37</v>
      </c>
      <c r="G82" s="39" t="s">
        <v>37</v>
      </c>
      <c r="H82" s="39">
        <v>0.195</v>
      </c>
      <c r="I82" s="49" t="s">
        <v>37</v>
      </c>
      <c r="J82" s="11" t="s">
        <v>101</v>
      </c>
      <c r="K82" s="1"/>
    </row>
    <row r="83">
      <c r="A83" s="1"/>
      <c r="B83" s="18" t="s">
        <v>98</v>
      </c>
      <c r="C83" s="37" t="s">
        <v>37</v>
      </c>
      <c r="D83" s="37" t="s">
        <v>37</v>
      </c>
      <c r="E83" s="37" t="s">
        <v>37</v>
      </c>
      <c r="F83" s="37" t="s">
        <v>37</v>
      </c>
      <c r="G83" s="43" t="str">
        <f>IF(AND(ISNUMBER(G82),ISNUMBER(C82)),(G82-C82)*10000,"n/a")</f>
        <v>n/a</v>
      </c>
      <c r="H83" s="43" t="str">
        <f>IF(AND(ISNUMBER(H82),ISNUMBER(D82)),(H82-D82)*10000,"n/a")</f>
        <v>n/a</v>
      </c>
      <c r="I83" s="54" t="s">
        <v>37</v>
      </c>
      <c r="J83" s="1"/>
      <c r="K83" s="1"/>
    </row>
    <row r="84">
      <c r="A84" s="1"/>
      <c r="B84" s="18" t="s">
        <v>99</v>
      </c>
      <c r="C84" s="37" t="s">
        <v>37</v>
      </c>
      <c r="D84" s="43" t="str">
        <f>IF(AND(ISNUMBER(D82),ISNUMBER(C82)),(D82-C82)*10000,"n/a")</f>
        <v>n/a</v>
      </c>
      <c r="E84" s="37" t="s">
        <v>37</v>
      </c>
      <c r="F84" s="37" t="s">
        <v>37</v>
      </c>
      <c r="G84" s="37" t="s">
        <v>37</v>
      </c>
      <c r="H84" s="43" t="str">
        <f>IF(AND(ISNUMBER(H82),ISNUMBER(G82)),(H82-G82)*10000,"n/a")</f>
        <v>n/a</v>
      </c>
      <c r="I84" s="50" t="str">
        <f>IF(AND(ISNUMBER(I82),ISNUMBER(H82)),(I82-H82)*10000,"n/a")</f>
        <v>n/a</v>
      </c>
      <c r="J84" s="1"/>
      <c r="K84" s="1"/>
    </row>
    <row r="85">
      <c r="A85" s="1"/>
      <c r="B85" s="12" t="s">
        <v>102</v>
      </c>
      <c r="C85" s="34" t="s">
        <v>37</v>
      </c>
      <c r="D85" s="34" t="s">
        <v>37</v>
      </c>
      <c r="E85" s="34" t="s">
        <v>37</v>
      </c>
      <c r="F85" s="34" t="s">
        <v>37</v>
      </c>
      <c r="G85" s="34" t="s">
        <v>37</v>
      </c>
      <c r="H85" s="34">
        <v>47461</v>
      </c>
      <c r="I85" s="52" t="s">
        <v>37</v>
      </c>
      <c r="J85" s="1"/>
      <c r="K85" s="1"/>
    </row>
    <row r="86">
      <c r="A86" s="1"/>
      <c r="B86" s="18" t="s">
        <v>61</v>
      </c>
      <c r="C86" s="39" t="s">
        <v>37</v>
      </c>
      <c r="D86" s="39" t="s">
        <v>37</v>
      </c>
      <c r="E86" s="39" t="s">
        <v>37</v>
      </c>
      <c r="F86" s="39" t="s">
        <v>37</v>
      </c>
      <c r="G86" s="17" t="str">
        <f>IF(AND(ISNUMBER(G85),ISNUMBER(C85)),IF(OR(C85&lt;=0,G85&lt;0),"n/m",G85/C85-1),"n/a")</f>
        <v>n/a</v>
      </c>
      <c r="H86" s="17" t="str">
        <f>IF(AND(ISNUMBER(H85),ISNUMBER(D85)),IF(OR(D85&lt;=0,H85&lt;0),"n/m",H85/D85-1),"n/a")</f>
        <v>n/a</v>
      </c>
      <c r="I86" s="49" t="s">
        <v>37</v>
      </c>
      <c r="J86" s="1"/>
      <c r="K86" s="1"/>
    </row>
    <row r="87">
      <c r="A87" s="1"/>
      <c r="B87" s="51" t="s">
        <v>103</v>
      </c>
      <c r="C87" s="34" t="s">
        <v>37</v>
      </c>
      <c r="D87" s="26" t="str">
        <f>IF(AND(ISNUMBER(D85),ISNUMBER(C85)),D85-C85,"n/a")</f>
        <v>n/a</v>
      </c>
      <c r="E87" s="34" t="s">
        <v>37</v>
      </c>
      <c r="F87" s="34" t="s">
        <v>37</v>
      </c>
      <c r="G87" s="34" t="s">
        <v>37</v>
      </c>
      <c r="H87" s="26" t="str">
        <f>IF(AND(ISNUMBER(H85),ISNUMBER(G85)),H85-G85,"n/a")</f>
        <v>n/a</v>
      </c>
      <c r="I87" s="32" t="str">
        <f>IF(AND(ISNUMBER(I85),ISNUMBER(H85)),I85-H85,"n/a")</f>
        <v>n/a</v>
      </c>
      <c r="J87" s="1"/>
      <c r="K87" s="1"/>
    </row>
    <row r="88">
      <c r="A88" s="1"/>
      <c r="B88" s="1" t="s">
        <v>104</v>
      </c>
      <c r="C88" s="16"/>
      <c r="D88" s="16"/>
      <c r="E88" s="16"/>
      <c r="F88" s="16"/>
      <c r="G88" s="16"/>
      <c r="H88" s="16"/>
      <c r="I88" s="65"/>
      <c r="J88" s="1"/>
      <c r="K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105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56</v>
      </c>
      <c r="J4" s="79" t="s">
        <v>4</v>
      </c>
      <c r="K4" s="1"/>
    </row>
    <row r="5">
      <c r="A5" s="1"/>
      <c r="B5" s="14" t="s">
        <v>57</v>
      </c>
      <c r="C5" s="5">
        <v>45747</v>
      </c>
      <c r="D5" s="5">
        <v>45838</v>
      </c>
      <c r="E5" s="5">
        <v>46022</v>
      </c>
      <c r="F5" s="5">
        <v>46022</v>
      </c>
      <c r="G5" s="5">
        <v>46112</v>
      </c>
      <c r="H5" s="5">
        <v>46203</v>
      </c>
      <c r="I5" s="5">
        <v>46295</v>
      </c>
      <c r="J5" s="84"/>
      <c r="K5" s="1"/>
    </row>
    <row r="6">
      <c r="A6" s="1"/>
      <c r="B6" s="10" t="s">
        <v>58</v>
      </c>
      <c r="C6" s="6">
        <v>90</v>
      </c>
      <c r="D6" s="6">
        <v>91</v>
      </c>
      <c r="E6" s="6">
        <v>184</v>
      </c>
      <c r="F6" s="6">
        <v>365</v>
      </c>
      <c r="G6" s="6">
        <v>90</v>
      </c>
      <c r="H6" s="6">
        <v>91</v>
      </c>
      <c r="I6" s="6">
        <v>92</v>
      </c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106</v>
      </c>
      <c r="C8" s="1"/>
      <c r="D8" s="1"/>
      <c r="E8" s="1"/>
      <c r="F8" s="1"/>
      <c r="G8" s="1"/>
      <c r="H8" s="1"/>
      <c r="I8" s="53"/>
      <c r="J8" s="1"/>
      <c r="K8" s="1"/>
    </row>
    <row r="9">
      <c r="A9" s="1"/>
      <c r="B9" s="12" t="s">
        <v>107</v>
      </c>
      <c r="C9" s="56">
        <v>12</v>
      </c>
      <c r="D9" s="56">
        <v>9</v>
      </c>
      <c r="E9" s="56" t="s">
        <v>37</v>
      </c>
      <c r="F9" s="56" t="s">
        <v>37</v>
      </c>
      <c r="G9" s="56">
        <v>7</v>
      </c>
      <c r="H9" s="56">
        <v>10</v>
      </c>
      <c r="I9" s="57">
        <v>12</v>
      </c>
      <c r="J9" s="11" t="s">
        <v>108</v>
      </c>
      <c r="K9" s="1"/>
    </row>
    <row r="10">
      <c r="A10" s="1"/>
      <c r="B10" s="18" t="s">
        <v>61</v>
      </c>
      <c r="C10" s="39" t="s">
        <v>37</v>
      </c>
      <c r="D10" s="39" t="s">
        <v>37</v>
      </c>
      <c r="E10" s="39" t="s">
        <v>37</v>
      </c>
      <c r="F10" s="39" t="s">
        <v>37</v>
      </c>
      <c r="G10" s="17">
        <f>IF(AND(ISNUMBER(G9),ISNUMBER(C9)),IF(OR(C9&lt;=0,G9&lt;0),"n/m",G9/C9-1),"n/a")</f>
        <v>-0.41666666666666663</v>
      </c>
      <c r="H10" s="17">
        <f>IF(AND(ISNUMBER(H9),ISNUMBER(D9)),IF(OR(D9&lt;=0,H9&lt;0),"n/m",H9/D9-1),"n/a")</f>
        <v>0.11111111111111116</v>
      </c>
      <c r="I10" s="49" t="s">
        <v>37</v>
      </c>
      <c r="J10" s="1"/>
      <c r="K10" s="1"/>
    </row>
    <row r="11">
      <c r="A11" s="1"/>
      <c r="B11" s="51" t="s">
        <v>103</v>
      </c>
      <c r="C11" s="34" t="s">
        <v>37</v>
      </c>
      <c r="D11" s="26">
        <f>IF(AND(ISNUMBER(D9),ISNUMBER(C9)),D9-C9,"n/a")</f>
        <v>-3</v>
      </c>
      <c r="E11" s="34" t="s">
        <v>37</v>
      </c>
      <c r="F11" s="34" t="s">
        <v>37</v>
      </c>
      <c r="G11" s="34" t="s">
        <v>37</v>
      </c>
      <c r="H11" s="26">
        <f>IF(AND(ISNUMBER(H9),ISNUMBER(G9)),H9-G9,"n/a")</f>
        <v>3</v>
      </c>
      <c r="I11" s="32">
        <f>IF(AND(ISNUMBER(I9),ISNUMBER(H9)),I9-H9,"n/a")</f>
        <v>2</v>
      </c>
      <c r="J11" s="1"/>
      <c r="K11" s="1"/>
    </row>
    <row r="12">
      <c r="A12" s="1"/>
      <c r="B12" s="12" t="s">
        <v>109</v>
      </c>
      <c r="C12" s="56">
        <v>26</v>
      </c>
      <c r="D12" s="56">
        <v>37</v>
      </c>
      <c r="E12" s="56" t="s">
        <v>37</v>
      </c>
      <c r="F12" s="56" t="s">
        <v>37</v>
      </c>
      <c r="G12" s="56">
        <v>33</v>
      </c>
      <c r="H12" s="56">
        <v>28</v>
      </c>
      <c r="I12" s="57">
        <v>22</v>
      </c>
      <c r="J12" s="11" t="s">
        <v>110</v>
      </c>
      <c r="K12" s="1"/>
    </row>
    <row r="13">
      <c r="A13" s="1"/>
      <c r="B13" s="18" t="s">
        <v>61</v>
      </c>
      <c r="C13" s="39" t="s">
        <v>37</v>
      </c>
      <c r="D13" s="39" t="s">
        <v>37</v>
      </c>
      <c r="E13" s="39" t="s">
        <v>37</v>
      </c>
      <c r="F13" s="39" t="s">
        <v>37</v>
      </c>
      <c r="G13" s="17">
        <f>IF(AND(ISNUMBER(G12),ISNUMBER(C12)),IF(OR(C12&lt;=0,G12&lt;0),"n/m",G12/C12-1),"n/a")</f>
        <v>0.26923076923076916</v>
      </c>
      <c r="H13" s="17">
        <f>IF(AND(ISNUMBER(H12),ISNUMBER(D12)),IF(OR(D12&lt;=0,H12&lt;0),"n/m",H12/D12-1),"n/a")</f>
        <v>-0.2432432432432432</v>
      </c>
      <c r="I13" s="49" t="s">
        <v>37</v>
      </c>
      <c r="J13" s="1"/>
      <c r="K13" s="1"/>
    </row>
    <row r="14">
      <c r="A14" s="1"/>
      <c r="B14" s="51" t="s">
        <v>103</v>
      </c>
      <c r="C14" s="34" t="s">
        <v>37</v>
      </c>
      <c r="D14" s="26">
        <f>IF(AND(ISNUMBER(D12),ISNUMBER(C12)),D12-C12,"n/a")</f>
        <v>11</v>
      </c>
      <c r="E14" s="34" t="s">
        <v>37</v>
      </c>
      <c r="F14" s="34" t="s">
        <v>37</v>
      </c>
      <c r="G14" s="34" t="s">
        <v>37</v>
      </c>
      <c r="H14" s="26">
        <f>IF(AND(ISNUMBER(H12),ISNUMBER(G12)),H12-G12,"n/a")</f>
        <v>-5</v>
      </c>
      <c r="I14" s="32">
        <f>IF(AND(ISNUMBER(I12),ISNUMBER(H12)),I12-H12,"n/a")</f>
        <v>-6</v>
      </c>
      <c r="J14" s="1"/>
      <c r="K14" s="1"/>
    </row>
    <row r="15">
      <c r="A15" s="1"/>
      <c r="B15" s="29" t="s">
        <v>111</v>
      </c>
      <c r="C15" s="63">
        <f>C9+C12</f>
        <v>38</v>
      </c>
      <c r="D15" s="63">
        <f>D9+D12</f>
        <v>46</v>
      </c>
      <c r="E15" s="63">
        <f>IF(COUNT(F15,C15,D15)=3,F15-C15-D15,"n/a")</f>
        <v>86</v>
      </c>
      <c r="F15" s="58">
        <v>170</v>
      </c>
      <c r="G15" s="63">
        <f>G9+G12</f>
        <v>40</v>
      </c>
      <c r="H15" s="63">
        <f>H9+H12</f>
        <v>38</v>
      </c>
      <c r="I15" s="59">
        <f>I9+I12</f>
        <v>34</v>
      </c>
      <c r="J15" s="1"/>
      <c r="K15" s="1"/>
    </row>
    <row r="16">
      <c r="A16" s="1"/>
      <c r="B16" s="18" t="s">
        <v>61</v>
      </c>
      <c r="C16" s="39" t="s">
        <v>37</v>
      </c>
      <c r="D16" s="39" t="s">
        <v>37</v>
      </c>
      <c r="E16" s="39" t="s">
        <v>37</v>
      </c>
      <c r="F16" s="39" t="s">
        <v>37</v>
      </c>
      <c r="G16" s="17">
        <f>IF(AND(ISNUMBER(G15),ISNUMBER(C15)),IF(OR(C15&lt;=0,G15&lt;0),"n/m",G15/C15-1),"n/a")</f>
        <v>0.05263157894736836</v>
      </c>
      <c r="H16" s="17">
        <f>IF(AND(ISNUMBER(H15),ISNUMBER(D15)),IF(OR(D15&lt;=0,H15&lt;0),"n/m",H15/D15-1),"n/a")</f>
        <v>-0.17391304347826086</v>
      </c>
      <c r="I16" s="49" t="s">
        <v>37</v>
      </c>
      <c r="J16" s="1"/>
      <c r="K16" s="1"/>
    </row>
    <row r="17">
      <c r="A17" s="1"/>
      <c r="B17" s="51" t="s">
        <v>103</v>
      </c>
      <c r="C17" s="34" t="s">
        <v>37</v>
      </c>
      <c r="D17" s="26">
        <f>IF(AND(ISNUMBER(D15),ISNUMBER(C15)),D15-C15,"n/a")</f>
        <v>8</v>
      </c>
      <c r="E17" s="34" t="s">
        <v>37</v>
      </c>
      <c r="F17" s="34" t="s">
        <v>37</v>
      </c>
      <c r="G17" s="34" t="s">
        <v>37</v>
      </c>
      <c r="H17" s="26">
        <f>IF(AND(ISNUMBER(H15),ISNUMBER(G15)),H15-G15,"n/a")</f>
        <v>-2</v>
      </c>
      <c r="I17" s="32">
        <f>IF(AND(ISNUMBER(I15),ISNUMBER(H15)),I15-H15,"n/a")</f>
        <v>-4</v>
      </c>
      <c r="J17" s="1"/>
      <c r="K17" s="1"/>
    </row>
    <row r="18">
      <c r="A18" s="1"/>
      <c r="B18" s="33" t="s">
        <v>112</v>
      </c>
      <c r="C18" s="17">
        <f>IF(AND(ISNUMBER(C9),ISNUMBER(C15)),IF(C15=0,"n/a",C9/C15),"n/a")</f>
        <v>0.3157894736842105</v>
      </c>
      <c r="D18" s="17">
        <f>IF(AND(ISNUMBER(D9),ISNUMBER(D15)),IF(D15=0,"n/a",D9/D15),"n/a")</f>
        <v>0.1956521739130435</v>
      </c>
      <c r="E18" s="17" t="str">
        <f>IF(AND(ISNUMBER(E9),ISNUMBER(E15)),IF(E15=0,"n/a",E9/E15),"n/a")</f>
        <v>n/a</v>
      </c>
      <c r="F18" s="17" t="str">
        <f>IF(AND(ISNUMBER(F9),ISNUMBER(F15)),IF(F15=0,"n/a",F9/F15),"n/a")</f>
        <v>n/a</v>
      </c>
      <c r="G18" s="17">
        <f>IF(AND(ISNUMBER(G9),ISNUMBER(G15)),IF(G15=0,"n/a",G9/G15),"n/a")</f>
        <v>0.175</v>
      </c>
      <c r="H18" s="17">
        <f>IF(AND(ISNUMBER(H9),ISNUMBER(H15)),IF(H15=0,"n/a",H9/H15),"n/a")</f>
        <v>0.2631578947368421</v>
      </c>
      <c r="I18" s="55">
        <f>IF(AND(ISNUMBER(I9),ISNUMBER(I15)),IF(I15=0,"n/a",I9/I15),"n/a")</f>
        <v>0.35294117647058826</v>
      </c>
      <c r="J18" s="1"/>
      <c r="K18" s="1"/>
    </row>
    <row r="19">
      <c r="A19" s="1"/>
      <c r="B19" s="18" t="s">
        <v>98</v>
      </c>
      <c r="C19" s="37" t="s">
        <v>37</v>
      </c>
      <c r="D19" s="37" t="s">
        <v>37</v>
      </c>
      <c r="E19" s="37" t="s">
        <v>37</v>
      </c>
      <c r="F19" s="37" t="s">
        <v>37</v>
      </c>
      <c r="G19" s="43">
        <f>IF(AND(ISNUMBER(G18),ISNUMBER(C18)),(G18-C18)*10000,"n/a")</f>
        <v>-1407.8947368421052</v>
      </c>
      <c r="H19" s="43">
        <f>IF(AND(ISNUMBER(H18),ISNUMBER(D18)),(H18-D18)*10000,"n/a")</f>
        <v>675.0572082379861</v>
      </c>
      <c r="I19" s="54" t="s">
        <v>37</v>
      </c>
      <c r="J19" s="1"/>
      <c r="K19" s="1"/>
    </row>
    <row r="20">
      <c r="A20" s="1"/>
      <c r="B20" s="18" t="s">
        <v>99</v>
      </c>
      <c r="C20" s="37" t="s">
        <v>37</v>
      </c>
      <c r="D20" s="43">
        <f>IF(AND(ISNUMBER(D18),ISNUMBER(C18)),(D18-C18)*10000,"n/a")</f>
        <v>-1201.3729977116702</v>
      </c>
      <c r="E20" s="37" t="s">
        <v>37</v>
      </c>
      <c r="F20" s="37" t="s">
        <v>37</v>
      </c>
      <c r="G20" s="37" t="s">
        <v>37</v>
      </c>
      <c r="H20" s="43">
        <f>IF(AND(ISNUMBER(H18),ISNUMBER(G18)),(H18-G18)*10000,"n/a")</f>
        <v>881.578947368421</v>
      </c>
      <c r="I20" s="50">
        <f>IF(AND(ISNUMBER(I18),ISNUMBER(H18)),(I18-H18)*10000,"n/a")</f>
        <v>897.8328173374616</v>
      </c>
      <c r="J20" s="1"/>
      <c r="K20" s="1"/>
    </row>
    <row r="21">
      <c r="A21" s="1"/>
      <c r="B21" s="12" t="s">
        <v>113</v>
      </c>
      <c r="C21" s="56">
        <v>75</v>
      </c>
      <c r="D21" s="56">
        <v>88</v>
      </c>
      <c r="E21" s="56" t="s">
        <v>37</v>
      </c>
      <c r="F21" s="56" t="s">
        <v>37</v>
      </c>
      <c r="G21" s="56">
        <v>45</v>
      </c>
      <c r="H21" s="56">
        <v>87</v>
      </c>
      <c r="I21" s="64">
        <f>I9*I24</f>
        <v>96</v>
      </c>
      <c r="J21" s="11" t="s">
        <v>114</v>
      </c>
      <c r="K21" s="1"/>
    </row>
    <row r="22">
      <c r="A22" s="1"/>
      <c r="B22" s="18" t="s">
        <v>61</v>
      </c>
      <c r="C22" s="39" t="s">
        <v>37</v>
      </c>
      <c r="D22" s="39" t="s">
        <v>37</v>
      </c>
      <c r="E22" s="39" t="s">
        <v>37</v>
      </c>
      <c r="F22" s="39" t="s">
        <v>37</v>
      </c>
      <c r="G22" s="17">
        <f>IF(AND(ISNUMBER(G21),ISNUMBER(C21)),IF(OR(C21&lt;=0,G21&lt;0),"n/m",G21/C21-1),"n/a")</f>
        <v>-0.4</v>
      </c>
      <c r="H22" s="17">
        <f>IF(AND(ISNUMBER(H21),ISNUMBER(D21)),IF(OR(D21&lt;=0,H21&lt;0),"n/m",H21/D21-1),"n/a")</f>
        <v>-0.011363636363636354</v>
      </c>
      <c r="I22" s="49" t="s">
        <v>37</v>
      </c>
      <c r="J22" s="1"/>
      <c r="K22" s="1"/>
    </row>
    <row r="23">
      <c r="A23" s="1"/>
      <c r="B23" s="51" t="s">
        <v>103</v>
      </c>
      <c r="C23" s="34" t="s">
        <v>37</v>
      </c>
      <c r="D23" s="26">
        <f>IF(AND(ISNUMBER(D21),ISNUMBER(C21)),D21-C21,"n/a")</f>
        <v>13</v>
      </c>
      <c r="E23" s="34" t="s">
        <v>37</v>
      </c>
      <c r="F23" s="34" t="s">
        <v>37</v>
      </c>
      <c r="G23" s="34" t="s">
        <v>37</v>
      </c>
      <c r="H23" s="26">
        <f>IF(AND(ISNUMBER(H21),ISNUMBER(G21)),H21-G21,"n/a")</f>
        <v>42</v>
      </c>
      <c r="I23" s="32">
        <f>IF(AND(ISNUMBER(I21),ISNUMBER(H21)),I21-H21,"n/a")</f>
        <v>9</v>
      </c>
      <c r="J23" s="1"/>
      <c r="K23" s="1"/>
    </row>
    <row r="24">
      <c r="A24" s="1"/>
      <c r="B24" s="51" t="s">
        <v>115</v>
      </c>
      <c r="C24" s="26">
        <f>IF(AND(ISNUMBER(C21),ISNUMBER(C9)),IF(C9=0,"n/a",C21/C9),"n/a")</f>
        <v>6.25</v>
      </c>
      <c r="D24" s="26">
        <f>IF(AND(ISNUMBER(D21),ISNUMBER(D9)),IF(D9=0,"n/a",D21/D9),"n/a")</f>
        <v>9.777777777777779</v>
      </c>
      <c r="E24" s="26" t="str">
        <f>IF(AND(ISNUMBER(E21),ISNUMBER(E9)),IF(E9=0,"n/a",E21/E9),"n/a")</f>
        <v>n/a</v>
      </c>
      <c r="F24" s="26" t="str">
        <f>IF(AND(ISNUMBER(F21),ISNUMBER(F9)),IF(F9=0,"n/a",F21/F9),"n/a")</f>
        <v>n/a</v>
      </c>
      <c r="G24" s="26">
        <f>IF(AND(ISNUMBER(G21),ISNUMBER(G9)),IF(G9=0,"n/a",G21/G9),"n/a")</f>
        <v>6.428571428571429</v>
      </c>
      <c r="H24" s="26">
        <f>IF(AND(ISNUMBER(H21),ISNUMBER(H9)),IF(H9=0,"n/a",H21/H9),"n/a")</f>
        <v>8.7</v>
      </c>
      <c r="I24" s="52">
        <v>8</v>
      </c>
      <c r="J24" s="11" t="s">
        <v>116</v>
      </c>
      <c r="K24" s="1"/>
    </row>
    <row r="25">
      <c r="A25" s="1"/>
      <c r="B25" s="18" t="s">
        <v>61</v>
      </c>
      <c r="C25" s="39" t="s">
        <v>37</v>
      </c>
      <c r="D25" s="39" t="s">
        <v>37</v>
      </c>
      <c r="E25" s="39" t="s">
        <v>37</v>
      </c>
      <c r="F25" s="39" t="s">
        <v>37</v>
      </c>
      <c r="G25" s="17">
        <f>IF(AND(ISNUMBER(G24),ISNUMBER(C24)),IF(OR(C24&lt;=0,G24&lt;0),"n/m",G24/C24-1),"n/a")</f>
        <v>0.028571428571428692</v>
      </c>
      <c r="H25" s="17">
        <f>IF(AND(ISNUMBER(H24),ISNUMBER(D24)),IF(OR(D24&lt;=0,H24&lt;0),"n/m",H24/D24-1),"n/a")</f>
        <v>-0.11022727272727284</v>
      </c>
      <c r="I25" s="49" t="s">
        <v>37</v>
      </c>
      <c r="J25" s="1"/>
      <c r="K25" s="1"/>
    </row>
    <row r="26">
      <c r="A26" s="1"/>
      <c r="B26" s="51" t="s">
        <v>103</v>
      </c>
      <c r="C26" s="34" t="s">
        <v>37</v>
      </c>
      <c r="D26" s="26">
        <f>IF(AND(ISNUMBER(D24),ISNUMBER(C24)),D24-C24,"n/a")</f>
        <v>3.5277777777777786</v>
      </c>
      <c r="E26" s="34" t="s">
        <v>37</v>
      </c>
      <c r="F26" s="34" t="s">
        <v>37</v>
      </c>
      <c r="G26" s="34" t="s">
        <v>37</v>
      </c>
      <c r="H26" s="26">
        <f>IF(AND(ISNUMBER(H24),ISNUMBER(G24)),H24-G24,"n/a")</f>
        <v>2.2714285714285705</v>
      </c>
      <c r="I26" s="32">
        <f>IF(AND(ISNUMBER(I24),ISNUMBER(H24)),I24-H24,"n/a")</f>
        <v>-0.6999999999999993</v>
      </c>
      <c r="J26" s="1"/>
      <c r="K26" s="1"/>
    </row>
    <row r="27">
      <c r="A27" s="1"/>
      <c r="B27" s="12" t="s">
        <v>117</v>
      </c>
      <c r="C27" s="56">
        <v>375</v>
      </c>
      <c r="D27" s="56">
        <v>563</v>
      </c>
      <c r="E27" s="56" t="s">
        <v>37</v>
      </c>
      <c r="F27" s="56" t="s">
        <v>37</v>
      </c>
      <c r="G27" s="56">
        <v>511</v>
      </c>
      <c r="H27" s="56">
        <v>397</v>
      </c>
      <c r="I27" s="64">
        <f>I12*H27/H12</f>
        <v>311.92857142857144</v>
      </c>
      <c r="J27" s="11" t="s">
        <v>118</v>
      </c>
      <c r="K27" s="1"/>
    </row>
    <row r="28">
      <c r="A28" s="1"/>
      <c r="B28" s="18" t="s">
        <v>61</v>
      </c>
      <c r="C28" s="39" t="s">
        <v>37</v>
      </c>
      <c r="D28" s="39" t="s">
        <v>37</v>
      </c>
      <c r="E28" s="39" t="s">
        <v>37</v>
      </c>
      <c r="F28" s="39" t="s">
        <v>37</v>
      </c>
      <c r="G28" s="17">
        <f>IF(AND(ISNUMBER(G27),ISNUMBER(C27)),IF(OR(C27&lt;=0,G27&lt;0),"n/m",G27/C27-1),"n/a")</f>
        <v>0.3626666666666667</v>
      </c>
      <c r="H28" s="17">
        <f>IF(AND(ISNUMBER(H27),ISNUMBER(D27)),IF(OR(D27&lt;=0,H27&lt;0),"n/m",H27/D27-1),"n/a")</f>
        <v>-0.29484902309058614</v>
      </c>
      <c r="I28" s="49" t="s">
        <v>37</v>
      </c>
      <c r="J28" s="1"/>
      <c r="K28" s="1"/>
    </row>
    <row r="29">
      <c r="A29" s="1"/>
      <c r="B29" s="51" t="s">
        <v>103</v>
      </c>
      <c r="C29" s="34" t="s">
        <v>37</v>
      </c>
      <c r="D29" s="26">
        <f>IF(AND(ISNUMBER(D27),ISNUMBER(C27)),D27-C27,"n/a")</f>
        <v>188</v>
      </c>
      <c r="E29" s="34" t="s">
        <v>37</v>
      </c>
      <c r="F29" s="34" t="s">
        <v>37</v>
      </c>
      <c r="G29" s="34" t="s">
        <v>37</v>
      </c>
      <c r="H29" s="26">
        <f>IF(AND(ISNUMBER(H27),ISNUMBER(G27)),H27-G27,"n/a")</f>
        <v>-114</v>
      </c>
      <c r="I29" s="32">
        <f>IF(AND(ISNUMBER(I27),ISNUMBER(H27)),I27-H27,"n/a")</f>
        <v>-85.07142857142856</v>
      </c>
      <c r="J29" s="1"/>
      <c r="K29" s="1"/>
    </row>
    <row r="30">
      <c r="A30" s="1"/>
      <c r="B30" s="29" t="s">
        <v>119</v>
      </c>
      <c r="C30" s="58">
        <v>450</v>
      </c>
      <c r="D30" s="58">
        <v>652</v>
      </c>
      <c r="E30" s="63">
        <f>IF(COUNT(F30,C30,D30)=3,F30-C30-D30,"n/a")</f>
        <v>1111</v>
      </c>
      <c r="F30" s="58">
        <v>2213</v>
      </c>
      <c r="G30" s="58">
        <v>556</v>
      </c>
      <c r="H30" s="58">
        <v>485</v>
      </c>
      <c r="I30" s="59">
        <f>I21+I27</f>
        <v>407.92857142857144</v>
      </c>
      <c r="J30" s="11" t="s">
        <v>120</v>
      </c>
      <c r="K30" s="1"/>
    </row>
    <row r="31">
      <c r="A31" s="1"/>
      <c r="B31" s="18" t="s">
        <v>61</v>
      </c>
      <c r="C31" s="39" t="s">
        <v>37</v>
      </c>
      <c r="D31" s="39" t="s">
        <v>37</v>
      </c>
      <c r="E31" s="39" t="s">
        <v>37</v>
      </c>
      <c r="F31" s="39" t="s">
        <v>37</v>
      </c>
      <c r="G31" s="17">
        <f>IF(AND(ISNUMBER(G30),ISNUMBER(C30)),IF(OR(C30&lt;=0,G30&lt;0),"n/m",G30/C30-1),"n/a")</f>
        <v>0.23555555555555552</v>
      </c>
      <c r="H31" s="17">
        <f>IF(AND(ISNUMBER(H30),ISNUMBER(D30)),IF(OR(D30&lt;=0,H30&lt;0),"n/m",H30/D30-1),"n/a")</f>
        <v>-0.25613496932515334</v>
      </c>
      <c r="I31" s="49" t="s">
        <v>37</v>
      </c>
      <c r="J31" s="1"/>
      <c r="K31" s="1"/>
    </row>
    <row r="32">
      <c r="A32" s="1"/>
      <c r="B32" s="51" t="s">
        <v>103</v>
      </c>
      <c r="C32" s="34" t="s">
        <v>37</v>
      </c>
      <c r="D32" s="26">
        <f>IF(AND(ISNUMBER(D30),ISNUMBER(C30)),D30-C30,"n/a")</f>
        <v>202</v>
      </c>
      <c r="E32" s="34" t="s">
        <v>37</v>
      </c>
      <c r="F32" s="34" t="s">
        <v>37</v>
      </c>
      <c r="G32" s="34" t="s">
        <v>37</v>
      </c>
      <c r="H32" s="26">
        <f>IF(AND(ISNUMBER(H30),ISNUMBER(G30)),H30-G30,"n/a")</f>
        <v>-71</v>
      </c>
      <c r="I32" s="32">
        <f>IF(AND(ISNUMBER(I30),ISNUMBER(H30)),I30-H30,"n/a")</f>
        <v>-77.07142857142856</v>
      </c>
      <c r="J32" s="1"/>
      <c r="K32" s="1"/>
    </row>
    <row r="33">
      <c r="A33" s="1"/>
      <c r="B33" s="1"/>
      <c r="C33" s="1"/>
      <c r="D33" s="1"/>
      <c r="E33" s="1"/>
      <c r="F33" s="1"/>
      <c r="G33" s="1"/>
      <c r="H33" s="1"/>
      <c r="I33" s="53"/>
      <c r="J33" s="1"/>
      <c r="K33" s="1"/>
    </row>
    <row r="34">
      <c r="A34" s="1"/>
      <c r="B34" s="23" t="s">
        <v>121</v>
      </c>
      <c r="C34" s="1"/>
      <c r="D34" s="1"/>
      <c r="E34" s="1"/>
      <c r="F34" s="1"/>
      <c r="G34" s="1"/>
      <c r="H34" s="1"/>
      <c r="I34" s="53"/>
      <c r="J34" s="1"/>
      <c r="K34" s="1"/>
    </row>
    <row r="35">
      <c r="A35" s="1"/>
      <c r="B35" s="12" t="s">
        <v>122</v>
      </c>
      <c r="C35" s="26">
        <f>IF(AND(ISNUMBER(C38),ISNUMBER(C9)),IF(C9=0,"n/a",C38/C9),"n/a")</f>
        <v>47.166666666666664</v>
      </c>
      <c r="D35" s="26">
        <f>IF(AND(ISNUMBER(D38),ISNUMBER(D9)),IF(D9=0,"n/a",D38/D9),"n/a")</f>
        <v>54.44444444444444</v>
      </c>
      <c r="E35" s="26" t="str">
        <f>IF(AND(ISNUMBER(E38),ISNUMBER(E9)),IF(E9=0,"n/a",E38/E9),"n/a")</f>
        <v>n/a</v>
      </c>
      <c r="F35" s="26" t="str">
        <f>IF(AND(ISNUMBER(F38),ISNUMBER(F9)),IF(F9=0,"n/a",F38/F9),"n/a")</f>
        <v>n/a</v>
      </c>
      <c r="G35" s="26">
        <f>IF(AND(ISNUMBER(G38),ISNUMBER(G9)),IF(G9=0,"n/a",G38/G9),"n/a")</f>
        <v>47.142857142857146</v>
      </c>
      <c r="H35" s="26">
        <f>IF(AND(ISNUMBER(H38),ISNUMBER(H9)),IF(H9=0,"n/a",H38/H9),"n/a")</f>
        <v>64.8</v>
      </c>
      <c r="I35" s="52">
        <v>66</v>
      </c>
      <c r="J35" s="11" t="s">
        <v>123</v>
      </c>
      <c r="K35" s="1"/>
    </row>
    <row r="36">
      <c r="A36" s="1"/>
      <c r="B36" s="18" t="s">
        <v>61</v>
      </c>
      <c r="C36" s="39" t="s">
        <v>37</v>
      </c>
      <c r="D36" s="39" t="s">
        <v>37</v>
      </c>
      <c r="E36" s="39" t="s">
        <v>37</v>
      </c>
      <c r="F36" s="39" t="s">
        <v>37</v>
      </c>
      <c r="G36" s="17">
        <f>IF(AND(ISNUMBER(G35),ISNUMBER(C35)),IF(OR(C35&lt;=0,G35&lt;0),"n/m",G35/C35-1),"n/a")</f>
        <v>-0.0005047955577990315</v>
      </c>
      <c r="H36" s="17">
        <f>IF(AND(ISNUMBER(H35),ISNUMBER(D35)),IF(OR(D35&lt;=0,H35&lt;0),"n/m",H35/D35-1),"n/a")</f>
        <v>0.19020408163265312</v>
      </c>
      <c r="I36" s="49" t="s">
        <v>37</v>
      </c>
      <c r="J36" s="1"/>
      <c r="K36" s="1"/>
    </row>
    <row r="37">
      <c r="A37" s="1"/>
      <c r="B37" s="51" t="s">
        <v>103</v>
      </c>
      <c r="C37" s="34" t="s">
        <v>37</v>
      </c>
      <c r="D37" s="26">
        <f>IF(AND(ISNUMBER(D35),ISNUMBER(C35)),D35-C35,"n/a")</f>
        <v>7.277777777777779</v>
      </c>
      <c r="E37" s="34" t="s">
        <v>37</v>
      </c>
      <c r="F37" s="34" t="s">
        <v>37</v>
      </c>
      <c r="G37" s="34" t="s">
        <v>37</v>
      </c>
      <c r="H37" s="26">
        <f>IF(AND(ISNUMBER(H35),ISNUMBER(G35)),H35-G35,"n/a")</f>
        <v>17.65714285714285</v>
      </c>
      <c r="I37" s="32">
        <f>IF(AND(ISNUMBER(I35),ISNUMBER(H35)),I35-H35,"n/a")</f>
        <v>1.2000000000000028</v>
      </c>
      <c r="J37" s="1"/>
      <c r="K37" s="1"/>
    </row>
    <row r="38">
      <c r="A38" s="1"/>
      <c r="B38" s="12" t="s">
        <v>124</v>
      </c>
      <c r="C38" s="34">
        <v>566</v>
      </c>
      <c r="D38" s="34">
        <v>490</v>
      </c>
      <c r="E38" s="26">
        <f>IF(COUNT(F38,C38,D38)=3,F38-C38-D38,"n/a")</f>
        <v>1520</v>
      </c>
      <c r="F38" s="34">
        <v>2576</v>
      </c>
      <c r="G38" s="34">
        <v>330</v>
      </c>
      <c r="H38" s="34">
        <v>648</v>
      </c>
      <c r="I38" s="32">
        <f>I9*I35</f>
        <v>792</v>
      </c>
      <c r="J38" s="1"/>
      <c r="K38" s="1"/>
    </row>
    <row r="39">
      <c r="A39" s="1"/>
      <c r="B39" s="18" t="s">
        <v>61</v>
      </c>
      <c r="C39" s="39" t="s">
        <v>37</v>
      </c>
      <c r="D39" s="39" t="s">
        <v>37</v>
      </c>
      <c r="E39" s="39" t="s">
        <v>37</v>
      </c>
      <c r="F39" s="45">
        <f>IF(ISNUMBER(F38),F38/Inputs!C101-1,"n/a")</f>
        <v>-0.003095975232198178</v>
      </c>
      <c r="G39" s="17">
        <f>IF(AND(ISNUMBER(G38),ISNUMBER(C38)),IF(OR(C38&lt;=0,G38&lt;0),"n/m",G38/C38-1),"n/a")</f>
        <v>-0.41696113074204944</v>
      </c>
      <c r="H39" s="17">
        <f>IF(AND(ISNUMBER(H38),ISNUMBER(D38)),IF(OR(D38&lt;=0,H38&lt;0),"n/m",H38/D38-1),"n/a")</f>
        <v>0.3224489795918368</v>
      </c>
      <c r="I39" s="49" t="s">
        <v>37</v>
      </c>
      <c r="J39" s="1"/>
      <c r="K39" s="1"/>
    </row>
    <row r="40">
      <c r="A40" s="1"/>
      <c r="B40" s="51" t="s">
        <v>72</v>
      </c>
      <c r="C40" s="34" t="s">
        <v>37</v>
      </c>
      <c r="D40" s="26">
        <f>IF(AND(ISNUMBER(D38),ISNUMBER(C38)),D38-C38,"n/a")</f>
        <v>-76</v>
      </c>
      <c r="E40" s="34" t="s">
        <v>37</v>
      </c>
      <c r="F40" s="34" t="s">
        <v>37</v>
      </c>
      <c r="G40" s="34" t="s">
        <v>37</v>
      </c>
      <c r="H40" s="26">
        <f>IF(AND(ISNUMBER(H38),ISNUMBER(G38)),H38-G38,"n/a")</f>
        <v>318</v>
      </c>
      <c r="I40" s="32">
        <f>IF(AND(ISNUMBER(I38),ISNUMBER(H38)),I38-H38,"n/a")</f>
        <v>144</v>
      </c>
      <c r="J40" s="1"/>
      <c r="K40" s="1"/>
    </row>
    <row r="41">
      <c r="A41" s="1"/>
      <c r="B41" s="18" t="s">
        <v>62</v>
      </c>
      <c r="C41" s="39" t="s">
        <v>37</v>
      </c>
      <c r="D41" s="17">
        <f>IF(AND(ISNUMBER(D38),ISNUMBER(C38)),IF(OR(C38&lt;=0,D38&lt;0),"n/m",D38/C38-1),"n/a")</f>
        <v>-0.13427561837455826</v>
      </c>
      <c r="E41" s="39" t="s">
        <v>37</v>
      </c>
      <c r="F41" s="39" t="s">
        <v>37</v>
      </c>
      <c r="G41" s="39" t="s">
        <v>37</v>
      </c>
      <c r="H41" s="17">
        <f>IF(AND(ISNUMBER(H38),ISNUMBER(G38)),IF(OR(G38&lt;=0,H38&lt;0),"n/m",H38/G38-1),"n/a")</f>
        <v>0.9636363636363636</v>
      </c>
      <c r="I41" s="55">
        <f>IF(AND(ISNUMBER(I38),ISNUMBER(H38)),IF(OR(H38&lt;=0,I38&lt;0),"n/m",I38/H38-1),"n/a")</f>
        <v>0.22222222222222232</v>
      </c>
      <c r="J41" s="1"/>
      <c r="K41" s="1"/>
    </row>
    <row r="42">
      <c r="A42" s="1"/>
      <c r="B42" s="18" t="s">
        <v>64</v>
      </c>
      <c r="C42" s="39" t="s">
        <v>37</v>
      </c>
      <c r="D42" s="39" t="s">
        <v>37</v>
      </c>
      <c r="E42" s="39" t="s">
        <v>37</v>
      </c>
      <c r="F42" s="39" t="s">
        <v>37</v>
      </c>
      <c r="G42" s="39">
        <v>0</v>
      </c>
      <c r="H42" s="39">
        <v>0</v>
      </c>
      <c r="I42" s="49" t="s">
        <v>37</v>
      </c>
      <c r="J42" s="11" t="s">
        <v>65</v>
      </c>
      <c r="K42" s="1"/>
    </row>
    <row r="43">
      <c r="A43" s="1"/>
      <c r="B43" s="18" t="s">
        <v>66</v>
      </c>
      <c r="C43" s="39" t="s">
        <v>37</v>
      </c>
      <c r="D43" s="39" t="s">
        <v>37</v>
      </c>
      <c r="E43" s="39" t="s">
        <v>37</v>
      </c>
      <c r="F43" s="39" t="s">
        <v>37</v>
      </c>
      <c r="G43" s="39" t="s">
        <v>37</v>
      </c>
      <c r="H43" s="39" t="s">
        <v>37</v>
      </c>
      <c r="I43" s="49" t="s">
        <v>37</v>
      </c>
      <c r="J43" s="1"/>
      <c r="K43" s="1"/>
    </row>
    <row r="44">
      <c r="A44" s="1"/>
      <c r="B44" s="18" t="s">
        <v>67</v>
      </c>
      <c r="C44" s="17" t="str">
        <f>IF(AND(ISNUMBER(C39),ISNUMBER(C42),ISNUMBER(C43)),(1+C39)/((1+C42)*(1+C43))-1,"n/a")</f>
        <v>n/a</v>
      </c>
      <c r="D44" s="17" t="str">
        <f>IF(AND(ISNUMBER(D39),ISNUMBER(D42),ISNUMBER(D43)),(1+D39)/((1+D42)*(1+D43))-1,"n/a")</f>
        <v>n/a</v>
      </c>
      <c r="E44" s="17" t="str">
        <f>IF(AND(ISNUMBER(E39),ISNUMBER(E42),ISNUMBER(E43)),(1+E39)/((1+E42)*(1+E43))-1,"n/a")</f>
        <v>n/a</v>
      </c>
      <c r="F44" s="17" t="str">
        <f>IF(AND(ISNUMBER(F39),ISNUMBER(F42),ISNUMBER(F43)),(1+F39)/((1+F42)*(1+F43))-1,"n/a")</f>
        <v>n/a</v>
      </c>
      <c r="G44" s="17" t="str">
        <f>IF(AND(ISNUMBER(G39),ISNUMBER(G42),ISNUMBER(G43)),(1+G39)/((1+G42)*(1+G43))-1,"n/a")</f>
        <v>n/a</v>
      </c>
      <c r="H44" s="17" t="str">
        <f>IF(AND(ISNUMBER(H39),ISNUMBER(H42),ISNUMBER(H43)),(1+H39)/((1+H42)*(1+H43))-1,"n/a")</f>
        <v>n/a</v>
      </c>
      <c r="I44" s="55" t="str">
        <f>IF(AND(ISNUMBER(I39),ISNUMBER(I42),ISNUMBER(I43)),(1+I39)/((1+I42)*(1+I43))-1,"n/a")</f>
        <v>n/a</v>
      </c>
      <c r="J44" s="11" t="s">
        <v>68</v>
      </c>
      <c r="K44" s="1"/>
    </row>
    <row r="45">
      <c r="A45" s="1"/>
      <c r="B45" s="18" t="s">
        <v>125</v>
      </c>
      <c r="C45" s="39" t="s">
        <v>37</v>
      </c>
      <c r="D45" s="39" t="s">
        <v>37</v>
      </c>
      <c r="E45" s="39" t="s">
        <v>37</v>
      </c>
      <c r="F45" s="39" t="s">
        <v>37</v>
      </c>
      <c r="G45" s="39" t="s">
        <v>37</v>
      </c>
      <c r="H45" s="39" t="s">
        <v>37</v>
      </c>
      <c r="I45" s="49">
        <v>0.21</v>
      </c>
      <c r="J45" s="11" t="s">
        <v>126</v>
      </c>
      <c r="K45" s="1"/>
    </row>
    <row r="46">
      <c r="A46" s="1"/>
      <c r="B46" s="18" t="s">
        <v>98</v>
      </c>
      <c r="C46" s="37" t="s">
        <v>37</v>
      </c>
      <c r="D46" s="37" t="s">
        <v>37</v>
      </c>
      <c r="E46" s="37" t="s">
        <v>37</v>
      </c>
      <c r="F46" s="37" t="s">
        <v>37</v>
      </c>
      <c r="G46" s="43" t="str">
        <f>IF(AND(ISNUMBER(G45),ISNUMBER(C45)),(G45-C45)*10000,"n/a")</f>
        <v>n/a</v>
      </c>
      <c r="H46" s="43" t="str">
        <f>IF(AND(ISNUMBER(H45),ISNUMBER(D45)),(H45-D45)*10000,"n/a")</f>
        <v>n/a</v>
      </c>
      <c r="I46" s="54" t="s">
        <v>37</v>
      </c>
      <c r="J46" s="1"/>
      <c r="K46" s="1"/>
    </row>
    <row r="47">
      <c r="A47" s="1"/>
      <c r="B47" s="18" t="s">
        <v>99</v>
      </c>
      <c r="C47" s="37" t="s">
        <v>37</v>
      </c>
      <c r="D47" s="43" t="str">
        <f>IF(AND(ISNUMBER(D45),ISNUMBER(C45)),(D45-C45)*10000,"n/a")</f>
        <v>n/a</v>
      </c>
      <c r="E47" s="37" t="s">
        <v>37</v>
      </c>
      <c r="F47" s="37" t="s">
        <v>37</v>
      </c>
      <c r="G47" s="37" t="s">
        <v>37</v>
      </c>
      <c r="H47" s="43" t="str">
        <f>IF(AND(ISNUMBER(H45),ISNUMBER(G45)),(H45-G45)*10000,"n/a")</f>
        <v>n/a</v>
      </c>
      <c r="I47" s="50" t="str">
        <f>IF(AND(ISNUMBER(I45),ISNUMBER(H45)),(I45-H45)*10000,"n/a")</f>
        <v>n/a</v>
      </c>
      <c r="J47" s="1"/>
      <c r="K47" s="1"/>
    </row>
    <row r="48">
      <c r="A48" s="1"/>
      <c r="B48" s="12" t="s">
        <v>127</v>
      </c>
      <c r="C48" s="34">
        <v>299</v>
      </c>
      <c r="D48" s="34">
        <v>256</v>
      </c>
      <c r="E48" s="26">
        <f>IF(COUNT(F48,C48,D48)=3,F48-C48-D48,"n/a")</f>
        <v>955</v>
      </c>
      <c r="F48" s="34">
        <v>1510</v>
      </c>
      <c r="G48" s="34">
        <v>289</v>
      </c>
      <c r="H48" s="34">
        <v>314</v>
      </c>
      <c r="I48" s="32">
        <f>H48*(1+I45)</f>
        <v>379.94</v>
      </c>
      <c r="J48" s="1"/>
      <c r="K48" s="1"/>
    </row>
    <row r="49">
      <c r="A49" s="1"/>
      <c r="B49" s="18" t="s">
        <v>61</v>
      </c>
      <c r="C49" s="39" t="s">
        <v>37</v>
      </c>
      <c r="D49" s="39" t="s">
        <v>37</v>
      </c>
      <c r="E49" s="39" t="s">
        <v>37</v>
      </c>
      <c r="F49" s="45">
        <f>IF(ISNUMBER(F48),F48/Inputs!C102-1,"n/a")</f>
        <v>0.2458745874587458</v>
      </c>
      <c r="G49" s="17">
        <f>IF(AND(ISNUMBER(G48),ISNUMBER(C48)),IF(OR(C48&lt;=0,G48&lt;0),"n/m",G48/C48-1),"n/a")</f>
        <v>-0.03344481605351168</v>
      </c>
      <c r="H49" s="17">
        <f>IF(AND(ISNUMBER(H48),ISNUMBER(D48)),IF(OR(D48&lt;=0,H48&lt;0),"n/m",H48/D48-1),"n/a")</f>
        <v>0.2265625</v>
      </c>
      <c r="I49" s="49" t="s">
        <v>37</v>
      </c>
      <c r="J49" s="1"/>
      <c r="K49" s="1"/>
    </row>
    <row r="50">
      <c r="A50" s="1"/>
      <c r="B50" s="51" t="s">
        <v>72</v>
      </c>
      <c r="C50" s="34" t="s">
        <v>37</v>
      </c>
      <c r="D50" s="26">
        <f>IF(AND(ISNUMBER(D48),ISNUMBER(C48)),D48-C48,"n/a")</f>
        <v>-43</v>
      </c>
      <c r="E50" s="34" t="s">
        <v>37</v>
      </c>
      <c r="F50" s="34" t="s">
        <v>37</v>
      </c>
      <c r="G50" s="34" t="s">
        <v>37</v>
      </c>
      <c r="H50" s="26">
        <f>IF(AND(ISNUMBER(H48),ISNUMBER(G48)),H48-G48,"n/a")</f>
        <v>25</v>
      </c>
      <c r="I50" s="32">
        <f>IF(AND(ISNUMBER(I48),ISNUMBER(H48)),I48-H48,"n/a")</f>
        <v>65.94</v>
      </c>
      <c r="J50" s="1"/>
      <c r="K50" s="1"/>
    </row>
    <row r="51">
      <c r="A51" s="1"/>
      <c r="B51" s="18" t="s">
        <v>62</v>
      </c>
      <c r="C51" s="39" t="s">
        <v>37</v>
      </c>
      <c r="D51" s="17">
        <f>IF(AND(ISNUMBER(D48),ISNUMBER(C48)),IF(OR(C48&lt;=0,D48&lt;0),"n/m",D48/C48-1),"n/a")</f>
        <v>-0.14381270903010035</v>
      </c>
      <c r="E51" s="39" t="s">
        <v>37</v>
      </c>
      <c r="F51" s="39" t="s">
        <v>37</v>
      </c>
      <c r="G51" s="39" t="s">
        <v>37</v>
      </c>
      <c r="H51" s="17">
        <f>IF(AND(ISNUMBER(H48),ISNUMBER(G48)),IF(OR(G48&lt;=0,H48&lt;0),"n/m",H48/G48-1),"n/a")</f>
        <v>0.08650519031141868</v>
      </c>
      <c r="I51" s="55">
        <f>IF(AND(ISNUMBER(I48),ISNUMBER(H48)),IF(OR(H48&lt;=0,I48&lt;0),"n/m",I48/H48-1),"n/a")</f>
        <v>0.20999999999999996</v>
      </c>
      <c r="J51" s="1"/>
      <c r="K51" s="1"/>
    </row>
    <row r="52">
      <c r="A52" s="1"/>
      <c r="B52" s="18" t="s">
        <v>64</v>
      </c>
      <c r="C52" s="39" t="s">
        <v>37</v>
      </c>
      <c r="D52" s="39" t="s">
        <v>37</v>
      </c>
      <c r="E52" s="39" t="s">
        <v>37</v>
      </c>
      <c r="F52" s="39" t="s">
        <v>37</v>
      </c>
      <c r="G52" s="39">
        <v>0</v>
      </c>
      <c r="H52" s="39">
        <v>0</v>
      </c>
      <c r="I52" s="49" t="s">
        <v>37</v>
      </c>
      <c r="J52" s="11" t="s">
        <v>65</v>
      </c>
      <c r="K52" s="1"/>
    </row>
    <row r="53">
      <c r="A53" s="1"/>
      <c r="B53" s="18" t="s">
        <v>66</v>
      </c>
      <c r="C53" s="39" t="s">
        <v>37</v>
      </c>
      <c r="D53" s="39" t="s">
        <v>37</v>
      </c>
      <c r="E53" s="39" t="s">
        <v>37</v>
      </c>
      <c r="F53" s="39" t="s">
        <v>37</v>
      </c>
      <c r="G53" s="39" t="s">
        <v>37</v>
      </c>
      <c r="H53" s="39" t="s">
        <v>37</v>
      </c>
      <c r="I53" s="49" t="s">
        <v>37</v>
      </c>
      <c r="J53" s="1"/>
      <c r="K53" s="1"/>
    </row>
    <row r="54">
      <c r="A54" s="1"/>
      <c r="B54" s="18" t="s">
        <v>67</v>
      </c>
      <c r="C54" s="17" t="str">
        <f>IF(AND(ISNUMBER(C49),ISNUMBER(C52),ISNUMBER(C53)),(1+C49)/((1+C52)*(1+C53))-1,"n/a")</f>
        <v>n/a</v>
      </c>
      <c r="D54" s="17" t="str">
        <f>IF(AND(ISNUMBER(D49),ISNUMBER(D52),ISNUMBER(D53)),(1+D49)/((1+D52)*(1+D53))-1,"n/a")</f>
        <v>n/a</v>
      </c>
      <c r="E54" s="17" t="str">
        <f>IF(AND(ISNUMBER(E49),ISNUMBER(E52),ISNUMBER(E53)),(1+E49)/((1+E52)*(1+E53))-1,"n/a")</f>
        <v>n/a</v>
      </c>
      <c r="F54" s="17" t="str">
        <f>IF(AND(ISNUMBER(F49),ISNUMBER(F52),ISNUMBER(F53)),(1+F49)/((1+F52)*(1+F53))-1,"n/a")</f>
        <v>n/a</v>
      </c>
      <c r="G54" s="17" t="str">
        <f>IF(AND(ISNUMBER(G49),ISNUMBER(G52),ISNUMBER(G53)),(1+G49)/((1+G52)*(1+G53))-1,"n/a")</f>
        <v>n/a</v>
      </c>
      <c r="H54" s="17" t="str">
        <f>IF(AND(ISNUMBER(H49),ISNUMBER(H52),ISNUMBER(H53)),(1+H49)/((1+H52)*(1+H53))-1,"n/a")</f>
        <v>n/a</v>
      </c>
      <c r="I54" s="55" t="str">
        <f>IF(AND(ISNUMBER(I49),ISNUMBER(I52),ISNUMBER(I53)),(1+I49)/((1+I52)*(1+I53))-1,"n/a")</f>
        <v>n/a</v>
      </c>
      <c r="J54" s="11" t="s">
        <v>68</v>
      </c>
      <c r="K54" s="1"/>
    </row>
    <row r="55">
      <c r="A55" s="1"/>
      <c r="B55" s="13" t="s">
        <v>128</v>
      </c>
      <c r="C55" s="41">
        <f>IF(COUNT(C38,C48)=2,C38+C48,"n/a")</f>
        <v>865</v>
      </c>
      <c r="D55" s="41">
        <f>IF(COUNT(D38,D48)=2,D38+D48,"n/a")</f>
        <v>746</v>
      </c>
      <c r="E55" s="41">
        <f>IF(COUNT(E38,E48)=2,E38+E48,"n/a")</f>
        <v>2475</v>
      </c>
      <c r="F55" s="41">
        <f>IF(COUNT(F38,F48)=2,F38+F48,"n/a")</f>
        <v>4086</v>
      </c>
      <c r="G55" s="41">
        <f>IF(COUNT(G38,G48)=2,G38+G48,"n/a")</f>
        <v>619</v>
      </c>
      <c r="H55" s="41">
        <f>IF(COUNT(H38,H48)=2,H38+H48,"n/a")</f>
        <v>962</v>
      </c>
      <c r="I55" s="36">
        <f>IF(COUNT(I38,I48)=2,I38+I48,"n/a")</f>
        <v>1171.94</v>
      </c>
      <c r="J55" s="1"/>
      <c r="K55" s="1"/>
    </row>
    <row r="56">
      <c r="A56" s="1"/>
      <c r="B56" s="18" t="s">
        <v>61</v>
      </c>
      <c r="C56" s="39" t="s">
        <v>37</v>
      </c>
      <c r="D56" s="39" t="s">
        <v>37</v>
      </c>
      <c r="E56" s="39" t="s">
        <v>37</v>
      </c>
      <c r="F56" s="45">
        <f>IF(ISNUMBER(F55),F55/Inputs!C98-1,"n/a")</f>
        <v>0.0763962065331929</v>
      </c>
      <c r="G56" s="17">
        <f>IF(AND(ISNUMBER(G55),ISNUMBER(C55)),IF(OR(C55&lt;=0,G55&lt;0),"n/m",G55/C55-1),"n/a")</f>
        <v>-0.284393063583815</v>
      </c>
      <c r="H56" s="17">
        <f>IF(AND(ISNUMBER(H55),ISNUMBER(D55)),IF(OR(D55&lt;=0,H55&lt;0),"n/m",H55/D55-1),"n/a")</f>
        <v>0.28954423592493295</v>
      </c>
      <c r="I56" s="49" t="s">
        <v>37</v>
      </c>
      <c r="J56" s="1"/>
      <c r="K56" s="1"/>
    </row>
    <row r="57">
      <c r="A57" s="1"/>
      <c r="B57" s="51" t="s">
        <v>72</v>
      </c>
      <c r="C57" s="34" t="s">
        <v>37</v>
      </c>
      <c r="D57" s="26">
        <f>IF(AND(ISNUMBER(D55),ISNUMBER(C55)),D55-C55,"n/a")</f>
        <v>-119</v>
      </c>
      <c r="E57" s="34" t="s">
        <v>37</v>
      </c>
      <c r="F57" s="34" t="s">
        <v>37</v>
      </c>
      <c r="G57" s="34" t="s">
        <v>37</v>
      </c>
      <c r="H57" s="26">
        <f>IF(AND(ISNUMBER(H55),ISNUMBER(G55)),H55-G55,"n/a")</f>
        <v>343</v>
      </c>
      <c r="I57" s="32">
        <f>IF(AND(ISNUMBER(I55),ISNUMBER(H55)),I55-H55,"n/a")</f>
        <v>209.94000000000005</v>
      </c>
      <c r="J57" s="1"/>
      <c r="K57" s="1"/>
    </row>
    <row r="58">
      <c r="A58" s="1"/>
      <c r="B58" s="18" t="s">
        <v>62</v>
      </c>
      <c r="C58" s="39" t="s">
        <v>37</v>
      </c>
      <c r="D58" s="17">
        <f>IF(AND(ISNUMBER(D55),ISNUMBER(C55)),IF(OR(C55&lt;=0,D55&lt;0),"n/m",D55/C55-1),"n/a")</f>
        <v>-0.1375722543352601</v>
      </c>
      <c r="E58" s="39" t="s">
        <v>37</v>
      </c>
      <c r="F58" s="39" t="s">
        <v>37</v>
      </c>
      <c r="G58" s="39" t="s">
        <v>37</v>
      </c>
      <c r="H58" s="17">
        <f>IF(AND(ISNUMBER(H55),ISNUMBER(G55)),IF(OR(G55&lt;=0,H55&lt;0),"n/m",H55/G55-1),"n/a")</f>
        <v>0.554119547657512</v>
      </c>
      <c r="I58" s="55">
        <f>IF(AND(ISNUMBER(I55),ISNUMBER(H55)),IF(OR(H55&lt;=0,I55&lt;0),"n/m",I55/H55-1),"n/a")</f>
        <v>0.2182328482328484</v>
      </c>
      <c r="J58" s="1"/>
      <c r="K58" s="1"/>
    </row>
    <row r="59">
      <c r="A59" s="1"/>
      <c r="B59" s="18" t="s">
        <v>64</v>
      </c>
      <c r="C59" s="39" t="s">
        <v>37</v>
      </c>
      <c r="D59" s="39" t="s">
        <v>37</v>
      </c>
      <c r="E59" s="39" t="s">
        <v>37</v>
      </c>
      <c r="F59" s="39" t="s">
        <v>37</v>
      </c>
      <c r="G59" s="39">
        <v>0</v>
      </c>
      <c r="H59" s="39">
        <v>0</v>
      </c>
      <c r="I59" s="49" t="s">
        <v>37</v>
      </c>
      <c r="J59" s="11" t="s">
        <v>65</v>
      </c>
      <c r="K59" s="1"/>
    </row>
    <row r="60">
      <c r="A60" s="1"/>
      <c r="B60" s="18" t="s">
        <v>66</v>
      </c>
      <c r="C60" s="39" t="s">
        <v>37</v>
      </c>
      <c r="D60" s="39" t="s">
        <v>37</v>
      </c>
      <c r="E60" s="39" t="s">
        <v>37</v>
      </c>
      <c r="F60" s="39" t="s">
        <v>37</v>
      </c>
      <c r="G60" s="39" t="s">
        <v>37</v>
      </c>
      <c r="H60" s="39" t="s">
        <v>37</v>
      </c>
      <c r="I60" s="49" t="s">
        <v>37</v>
      </c>
      <c r="J60" s="1"/>
      <c r="K60" s="1"/>
    </row>
    <row r="61">
      <c r="A61" s="1"/>
      <c r="B61" s="18" t="s">
        <v>67</v>
      </c>
      <c r="C61" s="17" t="str">
        <f>IF(AND(ISNUMBER(C56),ISNUMBER(C59),ISNUMBER(C60)),(1+C56)/((1+C59)*(1+C60))-1,"n/a")</f>
        <v>n/a</v>
      </c>
      <c r="D61" s="17" t="str">
        <f>IF(AND(ISNUMBER(D56),ISNUMBER(D59),ISNUMBER(D60)),(1+D56)/((1+D59)*(1+D60))-1,"n/a")</f>
        <v>n/a</v>
      </c>
      <c r="E61" s="17" t="str">
        <f>IF(AND(ISNUMBER(E56),ISNUMBER(E59),ISNUMBER(E60)),(1+E56)/((1+E59)*(1+E60))-1,"n/a")</f>
        <v>n/a</v>
      </c>
      <c r="F61" s="17" t="str">
        <f>IF(AND(ISNUMBER(F56),ISNUMBER(F59),ISNUMBER(F60)),(1+F56)/((1+F59)*(1+F60))-1,"n/a")</f>
        <v>n/a</v>
      </c>
      <c r="G61" s="17" t="str">
        <f>IF(AND(ISNUMBER(G56),ISNUMBER(G59),ISNUMBER(G60)),(1+G56)/((1+G59)*(1+G60))-1,"n/a")</f>
        <v>n/a</v>
      </c>
      <c r="H61" s="17" t="str">
        <f>IF(AND(ISNUMBER(H56),ISNUMBER(H59),ISNUMBER(H60)),(1+H56)/((1+H59)*(1+H60))-1,"n/a")</f>
        <v>n/a</v>
      </c>
      <c r="I61" s="55" t="str">
        <f>IF(AND(ISNUMBER(I56),ISNUMBER(I59),ISNUMBER(I60)),(1+I56)/((1+I59)*(1+I60))-1,"n/a")</f>
        <v>n/a</v>
      </c>
      <c r="J61" s="11" t="s">
        <v>68</v>
      </c>
      <c r="K61" s="1"/>
    </row>
    <row r="62">
      <c r="A62" s="1"/>
      <c r="B62" s="33" t="s">
        <v>129</v>
      </c>
      <c r="C62" s="17">
        <f>IF(AND(ISNUMBER(C38),ISNUMBER(C55)),IF(C55=0,"n/a",C38/C55),"n/a")</f>
        <v>0.6543352601156069</v>
      </c>
      <c r="D62" s="17">
        <f>IF(AND(ISNUMBER(D38),ISNUMBER(D55)),IF(D55=0,"n/a",D38/D55),"n/a")</f>
        <v>0.6568364611260054</v>
      </c>
      <c r="E62" s="17">
        <f>IF(AND(ISNUMBER(E38),ISNUMBER(E55)),IF(E55=0,"n/a",E38/E55),"n/a")</f>
        <v>0.6141414141414141</v>
      </c>
      <c r="F62" s="17">
        <f>IF(AND(ISNUMBER(F38),ISNUMBER(F55)),IF(F55=0,"n/a",F38/F55),"n/a")</f>
        <v>0.6304454233969653</v>
      </c>
      <c r="G62" s="17">
        <f>IF(AND(ISNUMBER(G38),ISNUMBER(G55)),IF(G55=0,"n/a",G38/G55),"n/a")</f>
        <v>0.5331179321486268</v>
      </c>
      <c r="H62" s="17">
        <f>IF(AND(ISNUMBER(H38),ISNUMBER(H55)),IF(H55=0,"n/a",H38/H55),"n/a")</f>
        <v>0.6735966735966736</v>
      </c>
      <c r="I62" s="55">
        <f>IF(AND(ISNUMBER(I38),ISNUMBER(I55)),IF(I55=0,"n/a",I38/I55),"n/a")</f>
        <v>0.675802515487141</v>
      </c>
      <c r="J62" s="11" t="s">
        <v>130</v>
      </c>
      <c r="K62" s="1"/>
    </row>
    <row r="63">
      <c r="A63" s="1"/>
      <c r="B63" s="18" t="s">
        <v>98</v>
      </c>
      <c r="C63" s="37" t="s">
        <v>37</v>
      </c>
      <c r="D63" s="37" t="s">
        <v>37</v>
      </c>
      <c r="E63" s="37" t="s">
        <v>37</v>
      </c>
      <c r="F63" s="37" t="s">
        <v>37</v>
      </c>
      <c r="G63" s="43">
        <f>IF(AND(ISNUMBER(G62),ISNUMBER(C62)),(G62-C62)*10000,"n/a")</f>
        <v>-1212.1732796698016</v>
      </c>
      <c r="H63" s="43">
        <f>IF(AND(ISNUMBER(H62),ISNUMBER(D62)),(H62-D62)*10000,"n/a")</f>
        <v>167.6021247066828</v>
      </c>
      <c r="I63" s="54" t="s">
        <v>37</v>
      </c>
      <c r="J63" s="1"/>
      <c r="K63" s="1"/>
    </row>
    <row r="64">
      <c r="A64" s="1"/>
      <c r="B64" s="18" t="s">
        <v>99</v>
      </c>
      <c r="C64" s="37" t="s">
        <v>37</v>
      </c>
      <c r="D64" s="43">
        <f>IF(AND(ISNUMBER(D62),ISNUMBER(C62)),(D62-C62)*10000,"n/a")</f>
        <v>25.012010103984128</v>
      </c>
      <c r="E64" s="37" t="s">
        <v>37</v>
      </c>
      <c r="F64" s="37" t="s">
        <v>37</v>
      </c>
      <c r="G64" s="37" t="s">
        <v>37</v>
      </c>
      <c r="H64" s="43">
        <f>IF(AND(ISNUMBER(H62),ISNUMBER(G62)),(H62-G62)*10000,"n/a")</f>
        <v>1404.7874144804684</v>
      </c>
      <c r="I64" s="50">
        <f>IF(AND(ISNUMBER(I62),ISNUMBER(H62)),(I62-H62)*10000,"n/a")</f>
        <v>22.058418904673527</v>
      </c>
      <c r="J64" s="1"/>
      <c r="K64" s="1"/>
    </row>
    <row r="65">
      <c r="A65" s="1"/>
      <c r="B65" s="1"/>
      <c r="C65" s="1"/>
      <c r="D65" s="1"/>
      <c r="E65" s="1"/>
      <c r="F65" s="1"/>
      <c r="G65" s="1"/>
      <c r="H65" s="1"/>
      <c r="I65" s="53"/>
      <c r="J65" s="1"/>
      <c r="K65" s="1"/>
    </row>
    <row r="66">
      <c r="A66" s="1"/>
      <c r="B66" s="23" t="s">
        <v>131</v>
      </c>
      <c r="C66" s="1"/>
      <c r="D66" s="1"/>
      <c r="E66" s="1"/>
      <c r="F66" s="1"/>
      <c r="G66" s="1"/>
      <c r="H66" s="1"/>
      <c r="I66" s="53"/>
      <c r="J66" s="1"/>
      <c r="K66" s="1"/>
    </row>
    <row r="67">
      <c r="A67" s="1"/>
      <c r="B67" s="12" t="s">
        <v>132</v>
      </c>
      <c r="C67" s="34">
        <v>297</v>
      </c>
      <c r="D67" s="34">
        <v>330</v>
      </c>
      <c r="E67" s="34" t="s">
        <v>37</v>
      </c>
      <c r="F67" s="34" t="s">
        <v>37</v>
      </c>
      <c r="G67" s="34">
        <v>281</v>
      </c>
      <c r="H67" s="34">
        <v>329</v>
      </c>
      <c r="I67" s="32">
        <f>I55*I70</f>
        <v>445.33720000000005</v>
      </c>
      <c r="J67" s="1"/>
      <c r="K67" s="1"/>
    </row>
    <row r="68">
      <c r="A68" s="1"/>
      <c r="B68" s="18" t="s">
        <v>61</v>
      </c>
      <c r="C68" s="39" t="s">
        <v>37</v>
      </c>
      <c r="D68" s="39" t="s">
        <v>37</v>
      </c>
      <c r="E68" s="39" t="s">
        <v>37</v>
      </c>
      <c r="F68" s="39" t="s">
        <v>37</v>
      </c>
      <c r="G68" s="17">
        <f>IF(AND(ISNUMBER(G67),ISNUMBER(C67)),IF(OR(C67&lt;=0,G67&lt;0),"n/m",G67/C67-1),"n/a")</f>
        <v>-0.05387205387205385</v>
      </c>
      <c r="H68" s="17">
        <f>IF(AND(ISNUMBER(H67),ISNUMBER(D67)),IF(OR(D67&lt;=0,H67&lt;0),"n/m",H67/D67-1),"n/a")</f>
        <v>-0.00303030303030305</v>
      </c>
      <c r="I68" s="49" t="s">
        <v>37</v>
      </c>
      <c r="J68" s="1"/>
      <c r="K68" s="1"/>
    </row>
    <row r="69">
      <c r="A69" s="1"/>
      <c r="B69" s="51" t="s">
        <v>103</v>
      </c>
      <c r="C69" s="34" t="s">
        <v>37</v>
      </c>
      <c r="D69" s="26">
        <f>IF(AND(ISNUMBER(D67),ISNUMBER(C67)),D67-C67,"n/a")</f>
        <v>33</v>
      </c>
      <c r="E69" s="34" t="s">
        <v>37</v>
      </c>
      <c r="F69" s="34" t="s">
        <v>37</v>
      </c>
      <c r="G69" s="34" t="s">
        <v>37</v>
      </c>
      <c r="H69" s="26">
        <f>IF(AND(ISNUMBER(H67),ISNUMBER(G67)),H67-G67,"n/a")</f>
        <v>48</v>
      </c>
      <c r="I69" s="32">
        <f>IF(AND(ISNUMBER(I67),ISNUMBER(H67)),I67-H67,"n/a")</f>
        <v>116.33720000000005</v>
      </c>
      <c r="J69" s="1"/>
      <c r="K69" s="1"/>
    </row>
    <row r="70">
      <c r="A70" s="1"/>
      <c r="B70" s="18" t="s">
        <v>133</v>
      </c>
      <c r="C70" s="17">
        <f>IF(AND(ISNUMBER(C67),ISNUMBER(C55)),IF(C55=0,"n/a",C67/C55),"n/a")</f>
        <v>0.34335260115606936</v>
      </c>
      <c r="D70" s="17">
        <f>IF(AND(ISNUMBER(D67),ISNUMBER(D55)),IF(D55=0,"n/a",D67/D55),"n/a")</f>
        <v>0.44235924932975873</v>
      </c>
      <c r="E70" s="17" t="str">
        <f>IF(AND(ISNUMBER(E67),ISNUMBER(E55)),IF(E55=0,"n/a",E67/E55),"n/a")</f>
        <v>n/a</v>
      </c>
      <c r="F70" s="17" t="str">
        <f>IF(AND(ISNUMBER(F67),ISNUMBER(F55)),IF(F55=0,"n/a",F67/F55),"n/a")</f>
        <v>n/a</v>
      </c>
      <c r="G70" s="17">
        <f>IF(AND(ISNUMBER(G67),ISNUMBER(G55)),IF(G55=0,"n/a",G67/G55),"n/a")</f>
        <v>0.45395799676898224</v>
      </c>
      <c r="H70" s="17">
        <f>IF(AND(ISNUMBER(H67),ISNUMBER(H55)),IF(H55=0,"n/a",H67/H55),"n/a")</f>
        <v>0.341995841995842</v>
      </c>
      <c r="I70" s="49">
        <v>0.38</v>
      </c>
      <c r="J70" s="11" t="s">
        <v>134</v>
      </c>
      <c r="K70" s="1"/>
    </row>
    <row r="71">
      <c r="A71" s="1"/>
      <c r="B71" s="18" t="s">
        <v>98</v>
      </c>
      <c r="C71" s="37" t="s">
        <v>37</v>
      </c>
      <c r="D71" s="37" t="s">
        <v>37</v>
      </c>
      <c r="E71" s="37" t="s">
        <v>37</v>
      </c>
      <c r="F71" s="37" t="s">
        <v>37</v>
      </c>
      <c r="G71" s="43">
        <f>IF(AND(ISNUMBER(G70),ISNUMBER(C70)),(G70-C70)*10000,"n/a")</f>
        <v>1106.053956129129</v>
      </c>
      <c r="H71" s="43">
        <f>IF(AND(ISNUMBER(H70),ISNUMBER(D70)),(H70-D70)*10000,"n/a")</f>
        <v>-1003.6340733391675</v>
      </c>
      <c r="I71" s="54" t="s">
        <v>37</v>
      </c>
      <c r="J71" s="1"/>
      <c r="K71" s="1"/>
    </row>
    <row r="72">
      <c r="A72" s="1"/>
      <c r="B72" s="18" t="s">
        <v>99</v>
      </c>
      <c r="C72" s="37" t="s">
        <v>37</v>
      </c>
      <c r="D72" s="43">
        <f>IF(AND(ISNUMBER(D70),ISNUMBER(C70)),(D70-C70)*10000,"n/a")</f>
        <v>990.0664817368937</v>
      </c>
      <c r="E72" s="37" t="s">
        <v>37</v>
      </c>
      <c r="F72" s="37" t="s">
        <v>37</v>
      </c>
      <c r="G72" s="37" t="s">
        <v>37</v>
      </c>
      <c r="H72" s="43">
        <f>IF(AND(ISNUMBER(H70),ISNUMBER(G70)),(H70-G70)*10000,"n/a")</f>
        <v>-1119.6215477314026</v>
      </c>
      <c r="I72" s="50">
        <f>IF(AND(ISNUMBER(I70),ISNUMBER(H70)),(I70-H70)*10000,"n/a")</f>
        <v>380.0415800415802</v>
      </c>
      <c r="J72" s="1"/>
      <c r="K72" s="1"/>
    </row>
    <row r="73">
      <c r="A73" s="1"/>
      <c r="B73" s="12" t="s">
        <v>135</v>
      </c>
      <c r="C73" s="34">
        <v>526</v>
      </c>
      <c r="D73" s="34">
        <v>693</v>
      </c>
      <c r="E73" s="26">
        <f>IF(COUNT(F73,C73,D73)=3,F73-C73-D73,"n/a")</f>
        <v>1785</v>
      </c>
      <c r="F73" s="34">
        <v>3004</v>
      </c>
      <c r="G73" s="34">
        <v>930</v>
      </c>
      <c r="H73" s="34">
        <v>1076</v>
      </c>
      <c r="I73" s="52">
        <v>1150</v>
      </c>
      <c r="J73" s="11" t="s">
        <v>136</v>
      </c>
      <c r="K73" s="1"/>
    </row>
    <row r="74">
      <c r="A74" s="1"/>
      <c r="B74" s="18" t="s">
        <v>61</v>
      </c>
      <c r="C74" s="39" t="s">
        <v>37</v>
      </c>
      <c r="D74" s="39" t="s">
        <v>37</v>
      </c>
      <c r="E74" s="39" t="s">
        <v>37</v>
      </c>
      <c r="F74" s="39" t="s">
        <v>37</v>
      </c>
      <c r="G74" s="17">
        <f>IF(AND(ISNUMBER(G73),ISNUMBER(C73)),IF(OR(C73&lt;=0,G73&lt;0),"n/m",G73/C73-1),"n/a")</f>
        <v>0.768060836501901</v>
      </c>
      <c r="H74" s="17">
        <f>IF(AND(ISNUMBER(H73),ISNUMBER(D73)),IF(OR(D73&lt;=0,H73&lt;0),"n/m",H73/D73-1),"n/a")</f>
        <v>0.5526695526695526</v>
      </c>
      <c r="I74" s="49" t="s">
        <v>37</v>
      </c>
      <c r="J74" s="1"/>
      <c r="K74" s="1"/>
    </row>
    <row r="75">
      <c r="A75" s="1"/>
      <c r="B75" s="51" t="s">
        <v>103</v>
      </c>
      <c r="C75" s="34" t="s">
        <v>37</v>
      </c>
      <c r="D75" s="26">
        <f>IF(AND(ISNUMBER(D73),ISNUMBER(C73)),D73-C73,"n/a")</f>
        <v>167</v>
      </c>
      <c r="E75" s="34" t="s">
        <v>37</v>
      </c>
      <c r="F75" s="34" t="s">
        <v>37</v>
      </c>
      <c r="G75" s="34" t="s">
        <v>37</v>
      </c>
      <c r="H75" s="26">
        <f>IF(AND(ISNUMBER(H73),ISNUMBER(G73)),H73-G73,"n/a")</f>
        <v>146</v>
      </c>
      <c r="I75" s="32">
        <f>IF(AND(ISNUMBER(I73),ISNUMBER(H73)),I73-H73,"n/a")</f>
        <v>74</v>
      </c>
      <c r="J75" s="1"/>
      <c r="K75" s="1"/>
    </row>
    <row r="76">
      <c r="A76" s="1"/>
      <c r="B76" s="12" t="s">
        <v>137</v>
      </c>
      <c r="C76" s="34">
        <v>88</v>
      </c>
      <c r="D76" s="34">
        <v>87</v>
      </c>
      <c r="E76" s="34" t="s">
        <v>37</v>
      </c>
      <c r="F76" s="34" t="s">
        <v>37</v>
      </c>
      <c r="G76" s="34">
        <v>70</v>
      </c>
      <c r="H76" s="34">
        <v>99</v>
      </c>
      <c r="I76" s="52">
        <v>100</v>
      </c>
      <c r="J76" s="11" t="s">
        <v>138</v>
      </c>
      <c r="K76" s="1"/>
    </row>
    <row r="77">
      <c r="A77" s="1"/>
      <c r="B77" s="18" t="s">
        <v>61</v>
      </c>
      <c r="C77" s="39" t="s">
        <v>37</v>
      </c>
      <c r="D77" s="39" t="s">
        <v>37</v>
      </c>
      <c r="E77" s="39" t="s">
        <v>37</v>
      </c>
      <c r="F77" s="39" t="s">
        <v>37</v>
      </c>
      <c r="G77" s="17">
        <f>IF(AND(ISNUMBER(G76),ISNUMBER(C76)),IF(OR(C76&lt;=0,G76&lt;0),"n/m",G76/C76-1),"n/a")</f>
        <v>-0.20454545454545459</v>
      </c>
      <c r="H77" s="17">
        <f>IF(AND(ISNUMBER(H76),ISNUMBER(D76)),IF(OR(D76&lt;=0,H76&lt;0),"n/m",H76/D76-1),"n/a")</f>
        <v>0.13793103448275867</v>
      </c>
      <c r="I77" s="49" t="s">
        <v>37</v>
      </c>
      <c r="J77" s="1"/>
      <c r="K77" s="1"/>
    </row>
    <row r="78">
      <c r="A78" s="1"/>
      <c r="B78" s="51" t="s">
        <v>103</v>
      </c>
      <c r="C78" s="34" t="s">
        <v>37</v>
      </c>
      <c r="D78" s="26">
        <f>IF(AND(ISNUMBER(D76),ISNUMBER(C76)),D76-C76,"n/a")</f>
        <v>-1</v>
      </c>
      <c r="E78" s="34" t="s">
        <v>37</v>
      </c>
      <c r="F78" s="34" t="s">
        <v>37</v>
      </c>
      <c r="G78" s="34" t="s">
        <v>37</v>
      </c>
      <c r="H78" s="26">
        <f>IF(AND(ISNUMBER(H76),ISNUMBER(G76)),H76-G76,"n/a")</f>
        <v>29</v>
      </c>
      <c r="I78" s="32">
        <f>IF(AND(ISNUMBER(I76),ISNUMBER(H76)),I76-H76,"n/a")</f>
        <v>1</v>
      </c>
      <c r="J78" s="1"/>
      <c r="K78" s="1"/>
    </row>
    <row r="79">
      <c r="A79" s="1"/>
      <c r="B79" s="12" t="s">
        <v>139</v>
      </c>
      <c r="C79" s="34">
        <v>24</v>
      </c>
      <c r="D79" s="34">
        <v>5</v>
      </c>
      <c r="E79" s="34" t="s">
        <v>37</v>
      </c>
      <c r="F79" s="34" t="s">
        <v>37</v>
      </c>
      <c r="G79" s="34">
        <v>0</v>
      </c>
      <c r="H79" s="34">
        <v>0</v>
      </c>
      <c r="I79" s="52">
        <v>0</v>
      </c>
      <c r="J79" s="1"/>
      <c r="K79" s="1"/>
    </row>
    <row r="80">
      <c r="A80" s="1"/>
      <c r="B80" s="18" t="s">
        <v>61</v>
      </c>
      <c r="C80" s="39" t="s">
        <v>37</v>
      </c>
      <c r="D80" s="39" t="s">
        <v>37</v>
      </c>
      <c r="E80" s="39" t="s">
        <v>37</v>
      </c>
      <c r="F80" s="39" t="s">
        <v>37</v>
      </c>
      <c r="G80" s="17">
        <f>IF(AND(ISNUMBER(G79),ISNUMBER(C79)),IF(OR(C79&lt;=0,G79&lt;0),"n/m",G79/C79-1),"n/a")</f>
        <v>-1</v>
      </c>
      <c r="H80" s="17">
        <f>IF(AND(ISNUMBER(H79),ISNUMBER(D79)),IF(OR(D79&lt;=0,H79&lt;0),"n/m",H79/D79-1),"n/a")</f>
        <v>-1</v>
      </c>
      <c r="I80" s="49" t="s">
        <v>37</v>
      </c>
      <c r="J80" s="1"/>
      <c r="K80" s="1"/>
    </row>
    <row r="81">
      <c r="A81" s="1"/>
      <c r="B81" s="51" t="s">
        <v>103</v>
      </c>
      <c r="C81" s="34" t="s">
        <v>37</v>
      </c>
      <c r="D81" s="26">
        <f>IF(AND(ISNUMBER(D79),ISNUMBER(C79)),D79-C79,"n/a")</f>
        <v>-19</v>
      </c>
      <c r="E81" s="34" t="s">
        <v>37</v>
      </c>
      <c r="F81" s="34" t="s">
        <v>37</v>
      </c>
      <c r="G81" s="34" t="s">
        <v>37</v>
      </c>
      <c r="H81" s="26">
        <f>IF(AND(ISNUMBER(H79),ISNUMBER(G79)),H79-G79,"n/a")</f>
        <v>0</v>
      </c>
      <c r="I81" s="32">
        <f>IF(AND(ISNUMBER(I79),ISNUMBER(H79)),I79-H79,"n/a")</f>
        <v>0</v>
      </c>
      <c r="J81" s="1"/>
      <c r="K81" s="1"/>
    </row>
    <row r="82">
      <c r="A82" s="1"/>
      <c r="B82" s="13" t="s">
        <v>140</v>
      </c>
      <c r="C82" s="41">
        <f>IF(COUNT(C67,C73,C76,C79)=4,C67+C73+C76+C79,"n/a")</f>
        <v>935</v>
      </c>
      <c r="D82" s="41">
        <f>IF(COUNT(D67,D73,D76,D79)=4,D67+D73+D76+D79,"n/a")</f>
        <v>1115</v>
      </c>
      <c r="E82" s="41">
        <f>IF(COUNT(F82,C82,D82)=3,F82-C82-D82,"n/a")</f>
        <v>2693</v>
      </c>
      <c r="F82" s="41">
        <f>IF(COUNT(F55,F83)=2,F55-F83,"n/a")</f>
        <v>4743</v>
      </c>
      <c r="G82" s="41">
        <f>IF(COUNT(G67,G73,G76,G79)=4,G67+G73+G76+G79,"n/a")</f>
        <v>1281</v>
      </c>
      <c r="H82" s="41">
        <f>IF(COUNT(H67,H73,H76,H79)=4,H67+H73+H76+H79,"n/a")</f>
        <v>1504</v>
      </c>
      <c r="I82" s="36">
        <f>IF(COUNT(I67,I73,I76,I79)=4,I67+I73+I76+I79,"n/a")</f>
        <v>1695.3372</v>
      </c>
      <c r="J82" s="11" t="s">
        <v>141</v>
      </c>
      <c r="K82" s="1"/>
    </row>
    <row r="83">
      <c r="A83" s="1"/>
      <c r="B83" s="13" t="s">
        <v>142</v>
      </c>
      <c r="C83" s="41">
        <f>IF(COUNT(C55,C82)=2,C55-C82,"n/a")</f>
        <v>-70</v>
      </c>
      <c r="D83" s="41">
        <f>IF(COUNT(D55,D82)=2,D55-D82,"n/a")</f>
        <v>-369</v>
      </c>
      <c r="E83" s="41">
        <f>IF(COUNT(F83,C83,D83)=3,F83-C83-D83,"n/a")</f>
        <v>-218</v>
      </c>
      <c r="F83" s="47">
        <v>-657</v>
      </c>
      <c r="G83" s="41">
        <f>IF(COUNT(G55,G82)=2,G55-G82,"n/a")</f>
        <v>-662</v>
      </c>
      <c r="H83" s="41">
        <f>IF(COUNT(H55,H82)=2,H55-H82,"n/a")</f>
        <v>-542</v>
      </c>
      <c r="I83" s="36">
        <f>IF(COUNT(I55,I82)=2,I55-I82,"n/a")</f>
        <v>-523.3971999999999</v>
      </c>
      <c r="J83" s="11" t="s">
        <v>143</v>
      </c>
      <c r="K83" s="1"/>
    </row>
    <row r="84">
      <c r="A84" s="1"/>
      <c r="B84" s="33" t="s">
        <v>144</v>
      </c>
      <c r="C84" s="17">
        <f>IF(AND(ISNUMBER(C83),ISNUMBER(C55)),IF(C55=0,"n/a",C83/C55),"n/a")</f>
        <v>-0.08092485549132948</v>
      </c>
      <c r="D84" s="17">
        <f>IF(AND(ISNUMBER(D83),ISNUMBER(D55)),IF(D55=0,"n/a",D83/D55),"n/a")</f>
        <v>-0.49463806970509383</v>
      </c>
      <c r="E84" s="17">
        <f>IF(AND(ISNUMBER(E83),ISNUMBER(E55)),IF(E55=0,"n/a",E83/E55),"n/a")</f>
        <v>-0.08808080808080808</v>
      </c>
      <c r="F84" s="17">
        <f>IF(AND(ISNUMBER(F83),ISNUMBER(F55)),IF(F55=0,"n/a",F83/F55),"n/a")</f>
        <v>-0.16079295154185022</v>
      </c>
      <c r="G84" s="17">
        <f>IF(AND(ISNUMBER(G83),ISNUMBER(G55)),IF(G55=0,"n/a",G83/G55),"n/a")</f>
        <v>-1.0694668820678515</v>
      </c>
      <c r="H84" s="17">
        <f>IF(AND(ISNUMBER(H83),ISNUMBER(H55)),IF(H55=0,"n/a",H83/H55),"n/a")</f>
        <v>-0.5634095634095634</v>
      </c>
      <c r="I84" s="55">
        <f>IF(AND(ISNUMBER(I83),ISNUMBER(I55)),IF(I55=0,"n/a",I83/I55),"n/a")</f>
        <v>-0.4466075055036946</v>
      </c>
      <c r="J84" s="1"/>
      <c r="K84" s="1"/>
    </row>
    <row r="85">
      <c r="A85" s="1"/>
      <c r="B85" s="18" t="s">
        <v>98</v>
      </c>
      <c r="C85" s="37" t="s">
        <v>37</v>
      </c>
      <c r="D85" s="37" t="s">
        <v>37</v>
      </c>
      <c r="E85" s="37" t="s">
        <v>37</v>
      </c>
      <c r="F85" s="37" t="s">
        <v>37</v>
      </c>
      <c r="G85" s="43">
        <f>IF(AND(ISNUMBER(G84),ISNUMBER(C84)),(G84-C84)*10000,"n/a")</f>
        <v>-9885.42026576522</v>
      </c>
      <c r="H85" s="43">
        <f>IF(AND(ISNUMBER(H84),ISNUMBER(D84)),(H84-D84)*10000,"n/a")</f>
        <v>-687.7149370446956</v>
      </c>
      <c r="I85" s="54" t="s">
        <v>37</v>
      </c>
      <c r="J85" s="1"/>
      <c r="K85" s="1"/>
    </row>
    <row r="86">
      <c r="A86" s="1"/>
      <c r="B86" s="18" t="s">
        <v>99</v>
      </c>
      <c r="C86" s="37" t="s">
        <v>37</v>
      </c>
      <c r="D86" s="43">
        <f>IF(AND(ISNUMBER(D84),ISNUMBER(C84)),(D84-C84)*10000,"n/a")</f>
        <v>-4137.132142137643</v>
      </c>
      <c r="E86" s="37" t="s">
        <v>37</v>
      </c>
      <c r="F86" s="37" t="s">
        <v>37</v>
      </c>
      <c r="G86" s="37" t="s">
        <v>37</v>
      </c>
      <c r="H86" s="43">
        <f>IF(AND(ISNUMBER(H84),ISNUMBER(G84)),(H84-G84)*10000,"n/a")</f>
        <v>5060.573186582881</v>
      </c>
      <c r="I86" s="50">
        <f>IF(AND(ISNUMBER(I84),ISNUMBER(H84)),(I84-H84)*10000,"n/a")</f>
        <v>1168.0205790586879</v>
      </c>
      <c r="J86" s="1"/>
      <c r="K86" s="1"/>
    </row>
    <row r="87">
      <c r="A87" s="1"/>
      <c r="B87" s="12" t="s">
        <v>145</v>
      </c>
      <c r="C87" s="34">
        <v>162</v>
      </c>
      <c r="D87" s="34">
        <v>146</v>
      </c>
      <c r="E87" s="34" t="s">
        <v>37</v>
      </c>
      <c r="F87" s="34" t="s">
        <v>37</v>
      </c>
      <c r="G87" s="34">
        <v>166</v>
      </c>
      <c r="H87" s="34">
        <v>158</v>
      </c>
      <c r="I87" s="52">
        <v>165</v>
      </c>
      <c r="J87" s="1"/>
      <c r="K87" s="1"/>
    </row>
    <row r="88">
      <c r="A88" s="1"/>
      <c r="B88" s="18" t="s">
        <v>61</v>
      </c>
      <c r="C88" s="39" t="s">
        <v>37</v>
      </c>
      <c r="D88" s="39" t="s">
        <v>37</v>
      </c>
      <c r="E88" s="39" t="s">
        <v>37</v>
      </c>
      <c r="F88" s="39" t="s">
        <v>37</v>
      </c>
      <c r="G88" s="17">
        <f>IF(AND(ISNUMBER(G87),ISNUMBER(C87)),IF(OR(C87&lt;=0,G87&lt;0),"n/m",G87/C87-1),"n/a")</f>
        <v>0.024691358024691468</v>
      </c>
      <c r="H88" s="17">
        <f>IF(AND(ISNUMBER(H87),ISNUMBER(D87)),IF(OR(D87&lt;=0,H87&lt;0),"n/m",H87/D87-1),"n/a")</f>
        <v>0.08219178082191791</v>
      </c>
      <c r="I88" s="49" t="s">
        <v>37</v>
      </c>
      <c r="J88" s="1"/>
      <c r="K88" s="1"/>
    </row>
    <row r="89">
      <c r="A89" s="1"/>
      <c r="B89" s="51" t="s">
        <v>103</v>
      </c>
      <c r="C89" s="34" t="s">
        <v>37</v>
      </c>
      <c r="D89" s="26">
        <f>IF(AND(ISNUMBER(D87),ISNUMBER(C87)),D87-C87,"n/a")</f>
        <v>-16</v>
      </c>
      <c r="E89" s="34" t="s">
        <v>37</v>
      </c>
      <c r="F89" s="34" t="s">
        <v>37</v>
      </c>
      <c r="G89" s="34" t="s">
        <v>37</v>
      </c>
      <c r="H89" s="26">
        <f>IF(AND(ISNUMBER(H87),ISNUMBER(G87)),H87-G87,"n/a")</f>
        <v>-8</v>
      </c>
      <c r="I89" s="32">
        <f>IF(AND(ISNUMBER(I87),ISNUMBER(H87)),I87-H87,"n/a")</f>
        <v>7</v>
      </c>
      <c r="J89" s="1"/>
      <c r="K89" s="1"/>
    </row>
    <row r="90">
      <c r="A90" s="1"/>
      <c r="B90" s="12" t="s">
        <v>146</v>
      </c>
      <c r="C90" s="34">
        <v>108</v>
      </c>
      <c r="D90" s="34">
        <v>125</v>
      </c>
      <c r="E90" s="34" t="s">
        <v>37</v>
      </c>
      <c r="F90" s="34" t="s">
        <v>37</v>
      </c>
      <c r="G90" s="34">
        <v>145</v>
      </c>
      <c r="H90" s="34">
        <v>179</v>
      </c>
      <c r="I90" s="52">
        <v>185</v>
      </c>
      <c r="J90" s="1"/>
      <c r="K90" s="1"/>
    </row>
    <row r="91">
      <c r="A91" s="1"/>
      <c r="B91" s="18" t="s">
        <v>61</v>
      </c>
      <c r="C91" s="39" t="s">
        <v>37</v>
      </c>
      <c r="D91" s="39" t="s">
        <v>37</v>
      </c>
      <c r="E91" s="39" t="s">
        <v>37</v>
      </c>
      <c r="F91" s="39" t="s">
        <v>37</v>
      </c>
      <c r="G91" s="17">
        <f>IF(AND(ISNUMBER(G90),ISNUMBER(C90)),IF(OR(C90&lt;=0,G90&lt;0),"n/m",G90/C90-1),"n/a")</f>
        <v>0.34259259259259256</v>
      </c>
      <c r="H91" s="17">
        <f>IF(AND(ISNUMBER(H90),ISNUMBER(D90)),IF(OR(D90&lt;=0,H90&lt;0),"n/m",H90/D90-1),"n/a")</f>
        <v>0.43199999999999994</v>
      </c>
      <c r="I91" s="49" t="s">
        <v>37</v>
      </c>
      <c r="J91" s="1"/>
      <c r="K91" s="1"/>
    </row>
    <row r="92">
      <c r="A92" s="1"/>
      <c r="B92" s="51" t="s">
        <v>103</v>
      </c>
      <c r="C92" s="34" t="s">
        <v>37</v>
      </c>
      <c r="D92" s="26">
        <f>IF(AND(ISNUMBER(D90),ISNUMBER(C90)),D90-C90,"n/a")</f>
        <v>17</v>
      </c>
      <c r="E92" s="34" t="s">
        <v>37</v>
      </c>
      <c r="F92" s="34" t="s">
        <v>37</v>
      </c>
      <c r="G92" s="34" t="s">
        <v>37</v>
      </c>
      <c r="H92" s="26">
        <f>IF(AND(ISNUMBER(H90),ISNUMBER(G90)),H90-G90,"n/a")</f>
        <v>34</v>
      </c>
      <c r="I92" s="32">
        <f>IF(AND(ISNUMBER(I90),ISNUMBER(H90)),I90-H90,"n/a")</f>
        <v>6</v>
      </c>
      <c r="J92" s="1"/>
      <c r="K92" s="1"/>
    </row>
    <row r="93">
      <c r="A93" s="1"/>
      <c r="B93" s="13" t="s">
        <v>147</v>
      </c>
      <c r="C93" s="41">
        <f>IF(COUNT(C83,C87,C90,C79)=4,C83+C87+C90+C79,"n/a")</f>
        <v>224</v>
      </c>
      <c r="D93" s="41">
        <f>IF(COUNT(D83,D87,D90,D79)=4,D83+D87+D90+D79,"n/a")</f>
        <v>-93</v>
      </c>
      <c r="E93" s="41">
        <f>IF(COUNT(F93,C93,D93)=3,F93-C93-D93,"n/a")</f>
        <v>522</v>
      </c>
      <c r="F93" s="47">
        <v>653</v>
      </c>
      <c r="G93" s="41">
        <f>IF(COUNT(G83,G87,G90,G79)=4,G83+G87+G90+G79,"n/a")</f>
        <v>-351</v>
      </c>
      <c r="H93" s="41">
        <f>IF(COUNT(H83,H87,H90,H79)=4,H83+H87+H90+H79,"n/a")</f>
        <v>-205</v>
      </c>
      <c r="I93" s="36">
        <f>IF(COUNT(I83,I87,I90,I79)=4,I83+I87+I90+I79,"n/a")</f>
        <v>-173.39719999999988</v>
      </c>
      <c r="J93" s="11" t="s">
        <v>148</v>
      </c>
      <c r="K93" s="1"/>
    </row>
    <row r="94">
      <c r="A94" s="1"/>
      <c r="B94" s="33" t="s">
        <v>149</v>
      </c>
      <c r="C94" s="17">
        <f>IF(AND(ISNUMBER(C93),ISNUMBER(C55)),IF(C55=0,"n/a",C93/C55),"n/a")</f>
        <v>0.2589595375722543</v>
      </c>
      <c r="D94" s="17">
        <f>IF(AND(ISNUMBER(D93),ISNUMBER(D55)),IF(D55=0,"n/a",D93/D55),"n/a")</f>
        <v>-0.12466487935656836</v>
      </c>
      <c r="E94" s="17">
        <f>IF(AND(ISNUMBER(E93),ISNUMBER(E55)),IF(E55=0,"n/a",E93/E55),"n/a")</f>
        <v>0.2109090909090909</v>
      </c>
      <c r="F94" s="17">
        <f>IF(AND(ISNUMBER(F93),ISNUMBER(F55)),IF(F55=0,"n/a",F93/F55),"n/a")</f>
        <v>0.15981399902104748</v>
      </c>
      <c r="G94" s="17">
        <f>IF(AND(ISNUMBER(G93),ISNUMBER(G55)),IF(G55=0,"n/a",G93/G55),"n/a")</f>
        <v>-0.567043618739903</v>
      </c>
      <c r="H94" s="17">
        <f>IF(AND(ISNUMBER(H93),ISNUMBER(H55)),IF(H55=0,"n/a",H93/H55),"n/a")</f>
        <v>-0.2130977130977131</v>
      </c>
      <c r="I94" s="55">
        <f>IF(AND(ISNUMBER(I93),ISNUMBER(I55)),IF(I55=0,"n/a",I93/I55),"n/a")</f>
        <v>-0.1479574039626601</v>
      </c>
      <c r="J94" s="11" t="s">
        <v>150</v>
      </c>
      <c r="K94" s="1"/>
    </row>
    <row r="95">
      <c r="A95" s="1"/>
      <c r="B95" s="18" t="s">
        <v>98</v>
      </c>
      <c r="C95" s="37" t="s">
        <v>37</v>
      </c>
      <c r="D95" s="37" t="s">
        <v>37</v>
      </c>
      <c r="E95" s="37" t="s">
        <v>37</v>
      </c>
      <c r="F95" s="37" t="s">
        <v>37</v>
      </c>
      <c r="G95" s="43">
        <f>IF(AND(ISNUMBER(G94),ISNUMBER(C94)),(G94-C94)*10000,"n/a")</f>
        <v>-8260.031563121574</v>
      </c>
      <c r="H95" s="43">
        <f>IF(AND(ISNUMBER(H94),ISNUMBER(D94)),(H94-D94)*10000,"n/a")</f>
        <v>-884.3283374114475</v>
      </c>
      <c r="I95" s="54" t="s">
        <v>37</v>
      </c>
      <c r="J95" s="1"/>
      <c r="K95" s="1"/>
    </row>
    <row r="96">
      <c r="A96" s="1"/>
      <c r="B96" s="18" t="s">
        <v>99</v>
      </c>
      <c r="C96" s="37" t="s">
        <v>37</v>
      </c>
      <c r="D96" s="43">
        <f>IF(AND(ISNUMBER(D94),ISNUMBER(C94)),(D94-C94)*10000,"n/a")</f>
        <v>-3836.2441692882267</v>
      </c>
      <c r="E96" s="37" t="s">
        <v>37</v>
      </c>
      <c r="F96" s="37" t="s">
        <v>37</v>
      </c>
      <c r="G96" s="37" t="s">
        <v>37</v>
      </c>
      <c r="H96" s="43">
        <f>IF(AND(ISNUMBER(H94),ISNUMBER(G94)),(H94-G94)*10000,"n/a")</f>
        <v>3539.4590564218997</v>
      </c>
      <c r="I96" s="50">
        <f>IF(AND(ISNUMBER(I94),ISNUMBER(H94)),(I94-H94)*10000,"n/a")</f>
        <v>651.4030913505301</v>
      </c>
      <c r="J96" s="1"/>
      <c r="K96" s="1"/>
    </row>
    <row r="97">
      <c r="A97" s="1"/>
      <c r="B97" s="12" t="s">
        <v>151</v>
      </c>
      <c r="C97" s="34">
        <v>759</v>
      </c>
      <c r="D97" s="34">
        <v>946</v>
      </c>
      <c r="E97" s="26">
        <f>IF(COUNT(F97,C97,D97)=3,F97-C97-D97,"n/a")</f>
        <v>2127</v>
      </c>
      <c r="F97" s="34">
        <v>3832</v>
      </c>
      <c r="G97" s="34">
        <v>1052</v>
      </c>
      <c r="H97" s="34">
        <v>1174</v>
      </c>
      <c r="I97" s="52">
        <v>1180</v>
      </c>
      <c r="J97" s="11" t="s">
        <v>152</v>
      </c>
      <c r="K97" s="1"/>
    </row>
    <row r="98">
      <c r="A98" s="1"/>
      <c r="B98" s="18" t="s">
        <v>61</v>
      </c>
      <c r="C98" s="39" t="s">
        <v>37</v>
      </c>
      <c r="D98" s="39" t="s">
        <v>37</v>
      </c>
      <c r="E98" s="39" t="s">
        <v>37</v>
      </c>
      <c r="F98" s="39" t="s">
        <v>37</v>
      </c>
      <c r="G98" s="17">
        <f>IF(AND(ISNUMBER(G97),ISNUMBER(C97)),IF(OR(C97&lt;=0,G97&lt;0),"n/m",G97/C97-1),"n/a")</f>
        <v>0.3860342555994729</v>
      </c>
      <c r="H98" s="17">
        <f>IF(AND(ISNUMBER(H97),ISNUMBER(D97)),IF(OR(D97&lt;=0,H97&lt;0),"n/m",H97/D97-1),"n/a")</f>
        <v>0.2410147991543341</v>
      </c>
      <c r="I98" s="49" t="s">
        <v>37</v>
      </c>
      <c r="J98" s="1"/>
      <c r="K98" s="1"/>
    </row>
    <row r="99">
      <c r="A99" s="1"/>
      <c r="B99" s="51" t="s">
        <v>103</v>
      </c>
      <c r="C99" s="34" t="s">
        <v>37</v>
      </c>
      <c r="D99" s="26">
        <f>IF(AND(ISNUMBER(D97),ISNUMBER(C97)),D97-C97,"n/a")</f>
        <v>187</v>
      </c>
      <c r="E99" s="34" t="s">
        <v>37</v>
      </c>
      <c r="F99" s="34" t="s">
        <v>37</v>
      </c>
      <c r="G99" s="34" t="s">
        <v>37</v>
      </c>
      <c r="H99" s="26">
        <f>IF(AND(ISNUMBER(H97),ISNUMBER(G97)),H97-G97,"n/a")</f>
        <v>122</v>
      </c>
      <c r="I99" s="32">
        <f>IF(AND(ISNUMBER(I97),ISNUMBER(H97)),I97-H97,"n/a")</f>
        <v>6</v>
      </c>
      <c r="J99" s="1"/>
      <c r="K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153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56</v>
      </c>
      <c r="J4" s="79" t="s">
        <v>4</v>
      </c>
      <c r="K4" s="1"/>
    </row>
    <row r="5">
      <c r="A5" s="1"/>
      <c r="B5" s="14" t="s">
        <v>57</v>
      </c>
      <c r="C5" s="5">
        <v>45747</v>
      </c>
      <c r="D5" s="5">
        <v>45838</v>
      </c>
      <c r="E5" s="5">
        <v>46022</v>
      </c>
      <c r="F5" s="5">
        <v>46022</v>
      </c>
      <c r="G5" s="5">
        <v>46112</v>
      </c>
      <c r="H5" s="5">
        <v>46203</v>
      </c>
      <c r="I5" s="5">
        <v>46295</v>
      </c>
      <c r="J5" s="84"/>
      <c r="K5" s="1"/>
    </row>
    <row r="6">
      <c r="A6" s="1"/>
      <c r="B6" s="10" t="s">
        <v>58</v>
      </c>
      <c r="C6" s="6">
        <v>90</v>
      </c>
      <c r="D6" s="6">
        <v>91</v>
      </c>
      <c r="E6" s="6">
        <v>184</v>
      </c>
      <c r="F6" s="6">
        <v>365</v>
      </c>
      <c r="G6" s="6">
        <v>90</v>
      </c>
      <c r="H6" s="6">
        <v>91</v>
      </c>
      <c r="I6" s="6">
        <v>92</v>
      </c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154</v>
      </c>
      <c r="C8" s="1"/>
      <c r="D8" s="1"/>
      <c r="E8" s="1"/>
      <c r="F8" s="1"/>
      <c r="G8" s="1"/>
      <c r="H8" s="1"/>
      <c r="I8" s="53"/>
      <c r="J8" s="1"/>
      <c r="K8" s="1"/>
    </row>
    <row r="9">
      <c r="A9" s="1"/>
      <c r="B9" s="12" t="s">
        <v>155</v>
      </c>
      <c r="C9" s="34">
        <v>4.4</v>
      </c>
      <c r="D9" s="26">
        <f>C15</f>
        <v>5</v>
      </c>
      <c r="E9" s="26">
        <f>D15</f>
        <v>6</v>
      </c>
      <c r="F9" s="26">
        <f>C9</f>
        <v>4.4</v>
      </c>
      <c r="G9" s="26">
        <f>F15</f>
        <v>8.9</v>
      </c>
      <c r="H9" s="26">
        <f>G15</f>
        <v>10.3</v>
      </c>
      <c r="I9" s="32">
        <f>H15</f>
        <v>12</v>
      </c>
      <c r="J9" s="1"/>
      <c r="K9" s="1"/>
    </row>
    <row r="10">
      <c r="A10" s="1"/>
      <c r="B10" s="12" t="s">
        <v>156</v>
      </c>
      <c r="C10" s="34" t="s">
        <v>37</v>
      </c>
      <c r="D10" s="34" t="s">
        <v>37</v>
      </c>
      <c r="E10" s="34" t="s">
        <v>37</v>
      </c>
      <c r="F10" s="34" t="s">
        <v>37</v>
      </c>
      <c r="G10" s="34" t="s">
        <v>37</v>
      </c>
      <c r="H10" s="34" t="s">
        <v>37</v>
      </c>
      <c r="I10" s="52" t="s">
        <v>37</v>
      </c>
      <c r="J10" s="11" t="s">
        <v>157</v>
      </c>
      <c r="K10" s="1"/>
    </row>
    <row r="11">
      <c r="A11" s="1"/>
      <c r="B11" s="12" t="s">
        <v>158</v>
      </c>
      <c r="C11" s="34" t="s">
        <v>37</v>
      </c>
      <c r="D11" s="34" t="s">
        <v>37</v>
      </c>
      <c r="E11" s="34" t="s">
        <v>37</v>
      </c>
      <c r="F11" s="34" t="s">
        <v>37</v>
      </c>
      <c r="G11" s="34" t="s">
        <v>37</v>
      </c>
      <c r="H11" s="34" t="s">
        <v>37</v>
      </c>
      <c r="I11" s="52" t="s">
        <v>37</v>
      </c>
      <c r="J11" s="11" t="s">
        <v>157</v>
      </c>
      <c r="K11" s="1"/>
    </row>
    <row r="12">
      <c r="A12" s="1"/>
      <c r="B12" s="12" t="s">
        <v>159</v>
      </c>
      <c r="C12" s="26">
        <f>IF(COUNT(C15,C9)=2,C15-C9,"n/a")</f>
        <v>0.5999999999999996</v>
      </c>
      <c r="D12" s="26">
        <f>IF(COUNT(D15,D9)=2,D15-D9,"n/a")</f>
        <v>1</v>
      </c>
      <c r="E12" s="26">
        <f>IF(COUNT(E15,E9)=2,E15-E9,"n/a")</f>
        <v>2.9000000000000004</v>
      </c>
      <c r="F12" s="26">
        <f>IF(COUNT(F15,F9)=2,F15-F9,"n/a")</f>
        <v>4.5</v>
      </c>
      <c r="G12" s="26">
        <f>IF(COUNT(G15,G9)=2,G15-G9,"n/a")</f>
        <v>1.4000000000000004</v>
      </c>
      <c r="H12" s="26">
        <f>IF(COUNT(H15,H9)=2,H15-H9,"n/a")</f>
        <v>1.6999999999999993</v>
      </c>
      <c r="I12" s="52">
        <v>1.9</v>
      </c>
      <c r="J12" s="11" t="s">
        <v>160</v>
      </c>
      <c r="K12" s="1"/>
    </row>
    <row r="13">
      <c r="A13" s="1"/>
      <c r="B13" s="18" t="s">
        <v>61</v>
      </c>
      <c r="C13" s="39" t="s">
        <v>37</v>
      </c>
      <c r="D13" s="39" t="s">
        <v>37</v>
      </c>
      <c r="E13" s="39" t="s">
        <v>37</v>
      </c>
      <c r="F13" s="39" t="s">
        <v>37</v>
      </c>
      <c r="G13" s="17">
        <f>IF(AND(ISNUMBER(G12),ISNUMBER(C12)),IF(OR(C12&lt;=0,G12&lt;0),"n/m",G12/C12-1),"n/a")</f>
        <v>1.3333333333333353</v>
      </c>
      <c r="H13" s="17">
        <f>IF(AND(ISNUMBER(H12),ISNUMBER(D12)),IF(OR(D12&lt;=0,H12&lt;0),"n/m",H12/D12-1),"n/a")</f>
        <v>0.6999999999999993</v>
      </c>
      <c r="I13" s="49" t="s">
        <v>37</v>
      </c>
      <c r="J13" s="1"/>
      <c r="K13" s="1"/>
    </row>
    <row r="14">
      <c r="A14" s="1"/>
      <c r="B14" s="51" t="s">
        <v>103</v>
      </c>
      <c r="C14" s="34" t="s">
        <v>37</v>
      </c>
      <c r="D14" s="26">
        <f>IF(AND(ISNUMBER(D12),ISNUMBER(C12)),D12-C12,"n/a")</f>
        <v>0.40000000000000036</v>
      </c>
      <c r="E14" s="34" t="s">
        <v>37</v>
      </c>
      <c r="F14" s="34" t="s">
        <v>37</v>
      </c>
      <c r="G14" s="34" t="s">
        <v>37</v>
      </c>
      <c r="H14" s="26">
        <f>IF(AND(ISNUMBER(H12),ISNUMBER(G12)),H12-G12,"n/a")</f>
        <v>0.29999999999999893</v>
      </c>
      <c r="I14" s="32">
        <f>IF(AND(ISNUMBER(I12),ISNUMBER(H12)),I12-H12,"n/a")</f>
        <v>0.20000000000000062</v>
      </c>
      <c r="J14" s="1"/>
      <c r="K14" s="1"/>
    </row>
    <row r="15">
      <c r="A15" s="1"/>
      <c r="B15" s="29" t="s">
        <v>161</v>
      </c>
      <c r="C15" s="47">
        <v>5</v>
      </c>
      <c r="D15" s="47">
        <v>6</v>
      </c>
      <c r="E15" s="47">
        <v>8.9</v>
      </c>
      <c r="F15" s="47">
        <v>8.9</v>
      </c>
      <c r="G15" s="47">
        <v>10.3</v>
      </c>
      <c r="H15" s="47">
        <v>12</v>
      </c>
      <c r="I15" s="36">
        <f>I9+I12</f>
        <v>13.9</v>
      </c>
      <c r="J15" s="1"/>
      <c r="K15" s="1"/>
    </row>
    <row r="16">
      <c r="A16" s="1"/>
      <c r="B16" s="18" t="s">
        <v>61</v>
      </c>
      <c r="C16" s="39" t="s">
        <v>37</v>
      </c>
      <c r="D16" s="39" t="s">
        <v>37</v>
      </c>
      <c r="E16" s="39" t="s">
        <v>37</v>
      </c>
      <c r="F16" s="39" t="s">
        <v>37</v>
      </c>
      <c r="G16" s="17">
        <f>IF(AND(ISNUMBER(G15),ISNUMBER(C15)),IF(OR(C15&lt;=0,G15&lt;0),"n/m",G15/C15-1),"n/a")</f>
        <v>1.06</v>
      </c>
      <c r="H16" s="17">
        <f>IF(AND(ISNUMBER(H15),ISNUMBER(D15)),IF(OR(D15&lt;=0,H15&lt;0),"n/m",H15/D15-1),"n/a")</f>
        <v>1</v>
      </c>
      <c r="I16" s="49" t="s">
        <v>37</v>
      </c>
      <c r="J16" s="1"/>
      <c r="K16" s="1"/>
    </row>
    <row r="17">
      <c r="A17" s="1"/>
      <c r="B17" s="51" t="s">
        <v>103</v>
      </c>
      <c r="C17" s="34" t="s">
        <v>37</v>
      </c>
      <c r="D17" s="26">
        <f>IF(AND(ISNUMBER(D15),ISNUMBER(C15)),D15-C15,"n/a")</f>
        <v>1</v>
      </c>
      <c r="E17" s="34" t="s">
        <v>37</v>
      </c>
      <c r="F17" s="34" t="s">
        <v>37</v>
      </c>
      <c r="G17" s="34" t="s">
        <v>37</v>
      </c>
      <c r="H17" s="26">
        <f>IF(AND(ISNUMBER(H15),ISNUMBER(G15)),H15-G15,"n/a")</f>
        <v>1.6999999999999993</v>
      </c>
      <c r="I17" s="32">
        <f>IF(AND(ISNUMBER(I15),ISNUMBER(H15)),I15-H15,"n/a")</f>
        <v>1.9000000000000004</v>
      </c>
      <c r="J17" s="1"/>
      <c r="K17" s="1"/>
    </row>
    <row r="18">
      <c r="A18" s="1"/>
      <c r="B18" s="12" t="s">
        <v>162</v>
      </c>
      <c r="C18" s="26">
        <f>(C9+C15)/2</f>
        <v>4.7</v>
      </c>
      <c r="D18" s="26">
        <f>(D9+D15)/2</f>
        <v>5.5</v>
      </c>
      <c r="E18" s="26">
        <f>(E9+E15)/2</f>
        <v>7.45</v>
      </c>
      <c r="F18" s="26">
        <f>IF(COUNT(C18,D18,E18)=3,(C18*C$6+D18*D$6+E18*E$6)/F$6,"n/a")</f>
        <v>6.285753424657535</v>
      </c>
      <c r="G18" s="26">
        <f>(G9+G15)/2</f>
        <v>9.600000000000001</v>
      </c>
      <c r="H18" s="26">
        <f>(H9+H15)/2</f>
        <v>11.15</v>
      </c>
      <c r="I18" s="32">
        <f>(I9+I15)/2</f>
        <v>12.95</v>
      </c>
      <c r="J18" s="87" t="s">
        <v>163</v>
      </c>
      <c r="K18" s="1"/>
    </row>
    <row r="19">
      <c r="A19" s="1"/>
      <c r="B19" s="18" t="s">
        <v>61</v>
      </c>
      <c r="C19" s="39" t="s">
        <v>37</v>
      </c>
      <c r="D19" s="39" t="s">
        <v>37</v>
      </c>
      <c r="E19" s="39" t="s">
        <v>37</v>
      </c>
      <c r="F19" s="39" t="s">
        <v>37</v>
      </c>
      <c r="G19" s="17">
        <f>IF(AND(ISNUMBER(G18),ISNUMBER(C18)),IF(OR(C18&lt;=0,G18&lt;0),"n/m",G18/C18-1),"n/a")</f>
        <v>1.042553191489362</v>
      </c>
      <c r="H19" s="17">
        <f>IF(AND(ISNUMBER(H18),ISNUMBER(D18)),IF(OR(D18&lt;=0,H18&lt;0),"n/m",H18/D18-1),"n/a")</f>
        <v>1.0272727272727273</v>
      </c>
      <c r="I19" s="49" t="s">
        <v>37</v>
      </c>
      <c r="J19" s="1"/>
      <c r="K19" s="1"/>
    </row>
    <row r="20">
      <c r="A20" s="1"/>
      <c r="B20" s="51" t="s">
        <v>103</v>
      </c>
      <c r="C20" s="34" t="s">
        <v>37</v>
      </c>
      <c r="D20" s="26">
        <f>IF(AND(ISNUMBER(D18),ISNUMBER(C18)),D18-C18,"n/a")</f>
        <v>0.7999999999999998</v>
      </c>
      <c r="E20" s="34" t="s">
        <v>37</v>
      </c>
      <c r="F20" s="34" t="s">
        <v>37</v>
      </c>
      <c r="G20" s="34" t="s">
        <v>37</v>
      </c>
      <c r="H20" s="26">
        <f>IF(AND(ISNUMBER(H18),ISNUMBER(G18)),H18-G18,"n/a")</f>
        <v>1.549999999999999</v>
      </c>
      <c r="I20" s="32">
        <f>IF(AND(ISNUMBER(I18),ISNUMBER(H18)),I18-H18,"n/a")</f>
        <v>1.799999999999999</v>
      </c>
      <c r="J20" s="1"/>
      <c r="K20" s="1"/>
    </row>
    <row r="21">
      <c r="A21" s="1"/>
      <c r="B21" s="33" t="s">
        <v>164</v>
      </c>
      <c r="C21" s="39" t="s">
        <v>37</v>
      </c>
      <c r="D21" s="39" t="s">
        <v>37</v>
      </c>
      <c r="E21" s="39" t="s">
        <v>37</v>
      </c>
      <c r="F21" s="39" t="s">
        <v>37</v>
      </c>
      <c r="G21" s="39" t="s">
        <v>37</v>
      </c>
      <c r="H21" s="39" t="s">
        <v>37</v>
      </c>
      <c r="I21" s="49" t="s">
        <v>37</v>
      </c>
      <c r="J21" s="11" t="s">
        <v>165</v>
      </c>
      <c r="K21" s="1"/>
    </row>
    <row r="22">
      <c r="A22" s="1"/>
      <c r="B22" s="12" t="s">
        <v>166</v>
      </c>
      <c r="C22" s="34">
        <v>86</v>
      </c>
      <c r="D22" s="34">
        <v>85</v>
      </c>
      <c r="E22" s="34" t="s">
        <v>37</v>
      </c>
      <c r="F22" s="34">
        <v>81</v>
      </c>
      <c r="G22" s="34">
        <v>66</v>
      </c>
      <c r="H22" s="34">
        <v>66</v>
      </c>
      <c r="I22" s="52">
        <v>66</v>
      </c>
      <c r="J22" s="11" t="s">
        <v>167</v>
      </c>
      <c r="K22" s="1"/>
    </row>
    <row r="23">
      <c r="A23" s="1"/>
      <c r="B23" s="18" t="s">
        <v>61</v>
      </c>
      <c r="C23" s="39" t="s">
        <v>37</v>
      </c>
      <c r="D23" s="39" t="s">
        <v>37</v>
      </c>
      <c r="E23" s="39" t="s">
        <v>37</v>
      </c>
      <c r="F23" s="39" t="s">
        <v>37</v>
      </c>
      <c r="G23" s="17">
        <f>IF(AND(ISNUMBER(G22),ISNUMBER(C22)),IF(OR(C22&lt;=0,G22&lt;0),"n/m",G22/C22-1),"n/a")</f>
        <v>-0.2325581395348837</v>
      </c>
      <c r="H23" s="17">
        <f>IF(AND(ISNUMBER(H22),ISNUMBER(D22)),IF(OR(D22&lt;=0,H22&lt;0),"n/m",H22/D22-1),"n/a")</f>
        <v>-0.22352941176470587</v>
      </c>
      <c r="I23" s="49" t="s">
        <v>37</v>
      </c>
      <c r="J23" s="1"/>
      <c r="K23" s="1"/>
    </row>
    <row r="24">
      <c r="A24" s="1"/>
      <c r="B24" s="51" t="s">
        <v>103</v>
      </c>
      <c r="C24" s="34" t="s">
        <v>37</v>
      </c>
      <c r="D24" s="26">
        <f>IF(AND(ISNUMBER(D22),ISNUMBER(C22)),D22-C22,"n/a")</f>
        <v>-1</v>
      </c>
      <c r="E24" s="34" t="s">
        <v>37</v>
      </c>
      <c r="F24" s="34" t="s">
        <v>37</v>
      </c>
      <c r="G24" s="34" t="s">
        <v>37</v>
      </c>
      <c r="H24" s="26">
        <f>IF(AND(ISNUMBER(H22),ISNUMBER(G22)),H22-G22,"n/a")</f>
        <v>0</v>
      </c>
      <c r="I24" s="32">
        <f>IF(AND(ISNUMBER(I22),ISNUMBER(H22)),I22-H22,"n/a")</f>
        <v>0</v>
      </c>
      <c r="J24" s="1"/>
      <c r="K24" s="1"/>
    </row>
    <row r="25">
      <c r="A25" s="1"/>
      <c r="B25" s="12" t="s">
        <v>168</v>
      </c>
      <c r="C25" s="61">
        <f>ROUND(C$6/30.42,0)</f>
        <v>3</v>
      </c>
      <c r="D25" s="61">
        <f>ROUND(D$6/30.42,0)</f>
        <v>3</v>
      </c>
      <c r="E25" s="61">
        <f>ROUND(E$6/30.42,0)</f>
        <v>6</v>
      </c>
      <c r="F25" s="61">
        <f>ROUND(F$6/30.42,0)</f>
        <v>12</v>
      </c>
      <c r="G25" s="61">
        <f>ROUND(G$6/30.42,0)</f>
        <v>3</v>
      </c>
      <c r="H25" s="61">
        <f>ROUND(H$6/30.42,0)</f>
        <v>3</v>
      </c>
      <c r="I25" s="64">
        <f>ROUND(I$6/30.42,0)</f>
        <v>3</v>
      </c>
      <c r="J25" s="1"/>
      <c r="K25" s="1"/>
    </row>
    <row r="26">
      <c r="A26" s="1"/>
      <c r="B26" s="12" t="s">
        <v>169</v>
      </c>
      <c r="C26" s="26">
        <f>IF(COUNT(C18,C22,C25)=3,C18*C22*C25,"n/a")</f>
        <v>1212.6</v>
      </c>
      <c r="D26" s="26">
        <f>IF(COUNT(D18,D22,D25)=3,D18*D22*D25,"n/a")</f>
        <v>1402.5</v>
      </c>
      <c r="E26" s="26" t="str">
        <f>IF(COUNT(E18,E22,E25)=3,E18*E22*E25,"n/a")</f>
        <v>n/a</v>
      </c>
      <c r="F26" s="26">
        <f>IF(COUNT(F18,F22,F25)=3,F18*F22*F25,"n/a")</f>
        <v>6109.752328767124</v>
      </c>
      <c r="G26" s="26">
        <f>IF(COUNT(G18,G22,G25)=3,G18*G22*G25,"n/a")</f>
        <v>1900.8000000000004</v>
      </c>
      <c r="H26" s="26">
        <f>IF(COUNT(H18,H22,H25)=3,H18*H22*H25,"n/a")</f>
        <v>2207.7</v>
      </c>
      <c r="I26" s="32">
        <f>IF(COUNT(I18,I22,I25)=3,I18*I22*I25,"n/a")</f>
        <v>2564.1</v>
      </c>
      <c r="J26" s="11" t="s">
        <v>170</v>
      </c>
      <c r="K26" s="1"/>
    </row>
    <row r="27">
      <c r="A27" s="1"/>
      <c r="B27" s="18" t="s">
        <v>61</v>
      </c>
      <c r="C27" s="39" t="s">
        <v>37</v>
      </c>
      <c r="D27" s="39" t="s">
        <v>37</v>
      </c>
      <c r="E27" s="39" t="s">
        <v>37</v>
      </c>
      <c r="F27" s="39" t="s">
        <v>37</v>
      </c>
      <c r="G27" s="17">
        <f>IF(AND(ISNUMBER(G26),ISNUMBER(C26)),IF(OR(C26&lt;=0,G26&lt;0),"n/m",G26/C26-1),"n/a")</f>
        <v>0.5675408213755571</v>
      </c>
      <c r="H27" s="17">
        <f>IF(AND(ISNUMBER(H26),ISNUMBER(D26)),IF(OR(D26&lt;=0,H26&lt;0),"n/m",H26/D26-1),"n/a")</f>
        <v>0.5741176470588234</v>
      </c>
      <c r="I27" s="49" t="s">
        <v>37</v>
      </c>
      <c r="J27" s="1"/>
      <c r="K27" s="1"/>
    </row>
    <row r="28">
      <c r="A28" s="1"/>
      <c r="B28" s="51" t="s">
        <v>72</v>
      </c>
      <c r="C28" s="34" t="s">
        <v>37</v>
      </c>
      <c r="D28" s="26">
        <f>IF(AND(ISNUMBER(D26),ISNUMBER(C26)),D26-C26,"n/a")</f>
        <v>189.9000000000001</v>
      </c>
      <c r="E28" s="34" t="s">
        <v>37</v>
      </c>
      <c r="F28" s="34" t="s">
        <v>37</v>
      </c>
      <c r="G28" s="34" t="s">
        <v>37</v>
      </c>
      <c r="H28" s="26">
        <f>IF(AND(ISNUMBER(H26),ISNUMBER(G26)),H26-G26,"n/a")</f>
        <v>306.8999999999994</v>
      </c>
      <c r="I28" s="32">
        <f>IF(AND(ISNUMBER(I26),ISNUMBER(H26)),I26-H26,"n/a")</f>
        <v>356.4000000000001</v>
      </c>
      <c r="J28" s="1"/>
      <c r="K28" s="1"/>
    </row>
    <row r="29">
      <c r="A29" s="1"/>
      <c r="B29" s="18" t="s">
        <v>62</v>
      </c>
      <c r="C29" s="39" t="s">
        <v>37</v>
      </c>
      <c r="D29" s="17">
        <f>IF(AND(ISNUMBER(D26),ISNUMBER(C26)),IF(OR(C26&lt;=0,D26&lt;0),"n/m",D26/C26-1),"n/a")</f>
        <v>0.1566056407718952</v>
      </c>
      <c r="E29" s="39" t="s">
        <v>37</v>
      </c>
      <c r="F29" s="39" t="s">
        <v>37</v>
      </c>
      <c r="G29" s="39" t="s">
        <v>37</v>
      </c>
      <c r="H29" s="17">
        <f>IF(AND(ISNUMBER(H26),ISNUMBER(G26)),IF(OR(G26&lt;=0,H26&lt;0),"n/m",H26/G26-1),"n/a")</f>
        <v>0.16145833333333304</v>
      </c>
      <c r="I29" s="55">
        <f>IF(AND(ISNUMBER(I26),ISNUMBER(H26)),IF(OR(H26&lt;=0,I26&lt;0),"n/m",I26/H26-1),"n/a")</f>
        <v>0.16143497757847536</v>
      </c>
      <c r="J29" s="1"/>
      <c r="K29" s="1"/>
    </row>
    <row r="30">
      <c r="A30" s="1"/>
      <c r="B30" s="18" t="s">
        <v>64</v>
      </c>
      <c r="C30" s="39" t="s">
        <v>37</v>
      </c>
      <c r="D30" s="39" t="s">
        <v>37</v>
      </c>
      <c r="E30" s="39" t="s">
        <v>37</v>
      </c>
      <c r="F30" s="39" t="s">
        <v>37</v>
      </c>
      <c r="G30" s="39">
        <v>0</v>
      </c>
      <c r="H30" s="39">
        <v>0</v>
      </c>
      <c r="I30" s="49" t="s">
        <v>37</v>
      </c>
      <c r="J30" s="11" t="s">
        <v>65</v>
      </c>
      <c r="K30" s="1"/>
    </row>
    <row r="31">
      <c r="A31" s="1"/>
      <c r="B31" s="18" t="s">
        <v>66</v>
      </c>
      <c r="C31" s="39" t="s">
        <v>37</v>
      </c>
      <c r="D31" s="39" t="s">
        <v>37</v>
      </c>
      <c r="E31" s="39" t="s">
        <v>37</v>
      </c>
      <c r="F31" s="39" t="s">
        <v>37</v>
      </c>
      <c r="G31" s="39" t="s">
        <v>37</v>
      </c>
      <c r="H31" s="39" t="s">
        <v>37</v>
      </c>
      <c r="I31" s="49" t="s">
        <v>37</v>
      </c>
      <c r="J31" s="1"/>
      <c r="K31" s="1"/>
    </row>
    <row r="32">
      <c r="A32" s="1"/>
      <c r="B32" s="18" t="s">
        <v>67</v>
      </c>
      <c r="C32" s="17" t="str">
        <f>IF(AND(ISNUMBER(C27),ISNUMBER(C30),ISNUMBER(C31)),(1+C27)/((1+C30)*(1+C31))-1,"n/a")</f>
        <v>n/a</v>
      </c>
      <c r="D32" s="17" t="str">
        <f>IF(AND(ISNUMBER(D27),ISNUMBER(D30),ISNUMBER(D31)),(1+D27)/((1+D30)*(1+D31))-1,"n/a")</f>
        <v>n/a</v>
      </c>
      <c r="E32" s="17" t="str">
        <f>IF(AND(ISNUMBER(E27),ISNUMBER(E30),ISNUMBER(E31)),(1+E27)/((1+E30)*(1+E31))-1,"n/a")</f>
        <v>n/a</v>
      </c>
      <c r="F32" s="17" t="str">
        <f>IF(AND(ISNUMBER(F27),ISNUMBER(F30),ISNUMBER(F31)),(1+F27)/((1+F30)*(1+F31))-1,"n/a")</f>
        <v>n/a</v>
      </c>
      <c r="G32" s="17" t="str">
        <f>IF(AND(ISNUMBER(G27),ISNUMBER(G30),ISNUMBER(G31)),(1+G27)/((1+G30)*(1+G31))-1,"n/a")</f>
        <v>n/a</v>
      </c>
      <c r="H32" s="17" t="str">
        <f>IF(AND(ISNUMBER(H27),ISNUMBER(H30),ISNUMBER(H31)),(1+H27)/((1+H30)*(1+H31))-1,"n/a")</f>
        <v>n/a</v>
      </c>
      <c r="I32" s="55" t="str">
        <f>IF(AND(ISNUMBER(I27),ISNUMBER(I30),ISNUMBER(I31)),(1+I27)/((1+I30)*(1+I31))-1,"n/a")</f>
        <v>n/a</v>
      </c>
      <c r="J32" s="11" t="s">
        <v>68</v>
      </c>
      <c r="K32" s="1"/>
    </row>
    <row r="33">
      <c r="A33" s="1"/>
      <c r="B33" s="12" t="s">
        <v>171</v>
      </c>
      <c r="C33" s="26">
        <f>IF(COUNT(C42,C26)=2,C42-C26,"n/a")</f>
        <v>279.4000000000001</v>
      </c>
      <c r="D33" s="26">
        <f>IF(COUNT(D42,D26)=2,D42-D26,"n/a")</f>
        <v>318.5</v>
      </c>
      <c r="E33" s="26" t="str">
        <f>IF(COUNT(E42,E26)=2,E42-E26,"n/a")</f>
        <v>n/a</v>
      </c>
      <c r="F33" s="26">
        <f>IF(COUNT(F42,F26)=2,F42-F26,"n/a")</f>
        <v>1098.2476712328762</v>
      </c>
      <c r="G33" s="26">
        <f>IF(COUNT(G42,G26)=2,G42-G26,"n/a")</f>
        <v>247.1999999999996</v>
      </c>
      <c r="H33" s="26">
        <f>IF(COUNT(H42,H26)=2,H42-H26,"n/a")</f>
        <v>277.3000000000002</v>
      </c>
      <c r="I33" s="52">
        <v>290</v>
      </c>
      <c r="J33" s="11" t="s">
        <v>172</v>
      </c>
      <c r="K33" s="1"/>
    </row>
    <row r="34">
      <c r="A34" s="1"/>
      <c r="B34" s="18" t="s">
        <v>61</v>
      </c>
      <c r="C34" s="39" t="s">
        <v>37</v>
      </c>
      <c r="D34" s="39" t="s">
        <v>37</v>
      </c>
      <c r="E34" s="39" t="s">
        <v>37</v>
      </c>
      <c r="F34" s="39" t="s">
        <v>37</v>
      </c>
      <c r="G34" s="17">
        <f>IF(AND(ISNUMBER(G33),ISNUMBER(C33)),IF(OR(C33&lt;=0,G33&lt;0),"n/m",G33/C33-1),"n/a")</f>
        <v>-0.11524695776664451</v>
      </c>
      <c r="H34" s="17">
        <f>IF(AND(ISNUMBER(H33),ISNUMBER(D33)),IF(OR(D33&lt;=0,H33&lt;0),"n/m",H33/D33-1),"n/a")</f>
        <v>-0.12935635792778588</v>
      </c>
      <c r="I34" s="49" t="s">
        <v>37</v>
      </c>
      <c r="J34" s="1"/>
      <c r="K34" s="1"/>
    </row>
    <row r="35">
      <c r="A35" s="1"/>
      <c r="B35" s="51" t="s">
        <v>72</v>
      </c>
      <c r="C35" s="34" t="s">
        <v>37</v>
      </c>
      <c r="D35" s="26">
        <f>IF(AND(ISNUMBER(D33),ISNUMBER(C33)),D33-C33,"n/a")</f>
        <v>39.09999999999991</v>
      </c>
      <c r="E35" s="34" t="s">
        <v>37</v>
      </c>
      <c r="F35" s="34" t="s">
        <v>37</v>
      </c>
      <c r="G35" s="34" t="s">
        <v>37</v>
      </c>
      <c r="H35" s="26">
        <f>IF(AND(ISNUMBER(H33),ISNUMBER(G33)),H33-G33,"n/a")</f>
        <v>30.10000000000059</v>
      </c>
      <c r="I35" s="32">
        <f>IF(AND(ISNUMBER(I33),ISNUMBER(H33)),I33-H33,"n/a")</f>
        <v>12.699999999999818</v>
      </c>
      <c r="J35" s="1"/>
      <c r="K35" s="1"/>
    </row>
    <row r="36">
      <c r="A36" s="1"/>
      <c r="B36" s="18" t="s">
        <v>62</v>
      </c>
      <c r="C36" s="39" t="s">
        <v>37</v>
      </c>
      <c r="D36" s="17">
        <f>IF(AND(ISNUMBER(D33),ISNUMBER(C33)),IF(OR(C33&lt;=0,D33&lt;0),"n/m",D33/C33-1),"n/a")</f>
        <v>0.13994273443092298</v>
      </c>
      <c r="E36" s="39" t="s">
        <v>37</v>
      </c>
      <c r="F36" s="39" t="s">
        <v>37</v>
      </c>
      <c r="G36" s="39" t="s">
        <v>37</v>
      </c>
      <c r="H36" s="17">
        <f>IF(AND(ISNUMBER(H33),ISNUMBER(G33)),IF(OR(G33&lt;=0,H33&lt;0),"n/m",H33/G33-1),"n/a")</f>
        <v>0.12176375404531004</v>
      </c>
      <c r="I36" s="55">
        <f>IF(AND(ISNUMBER(I33),ISNUMBER(H33)),IF(OR(H33&lt;=0,I33&lt;0),"n/m",I33/H33-1),"n/a")</f>
        <v>0.045798773891092104</v>
      </c>
      <c r="J36" s="1"/>
      <c r="K36" s="1"/>
    </row>
    <row r="37">
      <c r="A37" s="1"/>
      <c r="B37" s="18" t="s">
        <v>64</v>
      </c>
      <c r="C37" s="39" t="s">
        <v>37</v>
      </c>
      <c r="D37" s="39" t="s">
        <v>37</v>
      </c>
      <c r="E37" s="39" t="s">
        <v>37</v>
      </c>
      <c r="F37" s="39" t="s">
        <v>37</v>
      </c>
      <c r="G37" s="39">
        <v>0</v>
      </c>
      <c r="H37" s="39">
        <v>0</v>
      </c>
      <c r="I37" s="49" t="s">
        <v>37</v>
      </c>
      <c r="J37" s="11" t="s">
        <v>65</v>
      </c>
      <c r="K37" s="1"/>
    </row>
    <row r="38">
      <c r="A38" s="1"/>
      <c r="B38" s="18" t="s">
        <v>66</v>
      </c>
      <c r="C38" s="39" t="s">
        <v>37</v>
      </c>
      <c r="D38" s="39" t="s">
        <v>37</v>
      </c>
      <c r="E38" s="39" t="s">
        <v>37</v>
      </c>
      <c r="F38" s="39" t="s">
        <v>37</v>
      </c>
      <c r="G38" s="39" t="s">
        <v>37</v>
      </c>
      <c r="H38" s="39" t="s">
        <v>37</v>
      </c>
      <c r="I38" s="49" t="s">
        <v>37</v>
      </c>
      <c r="J38" s="1"/>
      <c r="K38" s="1"/>
    </row>
    <row r="39">
      <c r="A39" s="1"/>
      <c r="B39" s="18" t="s">
        <v>67</v>
      </c>
      <c r="C39" s="17" t="str">
        <f>IF(AND(ISNUMBER(C34),ISNUMBER(C37),ISNUMBER(C38)),(1+C34)/((1+C37)*(1+C38))-1,"n/a")</f>
        <v>n/a</v>
      </c>
      <c r="D39" s="17" t="str">
        <f>IF(AND(ISNUMBER(D34),ISNUMBER(D37),ISNUMBER(D38)),(1+D34)/((1+D37)*(1+D38))-1,"n/a")</f>
        <v>n/a</v>
      </c>
      <c r="E39" s="17" t="str">
        <f>IF(AND(ISNUMBER(E34),ISNUMBER(E37),ISNUMBER(E38)),(1+E34)/((1+E37)*(1+E38))-1,"n/a")</f>
        <v>n/a</v>
      </c>
      <c r="F39" s="17" t="str">
        <f>IF(AND(ISNUMBER(F34),ISNUMBER(F37),ISNUMBER(F38)),(1+F34)/((1+F37)*(1+F38))-1,"n/a")</f>
        <v>n/a</v>
      </c>
      <c r="G39" s="17" t="str">
        <f>IF(AND(ISNUMBER(G34),ISNUMBER(G37),ISNUMBER(G38)),(1+G34)/((1+G37)*(1+G38))-1,"n/a")</f>
        <v>n/a</v>
      </c>
      <c r="H39" s="17" t="str">
        <f>IF(AND(ISNUMBER(H34),ISNUMBER(H37),ISNUMBER(H38)),(1+H34)/((1+H37)*(1+H38))-1,"n/a")</f>
        <v>n/a</v>
      </c>
      <c r="I39" s="55" t="str">
        <f>IF(AND(ISNUMBER(I34),ISNUMBER(I37),ISNUMBER(I38)),(1+I34)/((1+I37)*(1+I38))-1,"n/a")</f>
        <v>n/a</v>
      </c>
      <c r="J39" s="11" t="s">
        <v>68</v>
      </c>
      <c r="K39" s="1"/>
    </row>
    <row r="40">
      <c r="A40" s="1"/>
      <c r="B40" s="1"/>
      <c r="C40" s="1"/>
      <c r="D40" s="1"/>
      <c r="E40" s="1"/>
      <c r="F40" s="1"/>
      <c r="G40" s="1"/>
      <c r="H40" s="1"/>
      <c r="I40" s="53"/>
      <c r="J40" s="1"/>
      <c r="K40" s="1"/>
    </row>
    <row r="41">
      <c r="A41" s="1"/>
      <c r="B41" s="23" t="s">
        <v>121</v>
      </c>
      <c r="C41" s="1"/>
      <c r="D41" s="1"/>
      <c r="E41" s="1"/>
      <c r="F41" s="1"/>
      <c r="G41" s="1"/>
      <c r="H41" s="1"/>
      <c r="I41" s="53"/>
      <c r="J41" s="1"/>
      <c r="K41" s="1"/>
    </row>
    <row r="42">
      <c r="A42" s="1"/>
      <c r="B42" s="29" t="s">
        <v>173</v>
      </c>
      <c r="C42" s="47">
        <v>1492</v>
      </c>
      <c r="D42" s="47">
        <v>1721</v>
      </c>
      <c r="E42" s="41">
        <f>IF(COUNT(F42,C42,D42)=3,F42-C42-D42,"n/a")</f>
        <v>3995</v>
      </c>
      <c r="F42" s="41">
        <f>F59-F52</f>
        <v>7208</v>
      </c>
      <c r="G42" s="47">
        <v>2148</v>
      </c>
      <c r="H42" s="47">
        <v>2485</v>
      </c>
      <c r="I42" s="36">
        <f>I26+I33</f>
        <v>2854.1</v>
      </c>
      <c r="J42" s="11" t="s">
        <v>174</v>
      </c>
      <c r="K42" s="1"/>
    </row>
    <row r="43">
      <c r="A43" s="1"/>
      <c r="B43" s="18" t="s">
        <v>61</v>
      </c>
      <c r="C43" s="39" t="s">
        <v>37</v>
      </c>
      <c r="D43" s="39" t="s">
        <v>37</v>
      </c>
      <c r="E43" s="39" t="s">
        <v>37</v>
      </c>
      <c r="F43" s="45">
        <f>IF(ISNUMBER(F42),F42/Inputs!C104-1,"n/a")</f>
        <v>0.4923395445134575</v>
      </c>
      <c r="G43" s="17">
        <f>IF(AND(ISNUMBER(G42),ISNUMBER(C42)),IF(OR(C42&lt;=0,G42&lt;0),"n/m",G42/C42-1),"n/a")</f>
        <v>0.4396782841823057</v>
      </c>
      <c r="H43" s="17">
        <f>IF(AND(ISNUMBER(H42),ISNUMBER(D42)),IF(OR(D42&lt;=0,H42&lt;0),"n/m",H42/D42-1),"n/a")</f>
        <v>0.44392794886693787</v>
      </c>
      <c r="I43" s="49" t="s">
        <v>37</v>
      </c>
      <c r="J43" s="1"/>
      <c r="K43" s="1"/>
    </row>
    <row r="44">
      <c r="A44" s="1"/>
      <c r="B44" s="51" t="s">
        <v>72</v>
      </c>
      <c r="C44" s="34" t="s">
        <v>37</v>
      </c>
      <c r="D44" s="26">
        <f>IF(AND(ISNUMBER(D42),ISNUMBER(C42)),D42-C42,"n/a")</f>
        <v>229</v>
      </c>
      <c r="E44" s="34" t="s">
        <v>37</v>
      </c>
      <c r="F44" s="34" t="s">
        <v>37</v>
      </c>
      <c r="G44" s="34" t="s">
        <v>37</v>
      </c>
      <c r="H44" s="26">
        <f>IF(AND(ISNUMBER(H42),ISNUMBER(G42)),H42-G42,"n/a")</f>
        <v>337</v>
      </c>
      <c r="I44" s="32">
        <f>IF(AND(ISNUMBER(I42),ISNUMBER(H42)),I42-H42,"n/a")</f>
        <v>369.0999999999999</v>
      </c>
      <c r="J44" s="1"/>
      <c r="K44" s="1"/>
    </row>
    <row r="45">
      <c r="A45" s="1"/>
      <c r="B45" s="18" t="s">
        <v>62</v>
      </c>
      <c r="C45" s="39" t="s">
        <v>37</v>
      </c>
      <c r="D45" s="17">
        <f>IF(AND(ISNUMBER(D42),ISNUMBER(C42)),IF(OR(C42&lt;=0,D42&lt;0),"n/m",D42/C42-1),"n/a")</f>
        <v>0.15348525469168894</v>
      </c>
      <c r="E45" s="39" t="s">
        <v>37</v>
      </c>
      <c r="F45" s="39" t="s">
        <v>37</v>
      </c>
      <c r="G45" s="39" t="s">
        <v>37</v>
      </c>
      <c r="H45" s="17">
        <f>IF(AND(ISNUMBER(H42),ISNUMBER(G42)),IF(OR(G42&lt;=0,H42&lt;0),"n/m",H42/G42-1),"n/a")</f>
        <v>0.1568901303538175</v>
      </c>
      <c r="I45" s="55">
        <f>IF(AND(ISNUMBER(I42),ISNUMBER(H42)),IF(OR(H42&lt;=0,I42&lt;0),"n/m",I42/H42-1),"n/a")</f>
        <v>0.14853118712273639</v>
      </c>
      <c r="J45" s="1"/>
      <c r="K45" s="1"/>
    </row>
    <row r="46">
      <c r="A46" s="1"/>
      <c r="B46" s="18" t="s">
        <v>64</v>
      </c>
      <c r="C46" s="39" t="s">
        <v>37</v>
      </c>
      <c r="D46" s="39" t="s">
        <v>37</v>
      </c>
      <c r="E46" s="39" t="s">
        <v>37</v>
      </c>
      <c r="F46" s="39" t="s">
        <v>37</v>
      </c>
      <c r="G46" s="39">
        <v>0</v>
      </c>
      <c r="H46" s="39">
        <v>0</v>
      </c>
      <c r="I46" s="49" t="s">
        <v>37</v>
      </c>
      <c r="J46" s="11" t="s">
        <v>65</v>
      </c>
      <c r="K46" s="1"/>
    </row>
    <row r="47">
      <c r="A47" s="1"/>
      <c r="B47" s="18" t="s">
        <v>66</v>
      </c>
      <c r="C47" s="39" t="s">
        <v>37</v>
      </c>
      <c r="D47" s="39" t="s">
        <v>37</v>
      </c>
      <c r="E47" s="39" t="s">
        <v>37</v>
      </c>
      <c r="F47" s="39" t="s">
        <v>37</v>
      </c>
      <c r="G47" s="39" t="s">
        <v>37</v>
      </c>
      <c r="H47" s="39" t="s">
        <v>37</v>
      </c>
      <c r="I47" s="49" t="s">
        <v>37</v>
      </c>
      <c r="J47" s="1"/>
      <c r="K47" s="1"/>
    </row>
    <row r="48">
      <c r="A48" s="1"/>
      <c r="B48" s="18" t="s">
        <v>67</v>
      </c>
      <c r="C48" s="17" t="str">
        <f>IF(AND(ISNUMBER(C43),ISNUMBER(C46),ISNUMBER(C47)),(1+C43)/((1+C46)*(1+C47))-1,"n/a")</f>
        <v>n/a</v>
      </c>
      <c r="D48" s="17" t="str">
        <f>IF(AND(ISNUMBER(D43),ISNUMBER(D46),ISNUMBER(D47)),(1+D43)/((1+D46)*(1+D47))-1,"n/a")</f>
        <v>n/a</v>
      </c>
      <c r="E48" s="17" t="str">
        <f>IF(AND(ISNUMBER(E43),ISNUMBER(E46),ISNUMBER(E47)),(1+E43)/((1+E46)*(1+E47))-1,"n/a")</f>
        <v>n/a</v>
      </c>
      <c r="F48" s="17" t="str">
        <f>IF(AND(ISNUMBER(F43),ISNUMBER(F46),ISNUMBER(F47)),(1+F43)/((1+F46)*(1+F47))-1,"n/a")</f>
        <v>n/a</v>
      </c>
      <c r="G48" s="17" t="str">
        <f>IF(AND(ISNUMBER(G43),ISNUMBER(G46),ISNUMBER(G47)),(1+G43)/((1+G46)*(1+G47))-1,"n/a")</f>
        <v>n/a</v>
      </c>
      <c r="H48" s="17" t="str">
        <f>IF(AND(ISNUMBER(H43),ISNUMBER(H46),ISNUMBER(H47)),(1+H43)/((1+H46)*(1+H47))-1,"n/a")</f>
        <v>n/a</v>
      </c>
      <c r="I48" s="55" t="str">
        <f>IF(AND(ISNUMBER(I43),ISNUMBER(I46),ISNUMBER(I47)),(1+I43)/((1+I46)*(1+I47))-1,"n/a")</f>
        <v>n/a</v>
      </c>
      <c r="J48" s="11" t="s">
        <v>68</v>
      </c>
      <c r="K48" s="1"/>
    </row>
    <row r="49">
      <c r="A49" s="1"/>
      <c r="B49" s="18" t="s">
        <v>175</v>
      </c>
      <c r="C49" s="39" t="s">
        <v>37</v>
      </c>
      <c r="D49" s="39" t="s">
        <v>37</v>
      </c>
      <c r="E49" s="39" t="s">
        <v>37</v>
      </c>
      <c r="F49" s="39" t="s">
        <v>37</v>
      </c>
      <c r="G49" s="39" t="s">
        <v>37</v>
      </c>
      <c r="H49" s="39" t="s">
        <v>37</v>
      </c>
      <c r="I49" s="49">
        <v>0.052</v>
      </c>
      <c r="J49" s="11" t="s">
        <v>176</v>
      </c>
      <c r="K49" s="1"/>
    </row>
    <row r="50">
      <c r="A50" s="1"/>
      <c r="B50" s="18" t="s">
        <v>98</v>
      </c>
      <c r="C50" s="37" t="s">
        <v>37</v>
      </c>
      <c r="D50" s="37" t="s">
        <v>37</v>
      </c>
      <c r="E50" s="37" t="s">
        <v>37</v>
      </c>
      <c r="F50" s="37" t="s">
        <v>37</v>
      </c>
      <c r="G50" s="43" t="str">
        <f>IF(AND(ISNUMBER(G49),ISNUMBER(C49)),(G49-C49)*10000,"n/a")</f>
        <v>n/a</v>
      </c>
      <c r="H50" s="43" t="str">
        <f>IF(AND(ISNUMBER(H49),ISNUMBER(D49)),(H49-D49)*10000,"n/a")</f>
        <v>n/a</v>
      </c>
      <c r="I50" s="54" t="s">
        <v>37</v>
      </c>
      <c r="J50" s="1"/>
      <c r="K50" s="1"/>
    </row>
    <row r="51">
      <c r="A51" s="1"/>
      <c r="B51" s="18" t="s">
        <v>99</v>
      </c>
      <c r="C51" s="37" t="s">
        <v>37</v>
      </c>
      <c r="D51" s="43" t="str">
        <f>IF(AND(ISNUMBER(D49),ISNUMBER(C49)),(D49-C49)*10000,"n/a")</f>
        <v>n/a</v>
      </c>
      <c r="E51" s="37" t="s">
        <v>37</v>
      </c>
      <c r="F51" s="37" t="s">
        <v>37</v>
      </c>
      <c r="G51" s="37" t="s">
        <v>37</v>
      </c>
      <c r="H51" s="43" t="str">
        <f>IF(AND(ISNUMBER(H49),ISNUMBER(G49)),(H49-G49)*10000,"n/a")</f>
        <v>n/a</v>
      </c>
      <c r="I51" s="50" t="str">
        <f>IF(AND(ISNUMBER(I49),ISNUMBER(H49)),(I49-H49)*10000,"n/a")</f>
        <v>n/a</v>
      </c>
      <c r="J51" s="1"/>
      <c r="K51" s="1"/>
    </row>
    <row r="52">
      <c r="A52" s="1"/>
      <c r="B52" s="12" t="s">
        <v>177</v>
      </c>
      <c r="C52" s="34">
        <v>982</v>
      </c>
      <c r="D52" s="34">
        <v>867</v>
      </c>
      <c r="E52" s="26">
        <f>IF(COUNT(F52,C52,D52)=3,F52-C52-D52,"n/a")</f>
        <v>2330</v>
      </c>
      <c r="F52" s="34">
        <v>4179</v>
      </c>
      <c r="G52" s="34">
        <v>1109</v>
      </c>
      <c r="H52" s="34">
        <v>1806</v>
      </c>
      <c r="I52" s="32">
        <f>H52*(1+I49)</f>
        <v>1899.912</v>
      </c>
      <c r="J52" s="11" t="s">
        <v>178</v>
      </c>
      <c r="K52" s="1"/>
    </row>
    <row r="53">
      <c r="A53" s="1"/>
      <c r="B53" s="18" t="s">
        <v>61</v>
      </c>
      <c r="C53" s="39" t="s">
        <v>37</v>
      </c>
      <c r="D53" s="39" t="s">
        <v>37</v>
      </c>
      <c r="E53" s="39" t="s">
        <v>37</v>
      </c>
      <c r="F53" s="45">
        <f>IF(ISNUMBER(F52),F52/Inputs!C103-1,"n/a")</f>
        <v>0.5092091007583965</v>
      </c>
      <c r="G53" s="17">
        <f>IF(AND(ISNUMBER(G52),ISNUMBER(C52)),IF(OR(C52&lt;=0,G52&lt;0),"n/m",G52/C52-1),"n/a")</f>
        <v>0.12932790224032598</v>
      </c>
      <c r="H53" s="17">
        <f>IF(AND(ISNUMBER(H52),ISNUMBER(D52)),IF(OR(D52&lt;=0,H52&lt;0),"n/m",H52/D52-1),"n/a")</f>
        <v>1.0830449826989619</v>
      </c>
      <c r="I53" s="49" t="s">
        <v>37</v>
      </c>
      <c r="J53" s="1"/>
      <c r="K53" s="1"/>
    </row>
    <row r="54">
      <c r="A54" s="1"/>
      <c r="B54" s="51" t="s">
        <v>72</v>
      </c>
      <c r="C54" s="34" t="s">
        <v>37</v>
      </c>
      <c r="D54" s="26">
        <f>IF(AND(ISNUMBER(D52),ISNUMBER(C52)),D52-C52,"n/a")</f>
        <v>-115</v>
      </c>
      <c r="E54" s="34" t="s">
        <v>37</v>
      </c>
      <c r="F54" s="34" t="s">
        <v>37</v>
      </c>
      <c r="G54" s="34" t="s">
        <v>37</v>
      </c>
      <c r="H54" s="26">
        <f>IF(AND(ISNUMBER(H52),ISNUMBER(G52)),H52-G52,"n/a")</f>
        <v>697</v>
      </c>
      <c r="I54" s="32">
        <f>IF(AND(ISNUMBER(I52),ISNUMBER(H52)),I52-H52,"n/a")</f>
        <v>93.91200000000003</v>
      </c>
      <c r="J54" s="1"/>
      <c r="K54" s="1"/>
    </row>
    <row r="55">
      <c r="A55" s="1"/>
      <c r="B55" s="18" t="s">
        <v>62</v>
      </c>
      <c r="C55" s="39" t="s">
        <v>37</v>
      </c>
      <c r="D55" s="17">
        <f>IF(AND(ISNUMBER(D52),ISNUMBER(C52)),IF(OR(C52&lt;=0,D52&lt;0),"n/m",D52/C52-1),"n/a")</f>
        <v>-0.11710794297352345</v>
      </c>
      <c r="E55" s="39" t="s">
        <v>37</v>
      </c>
      <c r="F55" s="39" t="s">
        <v>37</v>
      </c>
      <c r="G55" s="39" t="s">
        <v>37</v>
      </c>
      <c r="H55" s="17">
        <f>IF(AND(ISNUMBER(H52),ISNUMBER(G52)),IF(OR(G52&lt;=0,H52&lt;0),"n/m",H52/G52-1),"n/a")</f>
        <v>0.6284941388638412</v>
      </c>
      <c r="I55" s="55">
        <f>IF(AND(ISNUMBER(I52),ISNUMBER(H52)),IF(OR(H52&lt;=0,I52&lt;0),"n/m",I52/H52-1),"n/a")</f>
        <v>0.052000000000000046</v>
      </c>
      <c r="J55" s="1"/>
      <c r="K55" s="1"/>
    </row>
    <row r="56">
      <c r="A56" s="1"/>
      <c r="B56" s="18" t="s">
        <v>64</v>
      </c>
      <c r="C56" s="39" t="s">
        <v>37</v>
      </c>
      <c r="D56" s="39" t="s">
        <v>37</v>
      </c>
      <c r="E56" s="39" t="s">
        <v>37</v>
      </c>
      <c r="F56" s="39" t="s">
        <v>37</v>
      </c>
      <c r="G56" s="39">
        <v>0</v>
      </c>
      <c r="H56" s="39">
        <v>0</v>
      </c>
      <c r="I56" s="49" t="s">
        <v>37</v>
      </c>
      <c r="J56" s="11" t="s">
        <v>65</v>
      </c>
      <c r="K56" s="1"/>
    </row>
    <row r="57">
      <c r="A57" s="1"/>
      <c r="B57" s="18" t="s">
        <v>66</v>
      </c>
      <c r="C57" s="39" t="s">
        <v>37</v>
      </c>
      <c r="D57" s="39" t="s">
        <v>37</v>
      </c>
      <c r="E57" s="39" t="s">
        <v>37</v>
      </c>
      <c r="F57" s="39" t="s">
        <v>37</v>
      </c>
      <c r="G57" s="39" t="s">
        <v>37</v>
      </c>
      <c r="H57" s="39" t="s">
        <v>37</v>
      </c>
      <c r="I57" s="49" t="s">
        <v>37</v>
      </c>
      <c r="J57" s="1"/>
      <c r="K57" s="1"/>
    </row>
    <row r="58">
      <c r="A58" s="1"/>
      <c r="B58" s="18" t="s">
        <v>67</v>
      </c>
      <c r="C58" s="17" t="str">
        <f>IF(AND(ISNUMBER(C53),ISNUMBER(C56),ISNUMBER(C57)),(1+C53)/((1+C56)*(1+C57))-1,"n/a")</f>
        <v>n/a</v>
      </c>
      <c r="D58" s="17" t="str">
        <f>IF(AND(ISNUMBER(D53),ISNUMBER(D56),ISNUMBER(D57)),(1+D53)/((1+D56)*(1+D57))-1,"n/a")</f>
        <v>n/a</v>
      </c>
      <c r="E58" s="17" t="str">
        <f>IF(AND(ISNUMBER(E53),ISNUMBER(E56),ISNUMBER(E57)),(1+E53)/((1+E56)*(1+E57))-1,"n/a")</f>
        <v>n/a</v>
      </c>
      <c r="F58" s="17" t="str">
        <f>IF(AND(ISNUMBER(F53),ISNUMBER(F56),ISNUMBER(F57)),(1+F53)/((1+F56)*(1+F57))-1,"n/a")</f>
        <v>n/a</v>
      </c>
      <c r="G58" s="17" t="str">
        <f>IF(AND(ISNUMBER(G53),ISNUMBER(G56),ISNUMBER(G57)),(1+G53)/((1+G56)*(1+G57))-1,"n/a")</f>
        <v>n/a</v>
      </c>
      <c r="H58" s="17" t="str">
        <f>IF(AND(ISNUMBER(H53),ISNUMBER(H56),ISNUMBER(H57)),(1+H53)/((1+H56)*(1+H57))-1,"n/a")</f>
        <v>n/a</v>
      </c>
      <c r="I58" s="55" t="str">
        <f>IF(AND(ISNUMBER(I53),ISNUMBER(I56),ISNUMBER(I57)),(1+I53)/((1+I56)*(1+I57))-1,"n/a")</f>
        <v>n/a</v>
      </c>
      <c r="J58" s="11" t="s">
        <v>68</v>
      </c>
      <c r="K58" s="1"/>
    </row>
    <row r="59">
      <c r="A59" s="1"/>
      <c r="B59" s="13" t="s">
        <v>179</v>
      </c>
      <c r="C59" s="41">
        <f>IF(COUNT(C42,C52)=2,C42+C52,"n/a")</f>
        <v>2474</v>
      </c>
      <c r="D59" s="41">
        <f>IF(COUNT(D42,D52)=2,D42+D52,"n/a")</f>
        <v>2588</v>
      </c>
      <c r="E59" s="41">
        <f>IF(COUNT(E42,E52)=2,E42+E52,"n/a")</f>
        <v>6325</v>
      </c>
      <c r="F59" s="47">
        <v>11387</v>
      </c>
      <c r="G59" s="41">
        <f>IF(COUNT(G42,G52)=2,G42+G52,"n/a")</f>
        <v>3257</v>
      </c>
      <c r="H59" s="41">
        <f>IF(COUNT(H42,H52)=2,H42+H52,"n/a")</f>
        <v>4291</v>
      </c>
      <c r="I59" s="36">
        <f>IF(COUNT(I42,I52)=2,I42+I52,"n/a")</f>
        <v>4754.012</v>
      </c>
      <c r="J59" s="1"/>
      <c r="K59" s="1"/>
    </row>
    <row r="60">
      <c r="A60" s="1"/>
      <c r="B60" s="18" t="s">
        <v>61</v>
      </c>
      <c r="C60" s="39" t="s">
        <v>37</v>
      </c>
      <c r="D60" s="39" t="s">
        <v>37</v>
      </c>
      <c r="E60" s="39" t="s">
        <v>37</v>
      </c>
      <c r="F60" s="45">
        <f>IF(ISNUMBER(F59),F59/Inputs!C99-1,"n/a")</f>
        <v>0.4984866429793393</v>
      </c>
      <c r="G60" s="17">
        <f>IF(AND(ISNUMBER(G59),ISNUMBER(C59)),IF(OR(C59&lt;=0,G59&lt;0),"n/m",G59/C59-1),"n/a")</f>
        <v>0.3164915117219078</v>
      </c>
      <c r="H60" s="17">
        <f>IF(AND(ISNUMBER(H59),ISNUMBER(D59)),IF(OR(D59&lt;=0,H59&lt;0),"n/m",H59/D59-1),"n/a")</f>
        <v>0.6580370942812983</v>
      </c>
      <c r="I60" s="49" t="s">
        <v>37</v>
      </c>
      <c r="J60" s="1"/>
      <c r="K60" s="1"/>
    </row>
    <row r="61">
      <c r="A61" s="1"/>
      <c r="B61" s="51" t="s">
        <v>72</v>
      </c>
      <c r="C61" s="34" t="s">
        <v>37</v>
      </c>
      <c r="D61" s="26">
        <f>IF(AND(ISNUMBER(D59),ISNUMBER(C59)),D59-C59,"n/a")</f>
        <v>114</v>
      </c>
      <c r="E61" s="34" t="s">
        <v>37</v>
      </c>
      <c r="F61" s="34" t="s">
        <v>37</v>
      </c>
      <c r="G61" s="34" t="s">
        <v>37</v>
      </c>
      <c r="H61" s="26">
        <f>IF(AND(ISNUMBER(H59),ISNUMBER(G59)),H59-G59,"n/a")</f>
        <v>1034</v>
      </c>
      <c r="I61" s="32">
        <f>IF(AND(ISNUMBER(I59),ISNUMBER(H59)),I59-H59,"n/a")</f>
        <v>463.0119999999997</v>
      </c>
      <c r="J61" s="1"/>
      <c r="K61" s="1"/>
    </row>
    <row r="62">
      <c r="A62" s="1"/>
      <c r="B62" s="18" t="s">
        <v>62</v>
      </c>
      <c r="C62" s="39" t="s">
        <v>37</v>
      </c>
      <c r="D62" s="17">
        <f>IF(AND(ISNUMBER(D59),ISNUMBER(C59)),IF(OR(C59&lt;=0,D59&lt;0),"n/m",D59/C59-1),"n/a")</f>
        <v>0.0460792239288601</v>
      </c>
      <c r="E62" s="39" t="s">
        <v>37</v>
      </c>
      <c r="F62" s="39" t="s">
        <v>37</v>
      </c>
      <c r="G62" s="39" t="s">
        <v>37</v>
      </c>
      <c r="H62" s="17">
        <f>IF(AND(ISNUMBER(H59),ISNUMBER(G59)),IF(OR(G59&lt;=0,H59&lt;0),"n/m",H59/G59-1),"n/a")</f>
        <v>0.31747006447651205</v>
      </c>
      <c r="I62" s="55">
        <f>IF(AND(ISNUMBER(I59),ISNUMBER(H59)),IF(OR(H59&lt;=0,I59&lt;0),"n/m",I59/H59-1),"n/a")</f>
        <v>0.10790305290142155</v>
      </c>
      <c r="J62" s="1"/>
      <c r="K62" s="1"/>
    </row>
    <row r="63">
      <c r="A63" s="1"/>
      <c r="B63" s="18" t="s">
        <v>64</v>
      </c>
      <c r="C63" s="39" t="s">
        <v>37</v>
      </c>
      <c r="D63" s="39" t="s">
        <v>37</v>
      </c>
      <c r="E63" s="39" t="s">
        <v>37</v>
      </c>
      <c r="F63" s="39" t="s">
        <v>37</v>
      </c>
      <c r="G63" s="39">
        <v>0</v>
      </c>
      <c r="H63" s="39">
        <v>0</v>
      </c>
      <c r="I63" s="49" t="s">
        <v>37</v>
      </c>
      <c r="J63" s="11" t="s">
        <v>65</v>
      </c>
      <c r="K63" s="1"/>
    </row>
    <row r="64">
      <c r="A64" s="1"/>
      <c r="B64" s="18" t="s">
        <v>66</v>
      </c>
      <c r="C64" s="39" t="s">
        <v>37</v>
      </c>
      <c r="D64" s="39" t="s">
        <v>37</v>
      </c>
      <c r="E64" s="39" t="s">
        <v>37</v>
      </c>
      <c r="F64" s="39" t="s">
        <v>37</v>
      </c>
      <c r="G64" s="39" t="s">
        <v>37</v>
      </c>
      <c r="H64" s="39" t="s">
        <v>37</v>
      </c>
      <c r="I64" s="49" t="s">
        <v>37</v>
      </c>
      <c r="J64" s="1"/>
      <c r="K64" s="1"/>
    </row>
    <row r="65">
      <c r="A65" s="1"/>
      <c r="B65" s="18" t="s">
        <v>67</v>
      </c>
      <c r="C65" s="17" t="str">
        <f>IF(AND(ISNUMBER(C60),ISNUMBER(C63),ISNUMBER(C64)),(1+C60)/((1+C63)*(1+C64))-1,"n/a")</f>
        <v>n/a</v>
      </c>
      <c r="D65" s="17" t="str">
        <f>IF(AND(ISNUMBER(D60),ISNUMBER(D63),ISNUMBER(D64)),(1+D60)/((1+D63)*(1+D64))-1,"n/a")</f>
        <v>n/a</v>
      </c>
      <c r="E65" s="17" t="str">
        <f>IF(AND(ISNUMBER(E60),ISNUMBER(E63),ISNUMBER(E64)),(1+E60)/((1+E63)*(1+E64))-1,"n/a")</f>
        <v>n/a</v>
      </c>
      <c r="F65" s="17" t="str">
        <f>IF(AND(ISNUMBER(F60),ISNUMBER(F63),ISNUMBER(F64)),(1+F60)/((1+F63)*(1+F64))-1,"n/a")</f>
        <v>n/a</v>
      </c>
      <c r="G65" s="17" t="str">
        <f>IF(AND(ISNUMBER(G60),ISNUMBER(G63),ISNUMBER(G64)),(1+G60)/((1+G63)*(1+G64))-1,"n/a")</f>
        <v>n/a</v>
      </c>
      <c r="H65" s="17" t="str">
        <f>IF(AND(ISNUMBER(H60),ISNUMBER(H63),ISNUMBER(H64)),(1+H60)/((1+H63)*(1+H64))-1,"n/a")</f>
        <v>n/a</v>
      </c>
      <c r="I65" s="55" t="str">
        <f>IF(AND(ISNUMBER(I60),ISNUMBER(I63),ISNUMBER(I64)),(1+I60)/((1+I63)*(1+I64))-1,"n/a")</f>
        <v>n/a</v>
      </c>
      <c r="J65" s="11" t="s">
        <v>68</v>
      </c>
      <c r="K65" s="1"/>
    </row>
    <row r="66">
      <c r="A66" s="1"/>
      <c r="B66" s="33" t="s">
        <v>180</v>
      </c>
      <c r="C66" s="17">
        <f>IF(AND(ISNUMBER(C42),ISNUMBER(C59)),IF(C59=0,"n/a",C42/C59),"n/a")</f>
        <v>0.603071948261924</v>
      </c>
      <c r="D66" s="17">
        <f>IF(AND(ISNUMBER(D42),ISNUMBER(D59)),IF(D59=0,"n/a",D42/D59),"n/a")</f>
        <v>0.6649922720247295</v>
      </c>
      <c r="E66" s="17">
        <f>IF(AND(ISNUMBER(E42),ISNUMBER(E59)),IF(E59=0,"n/a",E42/E59),"n/a")</f>
        <v>0.6316205533596838</v>
      </c>
      <c r="F66" s="17">
        <f>IF(AND(ISNUMBER(F42),ISNUMBER(F59)),IF(F59=0,"n/a",F42/F59),"n/a")</f>
        <v>0.6330025467638535</v>
      </c>
      <c r="G66" s="17">
        <f>IF(AND(ISNUMBER(G42),ISNUMBER(G59)),IF(G59=0,"n/a",G42/G59),"n/a")</f>
        <v>0.6595026097635861</v>
      </c>
      <c r="H66" s="17">
        <f>IF(AND(ISNUMBER(H42),ISNUMBER(H59)),IF(H59=0,"n/a",H42/H59),"n/a")</f>
        <v>0.5791190864600326</v>
      </c>
      <c r="I66" s="55">
        <f>IF(AND(ISNUMBER(I42),ISNUMBER(I59)),IF(I59=0,"n/a",I42/I59),"n/a")</f>
        <v>0.6003560781924825</v>
      </c>
      <c r="J66" s="11" t="s">
        <v>181</v>
      </c>
      <c r="K66" s="1"/>
    </row>
    <row r="67">
      <c r="A67" s="1"/>
      <c r="B67" s="18" t="s">
        <v>98</v>
      </c>
      <c r="C67" s="37" t="s">
        <v>37</v>
      </c>
      <c r="D67" s="37" t="s">
        <v>37</v>
      </c>
      <c r="E67" s="37" t="s">
        <v>37</v>
      </c>
      <c r="F67" s="37" t="s">
        <v>37</v>
      </c>
      <c r="G67" s="43">
        <f>IF(AND(ISNUMBER(G66),ISNUMBER(C66)),(G66-C66)*10000,"n/a")</f>
        <v>564.306615016621</v>
      </c>
      <c r="H67" s="43">
        <f>IF(AND(ISNUMBER(H66),ISNUMBER(D66)),(H66-D66)*10000,"n/a")</f>
        <v>-858.7318556469692</v>
      </c>
      <c r="I67" s="54" t="s">
        <v>37</v>
      </c>
      <c r="J67" s="1"/>
      <c r="K67" s="1"/>
    </row>
    <row r="68">
      <c r="A68" s="1"/>
      <c r="B68" s="18" t="s">
        <v>99</v>
      </c>
      <c r="C68" s="37" t="s">
        <v>37</v>
      </c>
      <c r="D68" s="43">
        <f>IF(AND(ISNUMBER(D66),ISNUMBER(C66)),(D66-C66)*10000,"n/a")</f>
        <v>619.2032376280554</v>
      </c>
      <c r="E68" s="37" t="s">
        <v>37</v>
      </c>
      <c r="F68" s="37" t="s">
        <v>37</v>
      </c>
      <c r="G68" s="37" t="s">
        <v>37</v>
      </c>
      <c r="H68" s="43">
        <f>IF(AND(ISNUMBER(H66),ISNUMBER(G66)),(H66-G66)*10000,"n/a")</f>
        <v>-803.8352330355348</v>
      </c>
      <c r="I68" s="50">
        <f>IF(AND(ISNUMBER(I66),ISNUMBER(H66)),(I66-H66)*10000,"n/a")</f>
        <v>212.3699173244986</v>
      </c>
      <c r="J68" s="1"/>
      <c r="K68" s="1"/>
    </row>
    <row r="69">
      <c r="A69" s="1"/>
      <c r="B69" s="33" t="s">
        <v>182</v>
      </c>
      <c r="C69" s="17">
        <f>IF(AND(ISNUMBER(C52),ISNUMBER(C59)),IF(C59=0,"n/a",C52/C59),"n/a")</f>
        <v>0.396928051738076</v>
      </c>
      <c r="D69" s="17">
        <f>IF(AND(ISNUMBER(D52),ISNUMBER(D59)),IF(D59=0,"n/a",D52/D59),"n/a")</f>
        <v>0.33500772797527045</v>
      </c>
      <c r="E69" s="17">
        <f>IF(AND(ISNUMBER(E52),ISNUMBER(E59)),IF(E59=0,"n/a",E52/E59),"n/a")</f>
        <v>0.3683794466403162</v>
      </c>
      <c r="F69" s="17">
        <f>IF(AND(ISNUMBER(F52),ISNUMBER(F59)),IF(F59=0,"n/a",F52/F59),"n/a")</f>
        <v>0.36699745323614646</v>
      </c>
      <c r="G69" s="17">
        <f>IF(AND(ISNUMBER(G52),ISNUMBER(G59)),IF(G59=0,"n/a",G52/G59),"n/a")</f>
        <v>0.3404973902364139</v>
      </c>
      <c r="H69" s="17">
        <f>IF(AND(ISNUMBER(H52),ISNUMBER(H59)),IF(H59=0,"n/a",H52/H59),"n/a")</f>
        <v>0.42088091353996737</v>
      </c>
      <c r="I69" s="55">
        <f>IF(AND(ISNUMBER(I52),ISNUMBER(I59)),IF(I59=0,"n/a",I52/I59),"n/a")</f>
        <v>0.39964392180751757</v>
      </c>
      <c r="J69" s="11" t="s">
        <v>183</v>
      </c>
      <c r="K69" s="1"/>
    </row>
    <row r="70">
      <c r="A70" s="1"/>
      <c r="B70" s="18" t="s">
        <v>98</v>
      </c>
      <c r="C70" s="37" t="s">
        <v>37</v>
      </c>
      <c r="D70" s="37" t="s">
        <v>37</v>
      </c>
      <c r="E70" s="37" t="s">
        <v>37</v>
      </c>
      <c r="F70" s="37" t="s">
        <v>37</v>
      </c>
      <c r="G70" s="43">
        <f>IF(AND(ISNUMBER(G69),ISNUMBER(C69)),(G69-C69)*10000,"n/a")</f>
        <v>-564.306615016621</v>
      </c>
      <c r="H70" s="43">
        <f>IF(AND(ISNUMBER(H69),ISNUMBER(D69)),(H69-D69)*10000,"n/a")</f>
        <v>858.7318556469692</v>
      </c>
      <c r="I70" s="54" t="s">
        <v>37</v>
      </c>
      <c r="J70" s="1"/>
      <c r="K70" s="1"/>
    </row>
    <row r="71">
      <c r="A71" s="1"/>
      <c r="B71" s="18" t="s">
        <v>99</v>
      </c>
      <c r="C71" s="37" t="s">
        <v>37</v>
      </c>
      <c r="D71" s="43">
        <f>IF(AND(ISNUMBER(D69),ISNUMBER(C69)),(D69-C69)*10000,"n/a")</f>
        <v>-619.2032376280554</v>
      </c>
      <c r="E71" s="37" t="s">
        <v>37</v>
      </c>
      <c r="F71" s="37" t="s">
        <v>37</v>
      </c>
      <c r="G71" s="37" t="s">
        <v>37</v>
      </c>
      <c r="H71" s="43">
        <f>IF(AND(ISNUMBER(H69),ISNUMBER(G69)),(H69-G69)*10000,"n/a")</f>
        <v>803.8352330355348</v>
      </c>
      <c r="I71" s="50">
        <f>IF(AND(ISNUMBER(I69),ISNUMBER(H69)),(I69-H69)*10000,"n/a")</f>
        <v>-212.36991732449806</v>
      </c>
      <c r="J71" s="1"/>
      <c r="K71" s="1"/>
    </row>
    <row r="72">
      <c r="A72" s="1"/>
      <c r="B72" s="18" t="s">
        <v>184</v>
      </c>
      <c r="C72" s="39" t="s">
        <v>37</v>
      </c>
      <c r="D72" s="39" t="s">
        <v>37</v>
      </c>
      <c r="E72" s="39" t="s">
        <v>37</v>
      </c>
      <c r="F72" s="39" t="s">
        <v>37</v>
      </c>
      <c r="G72" s="39" t="s">
        <v>37</v>
      </c>
      <c r="H72" s="39" t="s">
        <v>37</v>
      </c>
      <c r="I72" s="49">
        <v>0.04</v>
      </c>
      <c r="J72" s="11" t="s">
        <v>185</v>
      </c>
      <c r="K72" s="1"/>
    </row>
    <row r="73">
      <c r="A73" s="1"/>
      <c r="B73" s="18" t="s">
        <v>98</v>
      </c>
      <c r="C73" s="37" t="s">
        <v>37</v>
      </c>
      <c r="D73" s="37" t="s">
        <v>37</v>
      </c>
      <c r="E73" s="37" t="s">
        <v>37</v>
      </c>
      <c r="F73" s="37" t="s">
        <v>37</v>
      </c>
      <c r="G73" s="43" t="str">
        <f>IF(AND(ISNUMBER(G72),ISNUMBER(C72)),(G72-C72)*10000,"n/a")</f>
        <v>n/a</v>
      </c>
      <c r="H73" s="43" t="str">
        <f>IF(AND(ISNUMBER(H72),ISNUMBER(D72)),(H72-D72)*10000,"n/a")</f>
        <v>n/a</v>
      </c>
      <c r="I73" s="54" t="s">
        <v>37</v>
      </c>
      <c r="J73" s="1"/>
      <c r="K73" s="1"/>
    </row>
    <row r="74">
      <c r="A74" s="1"/>
      <c r="B74" s="18" t="s">
        <v>99</v>
      </c>
      <c r="C74" s="37" t="s">
        <v>37</v>
      </c>
      <c r="D74" s="43" t="str">
        <f>IF(AND(ISNUMBER(D72),ISNUMBER(C72)),(D72-C72)*10000,"n/a")</f>
        <v>n/a</v>
      </c>
      <c r="E74" s="37" t="s">
        <v>37</v>
      </c>
      <c r="F74" s="37" t="s">
        <v>37</v>
      </c>
      <c r="G74" s="37" t="s">
        <v>37</v>
      </c>
      <c r="H74" s="43" t="str">
        <f>IF(AND(ISNUMBER(H72),ISNUMBER(G72)),(H72-G72)*10000,"n/a")</f>
        <v>n/a</v>
      </c>
      <c r="I74" s="50" t="str">
        <f>IF(AND(ISNUMBER(I72),ISNUMBER(H72)),(I72-H72)*10000,"n/a")</f>
        <v>n/a</v>
      </c>
      <c r="J74" s="1"/>
      <c r="K74" s="1"/>
    </row>
    <row r="75">
      <c r="A75" s="1"/>
      <c r="B75" s="12" t="s">
        <v>186</v>
      </c>
      <c r="C75" s="34">
        <v>352</v>
      </c>
      <c r="D75" s="34">
        <v>403</v>
      </c>
      <c r="E75" s="34" t="s">
        <v>37</v>
      </c>
      <c r="F75" s="34" t="s">
        <v>37</v>
      </c>
      <c r="G75" s="34">
        <v>380</v>
      </c>
      <c r="H75" s="34">
        <v>461</v>
      </c>
      <c r="I75" s="32">
        <f>H75*(1+I72)</f>
        <v>479.44</v>
      </c>
      <c r="J75" s="11" t="s">
        <v>187</v>
      </c>
      <c r="K75" s="1"/>
    </row>
    <row r="76">
      <c r="A76" s="1"/>
      <c r="B76" s="18" t="s">
        <v>61</v>
      </c>
      <c r="C76" s="39" t="s">
        <v>37</v>
      </c>
      <c r="D76" s="39" t="s">
        <v>37</v>
      </c>
      <c r="E76" s="39" t="s">
        <v>37</v>
      </c>
      <c r="F76" s="39" t="s">
        <v>37</v>
      </c>
      <c r="G76" s="17">
        <f>IF(AND(ISNUMBER(G75),ISNUMBER(C75)),IF(OR(C75&lt;=0,G75&lt;0),"n/m",G75/C75-1),"n/a")</f>
        <v>0.07954545454545459</v>
      </c>
      <c r="H76" s="17">
        <f>IF(AND(ISNUMBER(H75),ISNUMBER(D75)),IF(OR(D75&lt;=0,H75&lt;0),"n/m",H75/D75-1),"n/a")</f>
        <v>0.14392059553349879</v>
      </c>
      <c r="I76" s="49" t="s">
        <v>37</v>
      </c>
      <c r="J76" s="1"/>
      <c r="K76" s="1"/>
    </row>
    <row r="77">
      <c r="A77" s="1"/>
      <c r="B77" s="51" t="s">
        <v>72</v>
      </c>
      <c r="C77" s="34" t="s">
        <v>37</v>
      </c>
      <c r="D77" s="26">
        <f>IF(AND(ISNUMBER(D75),ISNUMBER(C75)),D75-C75,"n/a")</f>
        <v>51</v>
      </c>
      <c r="E77" s="34" t="s">
        <v>37</v>
      </c>
      <c r="F77" s="34" t="s">
        <v>37</v>
      </c>
      <c r="G77" s="34" t="s">
        <v>37</v>
      </c>
      <c r="H77" s="26">
        <f>IF(AND(ISNUMBER(H75),ISNUMBER(G75)),H75-G75,"n/a")</f>
        <v>81</v>
      </c>
      <c r="I77" s="32">
        <f>IF(AND(ISNUMBER(I75),ISNUMBER(H75)),I75-H75,"n/a")</f>
        <v>18.439999999999998</v>
      </c>
      <c r="J77" s="1"/>
      <c r="K77" s="1"/>
    </row>
    <row r="78">
      <c r="A78" s="1"/>
      <c r="B78" s="18" t="s">
        <v>62</v>
      </c>
      <c r="C78" s="39" t="s">
        <v>37</v>
      </c>
      <c r="D78" s="17">
        <f>IF(AND(ISNUMBER(D75),ISNUMBER(C75)),IF(OR(C75&lt;=0,D75&lt;0),"n/m",D75/C75-1),"n/a")</f>
        <v>0.14488636363636354</v>
      </c>
      <c r="E78" s="39" t="s">
        <v>37</v>
      </c>
      <c r="F78" s="39" t="s">
        <v>37</v>
      </c>
      <c r="G78" s="39" t="s">
        <v>37</v>
      </c>
      <c r="H78" s="17">
        <f>IF(AND(ISNUMBER(H75),ISNUMBER(G75)),IF(OR(G75&lt;=0,H75&lt;0),"n/m",H75/G75-1),"n/a")</f>
        <v>0.2131578947368422</v>
      </c>
      <c r="I78" s="55">
        <f>IF(AND(ISNUMBER(I75),ISNUMBER(H75)),IF(OR(H75&lt;=0,I75&lt;0),"n/m",I75/H75-1),"n/a")</f>
        <v>0.040000000000000036</v>
      </c>
      <c r="J78" s="1"/>
      <c r="K78" s="1"/>
    </row>
    <row r="79">
      <c r="A79" s="1"/>
      <c r="B79" s="18" t="s">
        <v>64</v>
      </c>
      <c r="C79" s="39" t="s">
        <v>37</v>
      </c>
      <c r="D79" s="39" t="s">
        <v>37</v>
      </c>
      <c r="E79" s="39" t="s">
        <v>37</v>
      </c>
      <c r="F79" s="39" t="s">
        <v>37</v>
      </c>
      <c r="G79" s="39">
        <v>0</v>
      </c>
      <c r="H79" s="39">
        <v>0</v>
      </c>
      <c r="I79" s="49" t="s">
        <v>37</v>
      </c>
      <c r="J79" s="11" t="s">
        <v>65</v>
      </c>
      <c r="K79" s="1"/>
    </row>
    <row r="80">
      <c r="A80" s="1"/>
      <c r="B80" s="18" t="s">
        <v>66</v>
      </c>
      <c r="C80" s="39" t="s">
        <v>37</v>
      </c>
      <c r="D80" s="39" t="s">
        <v>37</v>
      </c>
      <c r="E80" s="39" t="s">
        <v>37</v>
      </c>
      <c r="F80" s="39" t="s">
        <v>37</v>
      </c>
      <c r="G80" s="39" t="s">
        <v>37</v>
      </c>
      <c r="H80" s="39" t="s">
        <v>37</v>
      </c>
      <c r="I80" s="49" t="s">
        <v>37</v>
      </c>
      <c r="J80" s="1"/>
      <c r="K80" s="1"/>
    </row>
    <row r="81">
      <c r="A81" s="1"/>
      <c r="B81" s="18" t="s">
        <v>67</v>
      </c>
      <c r="C81" s="17" t="str">
        <f>IF(AND(ISNUMBER(C76),ISNUMBER(C79),ISNUMBER(C80)),(1+C76)/((1+C79)*(1+C80))-1,"n/a")</f>
        <v>n/a</v>
      </c>
      <c r="D81" s="17" t="str">
        <f>IF(AND(ISNUMBER(D76),ISNUMBER(D79),ISNUMBER(D80)),(1+D76)/((1+D79)*(1+D80))-1,"n/a")</f>
        <v>n/a</v>
      </c>
      <c r="E81" s="17" t="str">
        <f>IF(AND(ISNUMBER(E76),ISNUMBER(E79),ISNUMBER(E80)),(1+E76)/((1+E79)*(1+E80))-1,"n/a")</f>
        <v>n/a</v>
      </c>
      <c r="F81" s="17" t="str">
        <f>IF(AND(ISNUMBER(F76),ISNUMBER(F79),ISNUMBER(F80)),(1+F76)/((1+F79)*(1+F80))-1,"n/a")</f>
        <v>n/a</v>
      </c>
      <c r="G81" s="17" t="str">
        <f>IF(AND(ISNUMBER(G76),ISNUMBER(G79),ISNUMBER(G80)),(1+G76)/((1+G79)*(1+G80))-1,"n/a")</f>
        <v>n/a</v>
      </c>
      <c r="H81" s="17" t="str">
        <f>IF(AND(ISNUMBER(H76),ISNUMBER(H79),ISNUMBER(H80)),(1+H76)/((1+H79)*(1+H80))-1,"n/a")</f>
        <v>n/a</v>
      </c>
      <c r="I81" s="55" t="str">
        <f>IF(AND(ISNUMBER(I76),ISNUMBER(I79),ISNUMBER(I80)),(1+I76)/((1+I79)*(1+I80))-1,"n/a")</f>
        <v>n/a</v>
      </c>
      <c r="J81" s="11" t="s">
        <v>68</v>
      </c>
      <c r="K81" s="1"/>
    </row>
    <row r="82">
      <c r="A82" s="1"/>
      <c r="B82" s="12" t="s">
        <v>188</v>
      </c>
      <c r="C82" s="26">
        <f>IF(COUNT(C59,C75)=2,C59-C75,"n/a")</f>
        <v>2122</v>
      </c>
      <c r="D82" s="26">
        <f>IF(COUNT(D59,D75)=2,D59-D75,"n/a")</f>
        <v>2185</v>
      </c>
      <c r="E82" s="26" t="str">
        <f>IF(COUNT(E59,E75)=2,E59-E75,"n/a")</f>
        <v>n/a</v>
      </c>
      <c r="F82" s="26" t="str">
        <f>IF(COUNT(F59,F75)=2,F59-F75,"n/a")</f>
        <v>n/a</v>
      </c>
      <c r="G82" s="26">
        <f>IF(COUNT(G59,G75)=2,G59-G75,"n/a")</f>
        <v>2877</v>
      </c>
      <c r="H82" s="26">
        <f>IF(COUNT(H59,H75)=2,H59-H75,"n/a")</f>
        <v>3830</v>
      </c>
      <c r="I82" s="32">
        <f>IF(COUNT(I59,I75)=2,I59-I75,"n/a")</f>
        <v>4274.572</v>
      </c>
      <c r="J82" s="11" t="s">
        <v>189</v>
      </c>
      <c r="K82" s="1"/>
    </row>
    <row r="83">
      <c r="A83" s="1"/>
      <c r="B83" s="18" t="s">
        <v>61</v>
      </c>
      <c r="C83" s="39" t="s">
        <v>37</v>
      </c>
      <c r="D83" s="39" t="s">
        <v>37</v>
      </c>
      <c r="E83" s="39" t="s">
        <v>37</v>
      </c>
      <c r="F83" s="39" t="s">
        <v>37</v>
      </c>
      <c r="G83" s="17">
        <f>IF(AND(ISNUMBER(G82),ISNUMBER(C82)),IF(OR(C82&lt;=0,G82&lt;0),"n/m",G82/C82-1),"n/a")</f>
        <v>0.3557964184731386</v>
      </c>
      <c r="H83" s="17">
        <f>IF(AND(ISNUMBER(H82),ISNUMBER(D82)),IF(OR(D82&lt;=0,H82&lt;0),"n/m",H82/D82-1),"n/a")</f>
        <v>0.7528604118993134</v>
      </c>
      <c r="I83" s="49" t="s">
        <v>37</v>
      </c>
      <c r="J83" s="1"/>
      <c r="K83" s="1"/>
    </row>
    <row r="84">
      <c r="A84" s="1"/>
      <c r="B84" s="51" t="s">
        <v>72</v>
      </c>
      <c r="C84" s="34" t="s">
        <v>37</v>
      </c>
      <c r="D84" s="26">
        <f>IF(AND(ISNUMBER(D82),ISNUMBER(C82)),D82-C82,"n/a")</f>
        <v>63</v>
      </c>
      <c r="E84" s="34" t="s">
        <v>37</v>
      </c>
      <c r="F84" s="34" t="s">
        <v>37</v>
      </c>
      <c r="G84" s="34" t="s">
        <v>37</v>
      </c>
      <c r="H84" s="26">
        <f>IF(AND(ISNUMBER(H82),ISNUMBER(G82)),H82-G82,"n/a")</f>
        <v>953</v>
      </c>
      <c r="I84" s="32">
        <f>IF(AND(ISNUMBER(I82),ISNUMBER(H82)),I82-H82,"n/a")</f>
        <v>444.5720000000001</v>
      </c>
      <c r="J84" s="1"/>
      <c r="K84" s="1"/>
    </row>
    <row r="85">
      <c r="A85" s="1"/>
      <c r="B85" s="18" t="s">
        <v>62</v>
      </c>
      <c r="C85" s="39" t="s">
        <v>37</v>
      </c>
      <c r="D85" s="17">
        <f>IF(AND(ISNUMBER(D82),ISNUMBER(C82)),IF(OR(C82&lt;=0,D82&lt;0),"n/m",D82/C82-1),"n/a")</f>
        <v>0.029688972667295088</v>
      </c>
      <c r="E85" s="39" t="s">
        <v>37</v>
      </c>
      <c r="F85" s="39" t="s">
        <v>37</v>
      </c>
      <c r="G85" s="39" t="s">
        <v>37</v>
      </c>
      <c r="H85" s="17">
        <f>IF(AND(ISNUMBER(H82),ISNUMBER(G82)),IF(OR(G82&lt;=0,H82&lt;0),"n/m",H82/G82-1),"n/a")</f>
        <v>0.3312478275981925</v>
      </c>
      <c r="I85" s="55">
        <f>IF(AND(ISNUMBER(I82),ISNUMBER(H82)),IF(OR(H82&lt;=0,I82&lt;0),"n/m",I82/H82-1),"n/a")</f>
        <v>0.1160762402088773</v>
      </c>
      <c r="J85" s="1"/>
      <c r="K85" s="1"/>
    </row>
    <row r="86">
      <c r="A86" s="1"/>
      <c r="B86" s="18" t="s">
        <v>64</v>
      </c>
      <c r="C86" s="39" t="s">
        <v>37</v>
      </c>
      <c r="D86" s="39" t="s">
        <v>37</v>
      </c>
      <c r="E86" s="39" t="s">
        <v>37</v>
      </c>
      <c r="F86" s="39" t="s">
        <v>37</v>
      </c>
      <c r="G86" s="39">
        <v>0</v>
      </c>
      <c r="H86" s="39">
        <v>0</v>
      </c>
      <c r="I86" s="49" t="s">
        <v>37</v>
      </c>
      <c r="J86" s="11" t="s">
        <v>65</v>
      </c>
      <c r="K86" s="1"/>
    </row>
    <row r="87">
      <c r="A87" s="1"/>
      <c r="B87" s="18" t="s">
        <v>66</v>
      </c>
      <c r="C87" s="39" t="s">
        <v>37</v>
      </c>
      <c r="D87" s="39" t="s">
        <v>37</v>
      </c>
      <c r="E87" s="39" t="s">
        <v>37</v>
      </c>
      <c r="F87" s="39" t="s">
        <v>37</v>
      </c>
      <c r="G87" s="39" t="s">
        <v>37</v>
      </c>
      <c r="H87" s="39" t="s">
        <v>37</v>
      </c>
      <c r="I87" s="49" t="s">
        <v>37</v>
      </c>
      <c r="J87" s="1"/>
      <c r="K87" s="1"/>
    </row>
    <row r="88">
      <c r="A88" s="1"/>
      <c r="B88" s="18" t="s">
        <v>67</v>
      </c>
      <c r="C88" s="17" t="str">
        <f>IF(AND(ISNUMBER(C83),ISNUMBER(C86),ISNUMBER(C87)),(1+C83)/((1+C86)*(1+C87))-1,"n/a")</f>
        <v>n/a</v>
      </c>
      <c r="D88" s="17" t="str">
        <f>IF(AND(ISNUMBER(D83),ISNUMBER(D86),ISNUMBER(D87)),(1+D83)/((1+D86)*(1+D87))-1,"n/a")</f>
        <v>n/a</v>
      </c>
      <c r="E88" s="17" t="str">
        <f>IF(AND(ISNUMBER(E83),ISNUMBER(E86),ISNUMBER(E87)),(1+E83)/((1+E86)*(1+E87))-1,"n/a")</f>
        <v>n/a</v>
      </c>
      <c r="F88" s="17" t="str">
        <f>IF(AND(ISNUMBER(F83),ISNUMBER(F86),ISNUMBER(F87)),(1+F83)/((1+F86)*(1+F87))-1,"n/a")</f>
        <v>n/a</v>
      </c>
      <c r="G88" s="17" t="str">
        <f>IF(AND(ISNUMBER(G83),ISNUMBER(G86),ISNUMBER(G87)),(1+G83)/((1+G86)*(1+G87))-1,"n/a")</f>
        <v>n/a</v>
      </c>
      <c r="H88" s="17" t="str">
        <f>IF(AND(ISNUMBER(H83),ISNUMBER(H86),ISNUMBER(H87)),(1+H83)/((1+H86)*(1+H87))-1,"n/a")</f>
        <v>n/a</v>
      </c>
      <c r="I88" s="55" t="str">
        <f>IF(AND(ISNUMBER(I83),ISNUMBER(I86),ISNUMBER(I87)),(1+I83)/((1+I86)*(1+I87))-1,"n/a")</f>
        <v>n/a</v>
      </c>
      <c r="J88" s="11" t="s">
        <v>68</v>
      </c>
      <c r="K88" s="1"/>
    </row>
    <row r="89">
      <c r="A89" s="1"/>
      <c r="B89" s="1"/>
      <c r="C89" s="1"/>
      <c r="D89" s="1"/>
      <c r="E89" s="1"/>
      <c r="F89" s="1"/>
      <c r="G89" s="1"/>
      <c r="H89" s="1"/>
      <c r="I89" s="53"/>
      <c r="J89" s="1"/>
      <c r="K89" s="1"/>
    </row>
    <row r="90">
      <c r="A90" s="1"/>
      <c r="B90" s="23" t="s">
        <v>131</v>
      </c>
      <c r="C90" s="1"/>
      <c r="D90" s="1"/>
      <c r="E90" s="1"/>
      <c r="F90" s="1"/>
      <c r="G90" s="1"/>
      <c r="H90" s="1"/>
      <c r="I90" s="53"/>
      <c r="J90" s="1"/>
      <c r="K90" s="1"/>
    </row>
    <row r="91">
      <c r="A91" s="1"/>
      <c r="B91" s="12" t="s">
        <v>132</v>
      </c>
      <c r="C91" s="34">
        <v>1214</v>
      </c>
      <c r="D91" s="34">
        <v>1401</v>
      </c>
      <c r="E91" s="34" t="s">
        <v>37</v>
      </c>
      <c r="F91" s="34" t="s">
        <v>37</v>
      </c>
      <c r="G91" s="34">
        <v>1651</v>
      </c>
      <c r="H91" s="34">
        <v>2060</v>
      </c>
      <c r="I91" s="32">
        <f>I59*I94</f>
        <v>2234.38564</v>
      </c>
      <c r="J91" s="1"/>
      <c r="K91" s="1"/>
    </row>
    <row r="92">
      <c r="A92" s="1"/>
      <c r="B92" s="18" t="s">
        <v>61</v>
      </c>
      <c r="C92" s="39" t="s">
        <v>37</v>
      </c>
      <c r="D92" s="39" t="s">
        <v>37</v>
      </c>
      <c r="E92" s="39" t="s">
        <v>37</v>
      </c>
      <c r="F92" s="39" t="s">
        <v>37</v>
      </c>
      <c r="G92" s="17">
        <f>IF(AND(ISNUMBER(G91),ISNUMBER(C91)),IF(OR(C91&lt;=0,G91&lt;0),"n/m",G91/C91-1),"n/a")</f>
        <v>0.35996705107084015</v>
      </c>
      <c r="H92" s="17">
        <f>IF(AND(ISNUMBER(H91),ISNUMBER(D91)),IF(OR(D91&lt;=0,H91&lt;0),"n/m",H91/D91-1),"n/a")</f>
        <v>0.47037830121341906</v>
      </c>
      <c r="I92" s="49" t="s">
        <v>37</v>
      </c>
      <c r="J92" s="1"/>
      <c r="K92" s="1"/>
    </row>
    <row r="93">
      <c r="A93" s="1"/>
      <c r="B93" s="51" t="s">
        <v>103</v>
      </c>
      <c r="C93" s="34" t="s">
        <v>37</v>
      </c>
      <c r="D93" s="26">
        <f>IF(AND(ISNUMBER(D91),ISNUMBER(C91)),D91-C91,"n/a")</f>
        <v>187</v>
      </c>
      <c r="E93" s="34" t="s">
        <v>37</v>
      </c>
      <c r="F93" s="34" t="s">
        <v>37</v>
      </c>
      <c r="G93" s="34" t="s">
        <v>37</v>
      </c>
      <c r="H93" s="26">
        <f>IF(AND(ISNUMBER(H91),ISNUMBER(G91)),H91-G91,"n/a")</f>
        <v>409</v>
      </c>
      <c r="I93" s="32">
        <f>IF(AND(ISNUMBER(I91),ISNUMBER(H91)),I91-H91,"n/a")</f>
        <v>174.38563999999997</v>
      </c>
      <c r="J93" s="1"/>
      <c r="K93" s="1"/>
    </row>
    <row r="94">
      <c r="A94" s="1"/>
      <c r="B94" s="18" t="s">
        <v>133</v>
      </c>
      <c r="C94" s="17">
        <f>IF(AND(ISNUMBER(C91),ISNUMBER(C59)),IF(C59=0,"n/a",C91/C59),"n/a")</f>
        <v>0.49070331447049315</v>
      </c>
      <c r="D94" s="17">
        <f>IF(AND(ISNUMBER(D91),ISNUMBER(D59)),IF(D59=0,"n/a",D91/D59),"n/a")</f>
        <v>0.5413446676970634</v>
      </c>
      <c r="E94" s="17" t="str">
        <f>IF(AND(ISNUMBER(E91),ISNUMBER(E59)),IF(E59=0,"n/a",E91/E59),"n/a")</f>
        <v>n/a</v>
      </c>
      <c r="F94" s="17" t="str">
        <f>IF(AND(ISNUMBER(F91),ISNUMBER(F59)),IF(F59=0,"n/a",F91/F59),"n/a")</f>
        <v>n/a</v>
      </c>
      <c r="G94" s="17">
        <f>IF(AND(ISNUMBER(G91),ISNUMBER(G59)),IF(G59=0,"n/a",G91/G59),"n/a")</f>
        <v>0.5069081977279706</v>
      </c>
      <c r="H94" s="17">
        <f>IF(AND(ISNUMBER(H91),ISNUMBER(H59)),IF(H59=0,"n/a",H91/H59),"n/a")</f>
        <v>0.4800745746912142</v>
      </c>
      <c r="I94" s="49">
        <v>0.47</v>
      </c>
      <c r="J94" s="11" t="s">
        <v>190</v>
      </c>
      <c r="K94" s="1"/>
    </row>
    <row r="95">
      <c r="A95" s="1"/>
      <c r="B95" s="18" t="s">
        <v>98</v>
      </c>
      <c r="C95" s="37" t="s">
        <v>37</v>
      </c>
      <c r="D95" s="37" t="s">
        <v>37</v>
      </c>
      <c r="E95" s="37" t="s">
        <v>37</v>
      </c>
      <c r="F95" s="37" t="s">
        <v>37</v>
      </c>
      <c r="G95" s="43">
        <f>IF(AND(ISNUMBER(G94),ISNUMBER(C94)),(G94-C94)*10000,"n/a")</f>
        <v>162.0488325747743</v>
      </c>
      <c r="H95" s="43">
        <f>IF(AND(ISNUMBER(H94),ISNUMBER(D94)),(H94-D94)*10000,"n/a")</f>
        <v>-612.7009300584918</v>
      </c>
      <c r="I95" s="54" t="s">
        <v>37</v>
      </c>
      <c r="J95" s="1"/>
      <c r="K95" s="1"/>
    </row>
    <row r="96">
      <c r="A96" s="1"/>
      <c r="B96" s="18" t="s">
        <v>99</v>
      </c>
      <c r="C96" s="37" t="s">
        <v>37</v>
      </c>
      <c r="D96" s="43">
        <f>IF(AND(ISNUMBER(D94),ISNUMBER(C94)),(D94-C94)*10000,"n/a")</f>
        <v>506.4135322657021</v>
      </c>
      <c r="E96" s="37" t="s">
        <v>37</v>
      </c>
      <c r="F96" s="37" t="s">
        <v>37</v>
      </c>
      <c r="G96" s="37" t="s">
        <v>37</v>
      </c>
      <c r="H96" s="43">
        <f>IF(AND(ISNUMBER(H94),ISNUMBER(G94)),(H94-G94)*10000,"n/a")</f>
        <v>-268.33623036756404</v>
      </c>
      <c r="I96" s="50">
        <f>IF(AND(ISNUMBER(I94),ISNUMBER(H94)),(I94-H94)*10000,"n/a")</f>
        <v>-100.745746912142</v>
      </c>
      <c r="J96" s="1"/>
      <c r="K96" s="1"/>
    </row>
    <row r="97">
      <c r="A97" s="1"/>
      <c r="B97" s="12" t="s">
        <v>191</v>
      </c>
      <c r="C97" s="34">
        <v>123</v>
      </c>
      <c r="D97" s="34">
        <v>143</v>
      </c>
      <c r="E97" s="34" t="s">
        <v>37</v>
      </c>
      <c r="F97" s="34" t="s">
        <v>37</v>
      </c>
      <c r="G97" s="34">
        <v>205</v>
      </c>
      <c r="H97" s="34">
        <v>294</v>
      </c>
      <c r="I97" s="52">
        <v>320</v>
      </c>
      <c r="J97" s="1"/>
      <c r="K97" s="1"/>
    </row>
    <row r="98">
      <c r="A98" s="1"/>
      <c r="B98" s="18" t="s">
        <v>61</v>
      </c>
      <c r="C98" s="39" t="s">
        <v>37</v>
      </c>
      <c r="D98" s="39" t="s">
        <v>37</v>
      </c>
      <c r="E98" s="39" t="s">
        <v>37</v>
      </c>
      <c r="F98" s="39" t="s">
        <v>37</v>
      </c>
      <c r="G98" s="17">
        <f>IF(AND(ISNUMBER(G97),ISNUMBER(C97)),IF(OR(C97&lt;=0,G97&lt;0),"n/m",G97/C97-1),"n/a")</f>
        <v>0.6666666666666667</v>
      </c>
      <c r="H98" s="17">
        <f>IF(AND(ISNUMBER(H97),ISNUMBER(D97)),IF(OR(D97&lt;=0,H97&lt;0),"n/m",H97/D97-1),"n/a")</f>
        <v>1.0559440559440558</v>
      </c>
      <c r="I98" s="49" t="s">
        <v>37</v>
      </c>
      <c r="J98" s="1"/>
      <c r="K98" s="1"/>
    </row>
    <row r="99">
      <c r="A99" s="1"/>
      <c r="B99" s="51" t="s">
        <v>103</v>
      </c>
      <c r="C99" s="34" t="s">
        <v>37</v>
      </c>
      <c r="D99" s="26">
        <f>IF(AND(ISNUMBER(D97),ISNUMBER(C97)),D97-C97,"n/a")</f>
        <v>20</v>
      </c>
      <c r="E99" s="34" t="s">
        <v>37</v>
      </c>
      <c r="F99" s="34" t="s">
        <v>37</v>
      </c>
      <c r="G99" s="34" t="s">
        <v>37</v>
      </c>
      <c r="H99" s="26">
        <f>IF(AND(ISNUMBER(H97),ISNUMBER(G97)),H97-G97,"n/a")</f>
        <v>89</v>
      </c>
      <c r="I99" s="32">
        <f>IF(AND(ISNUMBER(I97),ISNUMBER(H97)),I97-H97,"n/a")</f>
        <v>26</v>
      </c>
      <c r="J99" s="1"/>
      <c r="K99" s="1"/>
    </row>
    <row r="100">
      <c r="A100" s="1"/>
      <c r="B100" s="12" t="s">
        <v>137</v>
      </c>
      <c r="C100" s="34">
        <v>104</v>
      </c>
      <c r="D100" s="34">
        <v>121</v>
      </c>
      <c r="E100" s="34" t="s">
        <v>37</v>
      </c>
      <c r="F100" s="34" t="s">
        <v>37</v>
      </c>
      <c r="G100" s="34">
        <v>213</v>
      </c>
      <c r="H100" s="34">
        <v>281</v>
      </c>
      <c r="I100" s="52">
        <v>300</v>
      </c>
      <c r="J100" s="11" t="s">
        <v>138</v>
      </c>
      <c r="K100" s="1"/>
    </row>
    <row r="101">
      <c r="A101" s="1"/>
      <c r="B101" s="18" t="s">
        <v>61</v>
      </c>
      <c r="C101" s="39" t="s">
        <v>37</v>
      </c>
      <c r="D101" s="39" t="s">
        <v>37</v>
      </c>
      <c r="E101" s="39" t="s">
        <v>37</v>
      </c>
      <c r="F101" s="39" t="s">
        <v>37</v>
      </c>
      <c r="G101" s="17">
        <f>IF(AND(ISNUMBER(G100),ISNUMBER(C100)),IF(OR(C100&lt;=0,G100&lt;0),"n/m",G100/C100-1),"n/a")</f>
        <v>1.048076923076923</v>
      </c>
      <c r="H101" s="17">
        <f>IF(AND(ISNUMBER(H100),ISNUMBER(D100)),IF(OR(D100&lt;=0,H100&lt;0),"n/m",H100/D100-1),"n/a")</f>
        <v>1.322314049586777</v>
      </c>
      <c r="I101" s="49" t="s">
        <v>37</v>
      </c>
      <c r="J101" s="1"/>
      <c r="K101" s="1"/>
    </row>
    <row r="102">
      <c r="A102" s="1"/>
      <c r="B102" s="51" t="s">
        <v>103</v>
      </c>
      <c r="C102" s="34" t="s">
        <v>37</v>
      </c>
      <c r="D102" s="26">
        <f>IF(AND(ISNUMBER(D100),ISNUMBER(C100)),D100-C100,"n/a")</f>
        <v>17</v>
      </c>
      <c r="E102" s="34" t="s">
        <v>37</v>
      </c>
      <c r="F102" s="34" t="s">
        <v>37</v>
      </c>
      <c r="G102" s="34" t="s">
        <v>37</v>
      </c>
      <c r="H102" s="26">
        <f>IF(AND(ISNUMBER(H100),ISNUMBER(G100)),H100-G100,"n/a")</f>
        <v>68</v>
      </c>
      <c r="I102" s="32">
        <f>IF(AND(ISNUMBER(I100),ISNUMBER(H100)),I100-H100,"n/a")</f>
        <v>19</v>
      </c>
      <c r="J102" s="1"/>
      <c r="K102" s="1"/>
    </row>
    <row r="103">
      <c r="A103" s="1"/>
      <c r="B103" s="13" t="s">
        <v>140</v>
      </c>
      <c r="C103" s="41">
        <f>IF(COUNT(C91,C97,C100)=3,C91+C97+C100,"n/a")</f>
        <v>1441</v>
      </c>
      <c r="D103" s="41">
        <f>IF(COUNT(D91,D97,D100)=3,D91+D97+D100,"n/a")</f>
        <v>1665</v>
      </c>
      <c r="E103" s="41">
        <f>IF(COUNT(F103,C103,D103)=3,F103-C103-D103,"n/a")</f>
        <v>3858</v>
      </c>
      <c r="F103" s="41">
        <f>IF(COUNT(F59,F104)=2,F59-F104,"n/a")</f>
        <v>6964</v>
      </c>
      <c r="G103" s="41">
        <f>IF(COUNT(G91,G97,G100)=3,G91+G97+G100,"n/a")</f>
        <v>2069</v>
      </c>
      <c r="H103" s="41">
        <f>IF(COUNT(H91,H97,H100)=3,H91+H97+H100,"n/a")</f>
        <v>2635</v>
      </c>
      <c r="I103" s="36">
        <f>IF(COUNT(I91,I97,I100)=3,I91+I97+I100,"n/a")</f>
        <v>2854.38564</v>
      </c>
      <c r="J103" s="1"/>
      <c r="K103" s="1"/>
    </row>
    <row r="104">
      <c r="A104" s="1"/>
      <c r="B104" s="13" t="s">
        <v>192</v>
      </c>
      <c r="C104" s="41">
        <f>IF(COUNT(C59,C103)=2,C59-C103,"n/a")</f>
        <v>1033</v>
      </c>
      <c r="D104" s="41">
        <f>IF(COUNT(D59,D103)=2,D59-D103,"n/a")</f>
        <v>923</v>
      </c>
      <c r="E104" s="41">
        <f>IF(COUNT(F104,C104,D104)=3,F104-C104-D104,"n/a")</f>
        <v>2467</v>
      </c>
      <c r="F104" s="47">
        <v>4423</v>
      </c>
      <c r="G104" s="41">
        <f>IF(COUNT(G59,G103)=2,G59-G103,"n/a")</f>
        <v>1188</v>
      </c>
      <c r="H104" s="41">
        <f>IF(COUNT(H59,H103)=2,H59-H103,"n/a")</f>
        <v>1656</v>
      </c>
      <c r="I104" s="36">
        <f>IF(COUNT(I59,I103)=2,I59-I103,"n/a")</f>
        <v>1899.6263599999997</v>
      </c>
      <c r="J104" s="11" t="s">
        <v>193</v>
      </c>
      <c r="K104" s="1"/>
    </row>
    <row r="105">
      <c r="A105" s="1"/>
      <c r="B105" s="33" t="s">
        <v>144</v>
      </c>
      <c r="C105" s="17">
        <f>IF(AND(ISNUMBER(C104),ISNUMBER(C59)),IF(C59=0,"n/a",C104/C59),"n/a")</f>
        <v>0.4175424413904608</v>
      </c>
      <c r="D105" s="17">
        <f>IF(AND(ISNUMBER(D104),ISNUMBER(D59)),IF(D59=0,"n/a",D104/D59),"n/a")</f>
        <v>0.35664605873261207</v>
      </c>
      <c r="E105" s="17">
        <f>IF(AND(ISNUMBER(E104),ISNUMBER(E59)),IF(E59=0,"n/a",E104/E59),"n/a")</f>
        <v>0.3900395256916996</v>
      </c>
      <c r="F105" s="17">
        <f>IF(AND(ISNUMBER(F104),ISNUMBER(F59)),IF(F59=0,"n/a",F104/F59),"n/a")</f>
        <v>0.3884253973829806</v>
      </c>
      <c r="G105" s="17">
        <f>IF(AND(ISNUMBER(G104),ISNUMBER(G59)),IF(G59=0,"n/a",G104/G59),"n/a")</f>
        <v>0.3647528400368437</v>
      </c>
      <c r="H105" s="17">
        <f>IF(AND(ISNUMBER(H104),ISNUMBER(H59)),IF(H59=0,"n/a",H104/H59),"n/a")</f>
        <v>0.38592402703332557</v>
      </c>
      <c r="I105" s="55">
        <f>IF(AND(ISNUMBER(I104),ISNUMBER(I59)),IF(I59=0,"n/a",I104/I59),"n/a")</f>
        <v>0.39958383781950907</v>
      </c>
      <c r="J105" s="1"/>
      <c r="K105" s="1"/>
    </row>
    <row r="106">
      <c r="A106" s="1"/>
      <c r="B106" s="18" t="s">
        <v>98</v>
      </c>
      <c r="C106" s="37" t="s">
        <v>37</v>
      </c>
      <c r="D106" s="37" t="s">
        <v>37</v>
      </c>
      <c r="E106" s="37" t="s">
        <v>37</v>
      </c>
      <c r="F106" s="37" t="s">
        <v>37</v>
      </c>
      <c r="G106" s="43">
        <f>IF(AND(ISNUMBER(G105),ISNUMBER(C105)),(G105-C105)*10000,"n/a")</f>
        <v>-527.896013536171</v>
      </c>
      <c r="H106" s="43">
        <f>IF(AND(ISNUMBER(H105),ISNUMBER(D105)),(H105-D105)*10000,"n/a")</f>
        <v>292.77968300713496</v>
      </c>
      <c r="I106" s="54" t="s">
        <v>37</v>
      </c>
      <c r="J106" s="1"/>
      <c r="K106" s="1"/>
    </row>
    <row r="107">
      <c r="A107" s="1"/>
      <c r="B107" s="18" t="s">
        <v>99</v>
      </c>
      <c r="C107" s="37" t="s">
        <v>37</v>
      </c>
      <c r="D107" s="43">
        <f>IF(AND(ISNUMBER(D105),ISNUMBER(C105)),(D105-C105)*10000,"n/a")</f>
        <v>-608.9638265784874</v>
      </c>
      <c r="E107" s="37" t="s">
        <v>37</v>
      </c>
      <c r="F107" s="37" t="s">
        <v>37</v>
      </c>
      <c r="G107" s="37" t="s">
        <v>37</v>
      </c>
      <c r="H107" s="43">
        <f>IF(AND(ISNUMBER(H105),ISNUMBER(G105)),(H105-G105)*10000,"n/a")</f>
        <v>211.7118699648185</v>
      </c>
      <c r="I107" s="50">
        <f>IF(AND(ISNUMBER(I105),ISNUMBER(H105)),(I105-H105)*10000,"n/a")</f>
        <v>136.59810786183502</v>
      </c>
      <c r="J107" s="1"/>
      <c r="K107" s="1"/>
    </row>
    <row r="108">
      <c r="A108" s="1"/>
      <c r="B108" s="12" t="s">
        <v>145</v>
      </c>
      <c r="C108" s="34">
        <v>509</v>
      </c>
      <c r="D108" s="34">
        <v>569</v>
      </c>
      <c r="E108" s="34" t="s">
        <v>37</v>
      </c>
      <c r="F108" s="34" t="s">
        <v>37</v>
      </c>
      <c r="G108" s="34">
        <v>783</v>
      </c>
      <c r="H108" s="34">
        <v>805</v>
      </c>
      <c r="I108" s="52">
        <v>850</v>
      </c>
      <c r="J108" s="1"/>
      <c r="K108" s="1"/>
    </row>
    <row r="109">
      <c r="A109" s="1"/>
      <c r="B109" s="18" t="s">
        <v>61</v>
      </c>
      <c r="C109" s="39" t="s">
        <v>37</v>
      </c>
      <c r="D109" s="39" t="s">
        <v>37</v>
      </c>
      <c r="E109" s="39" t="s">
        <v>37</v>
      </c>
      <c r="F109" s="39" t="s">
        <v>37</v>
      </c>
      <c r="G109" s="17">
        <f>IF(AND(ISNUMBER(G108),ISNUMBER(C108)),IF(OR(C108&lt;=0,G108&lt;0),"n/m",G108/C108-1),"n/a")</f>
        <v>0.538310412573674</v>
      </c>
      <c r="H109" s="17">
        <f>IF(AND(ISNUMBER(H108),ISNUMBER(D108)),IF(OR(D108&lt;=0,H108&lt;0),"n/m",H108/D108-1),"n/a")</f>
        <v>0.414762741652021</v>
      </c>
      <c r="I109" s="49" t="s">
        <v>37</v>
      </c>
      <c r="J109" s="1"/>
      <c r="K109" s="1"/>
    </row>
    <row r="110">
      <c r="A110" s="1"/>
      <c r="B110" s="51" t="s">
        <v>103</v>
      </c>
      <c r="C110" s="34" t="s">
        <v>37</v>
      </c>
      <c r="D110" s="26">
        <f>IF(AND(ISNUMBER(D108),ISNUMBER(C108)),D108-C108,"n/a")</f>
        <v>60</v>
      </c>
      <c r="E110" s="34" t="s">
        <v>37</v>
      </c>
      <c r="F110" s="34" t="s">
        <v>37</v>
      </c>
      <c r="G110" s="34" t="s">
        <v>37</v>
      </c>
      <c r="H110" s="26">
        <f>IF(AND(ISNUMBER(H108),ISNUMBER(G108)),H108-G108,"n/a")</f>
        <v>22</v>
      </c>
      <c r="I110" s="32">
        <f>IF(AND(ISNUMBER(I108),ISNUMBER(H108)),I108-H108,"n/a")</f>
        <v>45</v>
      </c>
      <c r="J110" s="1"/>
      <c r="K110" s="1"/>
    </row>
    <row r="111">
      <c r="A111" s="1"/>
      <c r="B111" s="12" t="s">
        <v>146</v>
      </c>
      <c r="C111" s="34">
        <v>75</v>
      </c>
      <c r="D111" s="34">
        <v>91</v>
      </c>
      <c r="E111" s="34" t="s">
        <v>37</v>
      </c>
      <c r="F111" s="34" t="s">
        <v>37</v>
      </c>
      <c r="G111" s="34">
        <v>116</v>
      </c>
      <c r="H111" s="34">
        <v>136</v>
      </c>
      <c r="I111" s="52">
        <v>140</v>
      </c>
      <c r="J111" s="1"/>
      <c r="K111" s="1"/>
    </row>
    <row r="112">
      <c r="A112" s="1"/>
      <c r="B112" s="18" t="s">
        <v>61</v>
      </c>
      <c r="C112" s="39" t="s">
        <v>37</v>
      </c>
      <c r="D112" s="39" t="s">
        <v>37</v>
      </c>
      <c r="E112" s="39" t="s">
        <v>37</v>
      </c>
      <c r="F112" s="39" t="s">
        <v>37</v>
      </c>
      <c r="G112" s="17">
        <f>IF(AND(ISNUMBER(G111),ISNUMBER(C111)),IF(OR(C111&lt;=0,G111&lt;0),"n/m",G111/C111-1),"n/a")</f>
        <v>0.5466666666666666</v>
      </c>
      <c r="H112" s="17">
        <f>IF(AND(ISNUMBER(H111),ISNUMBER(D111)),IF(OR(D111&lt;=0,H111&lt;0),"n/m",H111/D111-1),"n/a")</f>
        <v>0.4945054945054945</v>
      </c>
      <c r="I112" s="49" t="s">
        <v>37</v>
      </c>
      <c r="J112" s="1"/>
      <c r="K112" s="1"/>
    </row>
    <row r="113">
      <c r="A113" s="1"/>
      <c r="B113" s="51" t="s">
        <v>103</v>
      </c>
      <c r="C113" s="34" t="s">
        <v>37</v>
      </c>
      <c r="D113" s="26">
        <f>IF(AND(ISNUMBER(D111),ISNUMBER(C111)),D111-C111,"n/a")</f>
        <v>16</v>
      </c>
      <c r="E113" s="34" t="s">
        <v>37</v>
      </c>
      <c r="F113" s="34" t="s">
        <v>37</v>
      </c>
      <c r="G113" s="34" t="s">
        <v>37</v>
      </c>
      <c r="H113" s="26">
        <f>IF(AND(ISNUMBER(H111),ISNUMBER(G111)),H111-G111,"n/a")</f>
        <v>20</v>
      </c>
      <c r="I113" s="32">
        <f>IF(AND(ISNUMBER(I111),ISNUMBER(H111)),I111-H111,"n/a")</f>
        <v>4</v>
      </c>
      <c r="J113" s="1"/>
      <c r="K113" s="1"/>
    </row>
    <row r="114">
      <c r="A114" s="1"/>
      <c r="B114" s="13" t="s">
        <v>147</v>
      </c>
      <c r="C114" s="41">
        <f>IF(COUNT(C104,C108,C111)=3,C104+C108+C111,"n/a")</f>
        <v>1617</v>
      </c>
      <c r="D114" s="41">
        <f>IF(COUNT(D104,D108,D111)=3,D104+D108+D111,"n/a")</f>
        <v>1583</v>
      </c>
      <c r="E114" s="41">
        <f>IF(COUNT(F114,C114,D114)=3,F114-C114-D114,"n/a")</f>
        <v>3968</v>
      </c>
      <c r="F114" s="47">
        <v>7168</v>
      </c>
      <c r="G114" s="41">
        <f>IF(COUNT(G104,G108,G111)=3,G104+G108+G111,"n/a")</f>
        <v>2087</v>
      </c>
      <c r="H114" s="41">
        <f>IF(COUNT(H104,H108,H111)=3,H104+H108+H111,"n/a")</f>
        <v>2597</v>
      </c>
      <c r="I114" s="36">
        <f>IF(COUNT(I104,I108,I111)=3,I104+I108+I111,"n/a")</f>
        <v>2889.6263599999997</v>
      </c>
      <c r="J114" s="11" t="s">
        <v>194</v>
      </c>
      <c r="K114" s="1"/>
    </row>
    <row r="115">
      <c r="A115" s="1"/>
      <c r="B115" s="33" t="s">
        <v>149</v>
      </c>
      <c r="C115" s="17">
        <f>IF(AND(ISNUMBER(C114),ISNUMBER(C59)),IF(C59=0,"n/a",C114/C59),"n/a")</f>
        <v>0.6535974130962005</v>
      </c>
      <c r="D115" s="17">
        <f>IF(AND(ISNUMBER(D114),ISNUMBER(D59)),IF(D59=0,"n/a",D114/D59),"n/a")</f>
        <v>0.6116692426584235</v>
      </c>
      <c r="E115" s="17">
        <f>IF(AND(ISNUMBER(E114),ISNUMBER(E59)),IF(E59=0,"n/a",E114/E59),"n/a")</f>
        <v>0.6273517786561265</v>
      </c>
      <c r="F115" s="17">
        <f>IF(AND(ISNUMBER(F114),ISNUMBER(F59)),IF(F59=0,"n/a",F114/F59),"n/a")</f>
        <v>0.6294897690348643</v>
      </c>
      <c r="G115" s="17">
        <f>IF(AND(ISNUMBER(G114),ISNUMBER(G59)),IF(G59=0,"n/a",G114/G59),"n/a")</f>
        <v>0.6407737181455327</v>
      </c>
      <c r="H115" s="17">
        <f>IF(AND(ISNUMBER(H114),ISNUMBER(H59)),IF(H59=0,"n/a",H114/H59),"n/a")</f>
        <v>0.6052202283849919</v>
      </c>
      <c r="I115" s="55">
        <f>IF(AND(ISNUMBER(I114),ISNUMBER(I59)),IF(I59=0,"n/a",I114/I59),"n/a")</f>
        <v>0.6078290000109381</v>
      </c>
      <c r="J115" s="11" t="s">
        <v>150</v>
      </c>
      <c r="K115" s="1"/>
    </row>
    <row r="116">
      <c r="A116" s="1"/>
      <c r="B116" s="18" t="s">
        <v>98</v>
      </c>
      <c r="C116" s="37" t="s">
        <v>37</v>
      </c>
      <c r="D116" s="37" t="s">
        <v>37</v>
      </c>
      <c r="E116" s="37" t="s">
        <v>37</v>
      </c>
      <c r="F116" s="37" t="s">
        <v>37</v>
      </c>
      <c r="G116" s="43">
        <f>IF(AND(ISNUMBER(G115),ISNUMBER(C115)),(G115-C115)*10000,"n/a")</f>
        <v>-128.2369495066771</v>
      </c>
      <c r="H116" s="43">
        <f>IF(AND(ISNUMBER(H115),ISNUMBER(D115)),(H115-D115)*10000,"n/a")</f>
        <v>-64.49014273431585</v>
      </c>
      <c r="I116" s="54" t="s">
        <v>37</v>
      </c>
      <c r="J116" s="1"/>
      <c r="K116" s="1"/>
    </row>
    <row r="117">
      <c r="A117" s="1"/>
      <c r="B117" s="18" t="s">
        <v>99</v>
      </c>
      <c r="C117" s="37" t="s">
        <v>37</v>
      </c>
      <c r="D117" s="43">
        <f>IF(AND(ISNUMBER(D115),ISNUMBER(C115)),(D115-C115)*10000,"n/a")</f>
        <v>-419.2817043777697</v>
      </c>
      <c r="E117" s="37" t="s">
        <v>37</v>
      </c>
      <c r="F117" s="37" t="s">
        <v>37</v>
      </c>
      <c r="G117" s="37" t="s">
        <v>37</v>
      </c>
      <c r="H117" s="43">
        <f>IF(AND(ISNUMBER(H115),ISNUMBER(G115)),(H115-G115)*10000,"n/a")</f>
        <v>-355.53489760540845</v>
      </c>
      <c r="I117" s="50">
        <f>IF(AND(ISNUMBER(I115),ISNUMBER(H115)),(I115-H115)*10000,"n/a")</f>
        <v>26.087716259461935</v>
      </c>
      <c r="J117" s="1"/>
      <c r="K117" s="1"/>
    </row>
    <row r="118">
      <c r="A118" s="1"/>
      <c r="B118" s="12" t="s">
        <v>195</v>
      </c>
      <c r="C118" s="34">
        <v>814</v>
      </c>
      <c r="D118" s="34">
        <v>1130</v>
      </c>
      <c r="E118" s="26">
        <f>IF(COUNT(F118,C118,D118)=3,F118-C118-D118,"n/a")</f>
        <v>2234</v>
      </c>
      <c r="F118" s="34">
        <v>4178</v>
      </c>
      <c r="G118" s="34">
        <v>1332</v>
      </c>
      <c r="H118" s="34">
        <v>1367</v>
      </c>
      <c r="I118" s="52">
        <v>1370</v>
      </c>
      <c r="J118" s="1"/>
      <c r="K118" s="1"/>
    </row>
    <row r="119">
      <c r="A119" s="1"/>
      <c r="B119" s="18" t="s">
        <v>61</v>
      </c>
      <c r="C119" s="39" t="s">
        <v>37</v>
      </c>
      <c r="D119" s="39" t="s">
        <v>37</v>
      </c>
      <c r="E119" s="39" t="s">
        <v>37</v>
      </c>
      <c r="F119" s="39" t="s">
        <v>37</v>
      </c>
      <c r="G119" s="17">
        <f>IF(AND(ISNUMBER(G118),ISNUMBER(C118)),IF(OR(C118&lt;=0,G118&lt;0),"n/m",G118/C118-1),"n/a")</f>
        <v>0.6363636363636365</v>
      </c>
      <c r="H119" s="17">
        <f>IF(AND(ISNUMBER(H118),ISNUMBER(D118)),IF(OR(D118&lt;=0,H118&lt;0),"n/m",H118/D118-1),"n/a")</f>
        <v>0.20973451327433623</v>
      </c>
      <c r="I119" s="49" t="s">
        <v>37</v>
      </c>
      <c r="J119" s="1"/>
      <c r="K119" s="1"/>
    </row>
    <row r="120">
      <c r="A120" s="1"/>
      <c r="B120" s="51" t="s">
        <v>103</v>
      </c>
      <c r="C120" s="34" t="s">
        <v>37</v>
      </c>
      <c r="D120" s="26">
        <f>IF(AND(ISNUMBER(D118),ISNUMBER(C118)),D118-C118,"n/a")</f>
        <v>316</v>
      </c>
      <c r="E120" s="34" t="s">
        <v>37</v>
      </c>
      <c r="F120" s="34" t="s">
        <v>37</v>
      </c>
      <c r="G120" s="34" t="s">
        <v>37</v>
      </c>
      <c r="H120" s="26">
        <f>IF(AND(ISNUMBER(H118),ISNUMBER(G118)),H118-G118,"n/a")</f>
        <v>35</v>
      </c>
      <c r="I120" s="32">
        <f>IF(AND(ISNUMBER(I118),ISNUMBER(H118)),I118-H118,"n/a")</f>
        <v>3</v>
      </c>
      <c r="J120" s="1"/>
      <c r="K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7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196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56</v>
      </c>
      <c r="J4" s="79" t="s">
        <v>4</v>
      </c>
      <c r="K4" s="1"/>
    </row>
    <row r="5">
      <c r="A5" s="1"/>
      <c r="B5" s="14" t="s">
        <v>57</v>
      </c>
      <c r="C5" s="5">
        <v>45747</v>
      </c>
      <c r="D5" s="5">
        <v>45838</v>
      </c>
      <c r="E5" s="5">
        <v>46022</v>
      </c>
      <c r="F5" s="5">
        <v>46022</v>
      </c>
      <c r="G5" s="5">
        <v>46112</v>
      </c>
      <c r="H5" s="5">
        <v>46203</v>
      </c>
      <c r="I5" s="5">
        <v>46295</v>
      </c>
      <c r="J5" s="84"/>
      <c r="K5" s="1"/>
    </row>
    <row r="6">
      <c r="A6" s="1"/>
      <c r="B6" s="10" t="s">
        <v>58</v>
      </c>
      <c r="C6" s="6">
        <v>90</v>
      </c>
      <c r="D6" s="6">
        <v>91</v>
      </c>
      <c r="E6" s="6">
        <v>184</v>
      </c>
      <c r="F6" s="6">
        <v>365</v>
      </c>
      <c r="G6" s="6">
        <v>90</v>
      </c>
      <c r="H6" s="6">
        <v>91</v>
      </c>
      <c r="I6" s="6">
        <v>92</v>
      </c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197</v>
      </c>
      <c r="C8" s="1"/>
      <c r="D8" s="1"/>
      <c r="E8" s="1"/>
      <c r="F8" s="1"/>
      <c r="G8" s="1"/>
      <c r="H8" s="1"/>
      <c r="I8" s="53"/>
      <c r="J8" s="1"/>
      <c r="K8" s="1"/>
    </row>
    <row r="9">
      <c r="A9" s="1"/>
      <c r="B9" s="12" t="s">
        <v>198</v>
      </c>
      <c r="C9" s="34">
        <v>0.3</v>
      </c>
      <c r="D9" s="34">
        <v>0.4</v>
      </c>
      <c r="E9" s="34">
        <v>0.8</v>
      </c>
      <c r="F9" s="34">
        <v>0.8</v>
      </c>
      <c r="G9" s="34">
        <v>1</v>
      </c>
      <c r="H9" s="34">
        <v>1.4</v>
      </c>
      <c r="I9" s="52">
        <v>1.8</v>
      </c>
      <c r="J9" s="11" t="s">
        <v>199</v>
      </c>
      <c r="K9" s="1"/>
    </row>
    <row r="10">
      <c r="A10" s="1"/>
      <c r="B10" s="18" t="s">
        <v>61</v>
      </c>
      <c r="C10" s="39" t="s">
        <v>37</v>
      </c>
      <c r="D10" s="39" t="s">
        <v>37</v>
      </c>
      <c r="E10" s="39" t="s">
        <v>37</v>
      </c>
      <c r="F10" s="39" t="s">
        <v>37</v>
      </c>
      <c r="G10" s="17">
        <f>IF(AND(ISNUMBER(G9),ISNUMBER(C9)),IF(OR(C9&lt;=0,G9&lt;0),"n/m",G9/C9-1),"n/a")</f>
        <v>2.3333333333333335</v>
      </c>
      <c r="H10" s="17">
        <f>IF(AND(ISNUMBER(H9),ISNUMBER(D9)),IF(OR(D9&lt;=0,H9&lt;0),"n/m",H9/D9-1),"n/a")</f>
        <v>2.4999999999999996</v>
      </c>
      <c r="I10" s="49" t="s">
        <v>37</v>
      </c>
      <c r="J10" s="1"/>
      <c r="K10" s="1"/>
    </row>
    <row r="11">
      <c r="A11" s="1"/>
      <c r="B11" s="51" t="s">
        <v>103</v>
      </c>
      <c r="C11" s="34" t="s">
        <v>37</v>
      </c>
      <c r="D11" s="26">
        <f>IF(AND(ISNUMBER(D9),ISNUMBER(C9)),D9-C9,"n/a")</f>
        <v>0.10000000000000003</v>
      </c>
      <c r="E11" s="34" t="s">
        <v>37</v>
      </c>
      <c r="F11" s="34" t="s">
        <v>37</v>
      </c>
      <c r="G11" s="34" t="s">
        <v>37</v>
      </c>
      <c r="H11" s="26">
        <f>IF(AND(ISNUMBER(H9),ISNUMBER(G9)),H9-G9,"n/a")</f>
        <v>0.3999999999999999</v>
      </c>
      <c r="I11" s="32">
        <f>IF(AND(ISNUMBER(I9),ISNUMBER(H9)),I9-H9,"n/a")</f>
        <v>0.40000000000000013</v>
      </c>
      <c r="J11" s="1"/>
      <c r="K11" s="1"/>
    </row>
    <row r="12">
      <c r="A12" s="1"/>
      <c r="B12" s="1"/>
      <c r="C12" s="1"/>
      <c r="D12" s="1"/>
      <c r="E12" s="1"/>
      <c r="F12" s="1"/>
      <c r="G12" s="1"/>
      <c r="H12" s="1"/>
      <c r="I12" s="53"/>
      <c r="J12" s="1"/>
      <c r="K12" s="1"/>
    </row>
    <row r="13">
      <c r="A13" s="1"/>
      <c r="B13" s="23" t="s">
        <v>200</v>
      </c>
      <c r="C13" s="1"/>
      <c r="D13" s="1"/>
      <c r="E13" s="1"/>
      <c r="F13" s="1"/>
      <c r="G13" s="1"/>
      <c r="H13" s="1"/>
      <c r="I13" s="53"/>
      <c r="J13" s="1"/>
      <c r="K13" s="1"/>
    </row>
    <row r="14">
      <c r="A14" s="1"/>
      <c r="B14" s="12" t="s">
        <v>201</v>
      </c>
      <c r="C14" s="34" t="s">
        <v>37</v>
      </c>
      <c r="D14" s="34" t="s">
        <v>37</v>
      </c>
      <c r="E14" s="34" t="s">
        <v>37</v>
      </c>
      <c r="F14" s="34" t="s">
        <v>37</v>
      </c>
      <c r="G14" s="34" t="s">
        <v>37</v>
      </c>
      <c r="H14" s="34" t="s">
        <v>37</v>
      </c>
      <c r="I14" s="52">
        <v>1250</v>
      </c>
      <c r="J14" s="11" t="s">
        <v>202</v>
      </c>
      <c r="K14" s="1"/>
    </row>
    <row r="15">
      <c r="A15" s="1"/>
      <c r="B15" s="18" t="s">
        <v>61</v>
      </c>
      <c r="C15" s="39" t="s">
        <v>37</v>
      </c>
      <c r="D15" s="39" t="s">
        <v>37</v>
      </c>
      <c r="E15" s="39" t="s">
        <v>37</v>
      </c>
      <c r="F15" s="39" t="s">
        <v>37</v>
      </c>
      <c r="G15" s="17" t="str">
        <f>IF(AND(ISNUMBER(G14),ISNUMBER(C14)),IF(OR(C14&lt;=0,G14&lt;0),"n/m",G14/C14-1),"n/a")</f>
        <v>n/a</v>
      </c>
      <c r="H15" s="17" t="str">
        <f>IF(AND(ISNUMBER(H14),ISNUMBER(D14)),IF(OR(D14&lt;=0,H14&lt;0),"n/m",H14/D14-1),"n/a")</f>
        <v>n/a</v>
      </c>
      <c r="I15" s="49" t="s">
        <v>37</v>
      </c>
      <c r="J15" s="1"/>
      <c r="K15" s="1"/>
    </row>
    <row r="16">
      <c r="A16" s="1"/>
      <c r="B16" s="51" t="s">
        <v>103</v>
      </c>
      <c r="C16" s="34" t="s">
        <v>37</v>
      </c>
      <c r="D16" s="26" t="str">
        <f>IF(AND(ISNUMBER(D14),ISNUMBER(C14)),D14-C14,"n/a")</f>
        <v>n/a</v>
      </c>
      <c r="E16" s="34" t="s">
        <v>37</v>
      </c>
      <c r="F16" s="34" t="s">
        <v>37</v>
      </c>
      <c r="G16" s="34" t="s">
        <v>37</v>
      </c>
      <c r="H16" s="26" t="str">
        <f>IF(AND(ISNUMBER(H14),ISNUMBER(G14)),H14-G14,"n/a")</f>
        <v>n/a</v>
      </c>
      <c r="I16" s="32" t="str">
        <f>IF(AND(ISNUMBER(I14),ISNUMBER(H14)),I14-H14,"n/a")</f>
        <v>n/a</v>
      </c>
      <c r="J16" s="1"/>
      <c r="K16" s="1"/>
    </row>
    <row r="17">
      <c r="A17" s="1"/>
      <c r="B17" s="12" t="s">
        <v>203</v>
      </c>
      <c r="C17" s="56" t="s">
        <v>37</v>
      </c>
      <c r="D17" s="56" t="s">
        <v>37</v>
      </c>
      <c r="E17" s="56" t="s">
        <v>37</v>
      </c>
      <c r="F17" s="56" t="s">
        <v>37</v>
      </c>
      <c r="G17" s="56" t="s">
        <v>37</v>
      </c>
      <c r="H17" s="56" t="s">
        <v>37</v>
      </c>
      <c r="I17" s="57">
        <v>3</v>
      </c>
      <c r="J17" s="11" t="s">
        <v>204</v>
      </c>
      <c r="K17" s="1"/>
    </row>
    <row r="18">
      <c r="A18" s="1"/>
      <c r="B18" s="18" t="s">
        <v>61</v>
      </c>
      <c r="C18" s="39" t="s">
        <v>37</v>
      </c>
      <c r="D18" s="39" t="s">
        <v>37</v>
      </c>
      <c r="E18" s="39" t="s">
        <v>37</v>
      </c>
      <c r="F18" s="39" t="s">
        <v>37</v>
      </c>
      <c r="G18" s="17" t="str">
        <f>IF(AND(ISNUMBER(G17),ISNUMBER(C17)),IF(OR(C17&lt;=0,G17&lt;0),"n/m",G17/C17-1),"n/a")</f>
        <v>n/a</v>
      </c>
      <c r="H18" s="17" t="str">
        <f>IF(AND(ISNUMBER(H17),ISNUMBER(D17)),IF(OR(D17&lt;=0,H17&lt;0),"n/m",H17/D17-1),"n/a")</f>
        <v>n/a</v>
      </c>
      <c r="I18" s="49" t="s">
        <v>37</v>
      </c>
      <c r="J18" s="1"/>
      <c r="K18" s="1"/>
    </row>
    <row r="19">
      <c r="A19" s="1"/>
      <c r="B19" s="51" t="s">
        <v>103</v>
      </c>
      <c r="C19" s="34" t="s">
        <v>37</v>
      </c>
      <c r="D19" s="26" t="str">
        <f>IF(AND(ISNUMBER(D17),ISNUMBER(C17)),D17-C17,"n/a")</f>
        <v>n/a</v>
      </c>
      <c r="E19" s="34" t="s">
        <v>37</v>
      </c>
      <c r="F19" s="34" t="s">
        <v>37</v>
      </c>
      <c r="G19" s="34" t="s">
        <v>37</v>
      </c>
      <c r="H19" s="26" t="str">
        <f>IF(AND(ISNUMBER(H17),ISNUMBER(G17)),H17-G17,"n/a")</f>
        <v>n/a</v>
      </c>
      <c r="I19" s="32" t="str">
        <f>IF(AND(ISNUMBER(I17),ISNUMBER(H17)),I17-H17,"n/a")</f>
        <v>n/a</v>
      </c>
      <c r="J19" s="1"/>
      <c r="K19" s="1"/>
    </row>
    <row r="20">
      <c r="A20" s="1"/>
      <c r="B20" s="12" t="s">
        <v>205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22">
        <f>ROUND('Revenue summary'!H82*'Revenue summary'!H30,0)</f>
        <v>1524</v>
      </c>
      <c r="I20" s="32">
        <f>I14*I17</f>
        <v>3750</v>
      </c>
      <c r="J20" s="11" t="s">
        <v>206</v>
      </c>
      <c r="K20" s="1"/>
    </row>
    <row r="21">
      <c r="A21" s="1"/>
      <c r="B21" s="18" t="s">
        <v>61</v>
      </c>
      <c r="C21" s="39" t="s">
        <v>37</v>
      </c>
      <c r="D21" s="39" t="s">
        <v>37</v>
      </c>
      <c r="E21" s="39" t="s">
        <v>37</v>
      </c>
      <c r="F21" s="39" t="s">
        <v>37</v>
      </c>
      <c r="G21" s="17" t="str">
        <f>IF(AND(ISNUMBER(G20),ISNUMBER(C20)),IF(OR(C20&lt;=0,G20&lt;0),"n/m",G20/C20-1),"n/a")</f>
        <v>n/m</v>
      </c>
      <c r="H21" s="17" t="str">
        <f>IF(AND(ISNUMBER(H20),ISNUMBER(D20)),IF(OR(D20&lt;=0,H20&lt;0),"n/m",H20/D20-1),"n/a")</f>
        <v>n/m</v>
      </c>
      <c r="I21" s="49" t="s">
        <v>37</v>
      </c>
      <c r="J21" s="1"/>
      <c r="K21" s="1"/>
    </row>
    <row r="22">
      <c r="A22" s="1"/>
      <c r="B22" s="51" t="s">
        <v>72</v>
      </c>
      <c r="C22" s="34" t="s">
        <v>37</v>
      </c>
      <c r="D22" s="26">
        <f>IF(AND(ISNUMBER(D20),ISNUMBER(C20)),D20-C20,"n/a")</f>
        <v>0</v>
      </c>
      <c r="E22" s="34" t="s">
        <v>37</v>
      </c>
      <c r="F22" s="34" t="s">
        <v>37</v>
      </c>
      <c r="G22" s="34" t="s">
        <v>37</v>
      </c>
      <c r="H22" s="26">
        <f>IF(AND(ISNUMBER(H20),ISNUMBER(G20)),H20-G20,"n/a")</f>
        <v>1524</v>
      </c>
      <c r="I22" s="32">
        <f>IF(AND(ISNUMBER(I20),ISNUMBER(H20)),I20-H20,"n/a")</f>
        <v>2226</v>
      </c>
      <c r="J22" s="1"/>
      <c r="K22" s="1"/>
    </row>
    <row r="23">
      <c r="A23" s="1"/>
      <c r="B23" s="18" t="s">
        <v>62</v>
      </c>
      <c r="C23" s="39" t="s">
        <v>37</v>
      </c>
      <c r="D23" s="17" t="str">
        <f>IF(AND(ISNUMBER(D20),ISNUMBER(C20)),IF(OR(C20&lt;=0,D20&lt;0),"n/m",D20/C20-1),"n/a")</f>
        <v>n/m</v>
      </c>
      <c r="E23" s="39" t="s">
        <v>37</v>
      </c>
      <c r="F23" s="39" t="s">
        <v>37</v>
      </c>
      <c r="G23" s="39" t="s">
        <v>37</v>
      </c>
      <c r="H23" s="17" t="str">
        <f>IF(AND(ISNUMBER(H20),ISNUMBER(G20)),IF(OR(G20&lt;=0,H20&lt;0),"n/m",H20/G20-1),"n/a")</f>
        <v>n/m</v>
      </c>
      <c r="I23" s="55">
        <f>IF(AND(ISNUMBER(I20),ISNUMBER(H20)),IF(OR(H20&lt;=0,I20&lt;0),"n/m",I20/H20-1),"n/a")</f>
        <v>1.4606299212598426</v>
      </c>
      <c r="J23" s="1"/>
      <c r="K23" s="1"/>
    </row>
    <row r="24">
      <c r="A24" s="1"/>
      <c r="B24" s="18" t="s">
        <v>64</v>
      </c>
      <c r="C24" s="39" t="s">
        <v>37</v>
      </c>
      <c r="D24" s="39" t="s">
        <v>37</v>
      </c>
      <c r="E24" s="39" t="s">
        <v>37</v>
      </c>
      <c r="F24" s="39" t="s">
        <v>37</v>
      </c>
      <c r="G24" s="39">
        <v>0</v>
      </c>
      <c r="H24" s="39">
        <v>0</v>
      </c>
      <c r="I24" s="49" t="s">
        <v>37</v>
      </c>
      <c r="J24" s="11" t="s">
        <v>65</v>
      </c>
      <c r="K24" s="1"/>
    </row>
    <row r="25">
      <c r="A25" s="1"/>
      <c r="B25" s="18" t="s">
        <v>66</v>
      </c>
      <c r="C25" s="39" t="s">
        <v>37</v>
      </c>
      <c r="D25" s="39" t="s">
        <v>37</v>
      </c>
      <c r="E25" s="39" t="s">
        <v>37</v>
      </c>
      <c r="F25" s="39" t="s">
        <v>37</v>
      </c>
      <c r="G25" s="39" t="s">
        <v>37</v>
      </c>
      <c r="H25" s="39" t="s">
        <v>37</v>
      </c>
      <c r="I25" s="49" t="s">
        <v>37</v>
      </c>
      <c r="J25" s="1"/>
      <c r="K25" s="1"/>
    </row>
    <row r="26">
      <c r="A26" s="1"/>
      <c r="B26" s="18" t="s">
        <v>67</v>
      </c>
      <c r="C26" s="17" t="str">
        <f>IF(AND(ISNUMBER(C21),ISNUMBER(C24),ISNUMBER(C25)),(1+C21)/((1+C24)*(1+C25))-1,"n/a")</f>
        <v>n/a</v>
      </c>
      <c r="D26" s="17" t="str">
        <f>IF(AND(ISNUMBER(D21),ISNUMBER(D24),ISNUMBER(D25)),(1+D21)/((1+D24)*(1+D25))-1,"n/a")</f>
        <v>n/a</v>
      </c>
      <c r="E26" s="17" t="str">
        <f>IF(AND(ISNUMBER(E21),ISNUMBER(E24),ISNUMBER(E25)),(1+E21)/((1+E24)*(1+E25))-1,"n/a")</f>
        <v>n/a</v>
      </c>
      <c r="F26" s="17" t="str">
        <f>IF(AND(ISNUMBER(F21),ISNUMBER(F24),ISNUMBER(F25)),(1+F21)/((1+F24)*(1+F25))-1,"n/a")</f>
        <v>n/a</v>
      </c>
      <c r="G26" s="17" t="str">
        <f>IF(AND(ISNUMBER(G21),ISNUMBER(G24),ISNUMBER(G25)),(1+G21)/((1+G24)*(1+G25))-1,"n/a")</f>
        <v>n/a</v>
      </c>
      <c r="H26" s="17" t="str">
        <f>IF(AND(ISNUMBER(H21),ISNUMBER(H24),ISNUMBER(H25)),(1+H21)/((1+H24)*(1+H25))-1,"n/a")</f>
        <v>n/a</v>
      </c>
      <c r="I26" s="55" t="str">
        <f>IF(AND(ISNUMBER(I21),ISNUMBER(I24),ISNUMBER(I25)),(1+I21)/((1+I24)*(1+I25))-1,"n/a")</f>
        <v>n/a</v>
      </c>
      <c r="J26" s="11" t="s">
        <v>68</v>
      </c>
      <c r="K26" s="1"/>
    </row>
    <row r="27">
      <c r="A27" s="1"/>
      <c r="B27" s="12" t="s">
        <v>207</v>
      </c>
      <c r="C27" s="34" t="s">
        <v>37</v>
      </c>
      <c r="D27" s="34" t="s">
        <v>37</v>
      </c>
      <c r="E27" s="34" t="s">
        <v>37</v>
      </c>
      <c r="F27" s="34" t="s">
        <v>37</v>
      </c>
      <c r="G27" s="34" t="s">
        <v>37</v>
      </c>
      <c r="H27" s="34" t="s">
        <v>37</v>
      </c>
      <c r="I27" s="52">
        <v>920</v>
      </c>
      <c r="J27" s="11" t="s">
        <v>208</v>
      </c>
      <c r="K27" s="1"/>
    </row>
    <row r="28">
      <c r="A28" s="1"/>
      <c r="B28" s="18" t="s">
        <v>61</v>
      </c>
      <c r="C28" s="39" t="s">
        <v>37</v>
      </c>
      <c r="D28" s="39" t="s">
        <v>37</v>
      </c>
      <c r="E28" s="39" t="s">
        <v>37</v>
      </c>
      <c r="F28" s="39" t="s">
        <v>37</v>
      </c>
      <c r="G28" s="17" t="str">
        <f>IF(AND(ISNUMBER(G27),ISNUMBER(C27)),IF(OR(C27&lt;=0,G27&lt;0),"n/m",G27/C27-1),"n/a")</f>
        <v>n/a</v>
      </c>
      <c r="H28" s="17" t="str">
        <f>IF(AND(ISNUMBER(H27),ISNUMBER(D27)),IF(OR(D27&lt;=0,H27&lt;0),"n/m",H27/D27-1),"n/a")</f>
        <v>n/a</v>
      </c>
      <c r="I28" s="49" t="s">
        <v>37</v>
      </c>
      <c r="J28" s="1"/>
      <c r="K28" s="1"/>
    </row>
    <row r="29">
      <c r="A29" s="1"/>
      <c r="B29" s="51" t="s">
        <v>103</v>
      </c>
      <c r="C29" s="34" t="s">
        <v>37</v>
      </c>
      <c r="D29" s="26" t="str">
        <f>IF(AND(ISNUMBER(D27),ISNUMBER(C27)),D27-C27,"n/a")</f>
        <v>n/a</v>
      </c>
      <c r="E29" s="34" t="s">
        <v>37</v>
      </c>
      <c r="F29" s="34" t="s">
        <v>37</v>
      </c>
      <c r="G29" s="34" t="s">
        <v>37</v>
      </c>
      <c r="H29" s="26" t="str">
        <f>IF(AND(ISNUMBER(H27),ISNUMBER(G27)),H27-G27,"n/a")</f>
        <v>n/a</v>
      </c>
      <c r="I29" s="32" t="str">
        <f>IF(AND(ISNUMBER(I27),ISNUMBER(H27)),I27-H27,"n/a")</f>
        <v>n/a</v>
      </c>
      <c r="J29" s="1"/>
      <c r="K29" s="1"/>
    </row>
    <row r="30">
      <c r="A30" s="1"/>
      <c r="B30" s="18" t="s">
        <v>209</v>
      </c>
      <c r="C30" s="39" t="s">
        <v>37</v>
      </c>
      <c r="D30" s="39" t="s">
        <v>37</v>
      </c>
      <c r="E30" s="39" t="s">
        <v>37</v>
      </c>
      <c r="F30" s="39" t="s">
        <v>37</v>
      </c>
      <c r="G30" s="39" t="s">
        <v>37</v>
      </c>
      <c r="H30" s="39" t="s">
        <v>37</v>
      </c>
      <c r="I30" s="49">
        <v>0.36</v>
      </c>
      <c r="J30" s="11" t="s">
        <v>210</v>
      </c>
      <c r="K30" s="1"/>
    </row>
    <row r="31">
      <c r="A31" s="1"/>
      <c r="B31" s="18" t="s">
        <v>98</v>
      </c>
      <c r="C31" s="37" t="s">
        <v>37</v>
      </c>
      <c r="D31" s="37" t="s">
        <v>37</v>
      </c>
      <c r="E31" s="37" t="s">
        <v>37</v>
      </c>
      <c r="F31" s="37" t="s">
        <v>37</v>
      </c>
      <c r="G31" s="43" t="str">
        <f>IF(AND(ISNUMBER(G30),ISNUMBER(C30)),(G30-C30)*10000,"n/a")</f>
        <v>n/a</v>
      </c>
      <c r="H31" s="43" t="str">
        <f>IF(AND(ISNUMBER(H30),ISNUMBER(D30)),(H30-D30)*10000,"n/a")</f>
        <v>n/a</v>
      </c>
      <c r="I31" s="54" t="s">
        <v>37</v>
      </c>
      <c r="J31" s="1"/>
      <c r="K31" s="1"/>
    </row>
    <row r="32">
      <c r="A32" s="1"/>
      <c r="B32" s="18" t="s">
        <v>99</v>
      </c>
      <c r="C32" s="37" t="s">
        <v>37</v>
      </c>
      <c r="D32" s="43" t="str">
        <f>IF(AND(ISNUMBER(D30),ISNUMBER(C30)),(D30-C30)*10000,"n/a")</f>
        <v>n/a</v>
      </c>
      <c r="E32" s="37" t="s">
        <v>37</v>
      </c>
      <c r="F32" s="37" t="s">
        <v>37</v>
      </c>
      <c r="G32" s="37" t="s">
        <v>37</v>
      </c>
      <c r="H32" s="43" t="str">
        <f>IF(AND(ISNUMBER(H30),ISNUMBER(G30)),(H30-G30)*10000,"n/a")</f>
        <v>n/a</v>
      </c>
      <c r="I32" s="50" t="str">
        <f>IF(AND(ISNUMBER(I30),ISNUMBER(H30)),(I30-H30)*10000,"n/a")</f>
        <v>n/a</v>
      </c>
      <c r="J32" s="1"/>
      <c r="K32" s="1"/>
    </row>
    <row r="33">
      <c r="A33" s="1"/>
      <c r="B33" s="12" t="s">
        <v>211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26">
        <f>H50-H20</f>
        <v>76</v>
      </c>
      <c r="I33" s="32">
        <f>I27*I30*I17</f>
        <v>993.5999999999999</v>
      </c>
      <c r="J33" s="11" t="s">
        <v>212</v>
      </c>
      <c r="K33" s="1"/>
    </row>
    <row r="34">
      <c r="A34" s="1"/>
      <c r="B34" s="18" t="s">
        <v>61</v>
      </c>
      <c r="C34" s="39" t="s">
        <v>37</v>
      </c>
      <c r="D34" s="39" t="s">
        <v>37</v>
      </c>
      <c r="E34" s="39" t="s">
        <v>37</v>
      </c>
      <c r="F34" s="39" t="s">
        <v>37</v>
      </c>
      <c r="G34" s="17" t="str">
        <f>IF(AND(ISNUMBER(G33),ISNUMBER(C33)),IF(OR(C33&lt;=0,G33&lt;0),"n/m",G33/C33-1),"n/a")</f>
        <v>n/m</v>
      </c>
      <c r="H34" s="17" t="str">
        <f>IF(AND(ISNUMBER(H33),ISNUMBER(D33)),IF(OR(D33&lt;=0,H33&lt;0),"n/m",H33/D33-1),"n/a")</f>
        <v>n/m</v>
      </c>
      <c r="I34" s="49" t="s">
        <v>37</v>
      </c>
      <c r="J34" s="1"/>
      <c r="K34" s="1"/>
    </row>
    <row r="35">
      <c r="A35" s="1"/>
      <c r="B35" s="51" t="s">
        <v>72</v>
      </c>
      <c r="C35" s="34" t="s">
        <v>37</v>
      </c>
      <c r="D35" s="26">
        <f>IF(AND(ISNUMBER(D33),ISNUMBER(C33)),D33-C33,"n/a")</f>
        <v>0</v>
      </c>
      <c r="E35" s="34" t="s">
        <v>37</v>
      </c>
      <c r="F35" s="34" t="s">
        <v>37</v>
      </c>
      <c r="G35" s="34" t="s">
        <v>37</v>
      </c>
      <c r="H35" s="26">
        <f>IF(AND(ISNUMBER(H33),ISNUMBER(G33)),H33-G33,"n/a")</f>
        <v>76</v>
      </c>
      <c r="I35" s="32">
        <f>IF(AND(ISNUMBER(I33),ISNUMBER(H33)),I33-H33,"n/a")</f>
        <v>917.5999999999999</v>
      </c>
      <c r="J35" s="1"/>
      <c r="K35" s="1"/>
    </row>
    <row r="36">
      <c r="A36" s="1"/>
      <c r="B36" s="18" t="s">
        <v>62</v>
      </c>
      <c r="C36" s="39" t="s">
        <v>37</v>
      </c>
      <c r="D36" s="17" t="str">
        <f>IF(AND(ISNUMBER(D33),ISNUMBER(C33)),IF(OR(C33&lt;=0,D33&lt;0),"n/m",D33/C33-1),"n/a")</f>
        <v>n/m</v>
      </c>
      <c r="E36" s="39" t="s">
        <v>37</v>
      </c>
      <c r="F36" s="39" t="s">
        <v>37</v>
      </c>
      <c r="G36" s="39" t="s">
        <v>37</v>
      </c>
      <c r="H36" s="17" t="str">
        <f>IF(AND(ISNUMBER(H33),ISNUMBER(G33)),IF(OR(G33&lt;=0,H33&lt;0),"n/m",H33/G33-1),"n/a")</f>
        <v>n/m</v>
      </c>
      <c r="I36" s="55">
        <f>IF(AND(ISNUMBER(I33),ISNUMBER(H33)),IF(OR(H33&lt;=0,I33&lt;0),"n/m",I33/H33-1),"n/a")</f>
        <v>12.073684210526315</v>
      </c>
      <c r="J36" s="1"/>
      <c r="K36" s="1"/>
    </row>
    <row r="37">
      <c r="A37" s="1"/>
      <c r="B37" s="18" t="s">
        <v>64</v>
      </c>
      <c r="C37" s="39" t="s">
        <v>37</v>
      </c>
      <c r="D37" s="39" t="s">
        <v>37</v>
      </c>
      <c r="E37" s="39" t="s">
        <v>37</v>
      </c>
      <c r="F37" s="39" t="s">
        <v>37</v>
      </c>
      <c r="G37" s="39">
        <v>0</v>
      </c>
      <c r="H37" s="39">
        <v>0</v>
      </c>
      <c r="I37" s="49" t="s">
        <v>37</v>
      </c>
      <c r="J37" s="11" t="s">
        <v>65</v>
      </c>
      <c r="K37" s="1"/>
    </row>
    <row r="38">
      <c r="A38" s="1"/>
      <c r="B38" s="18" t="s">
        <v>66</v>
      </c>
      <c r="C38" s="39" t="s">
        <v>37</v>
      </c>
      <c r="D38" s="39" t="s">
        <v>37</v>
      </c>
      <c r="E38" s="39" t="s">
        <v>37</v>
      </c>
      <c r="F38" s="39" t="s">
        <v>37</v>
      </c>
      <c r="G38" s="39" t="s">
        <v>37</v>
      </c>
      <c r="H38" s="39" t="s">
        <v>37</v>
      </c>
      <c r="I38" s="49" t="s">
        <v>37</v>
      </c>
      <c r="J38" s="1"/>
      <c r="K38" s="1"/>
    </row>
    <row r="39">
      <c r="A39" s="1"/>
      <c r="B39" s="18" t="s">
        <v>67</v>
      </c>
      <c r="C39" s="17" t="str">
        <f>IF(AND(ISNUMBER(C34),ISNUMBER(C37),ISNUMBER(C38)),(1+C34)/((1+C37)*(1+C38))-1,"n/a")</f>
        <v>n/a</v>
      </c>
      <c r="D39" s="17" t="str">
        <f>IF(AND(ISNUMBER(D34),ISNUMBER(D37),ISNUMBER(D38)),(1+D34)/((1+D37)*(1+D38))-1,"n/a")</f>
        <v>n/a</v>
      </c>
      <c r="E39" s="17" t="str">
        <f>IF(AND(ISNUMBER(E34),ISNUMBER(E37),ISNUMBER(E38)),(1+E34)/((1+E37)*(1+E38))-1,"n/a")</f>
        <v>n/a</v>
      </c>
      <c r="F39" s="17" t="str">
        <f>IF(AND(ISNUMBER(F34),ISNUMBER(F37),ISNUMBER(F38)),(1+F34)/((1+F37)*(1+F38))-1,"n/a")</f>
        <v>n/a</v>
      </c>
      <c r="G39" s="17" t="str">
        <f>IF(AND(ISNUMBER(G34),ISNUMBER(G37),ISNUMBER(G38)),(1+G34)/((1+G37)*(1+G38))-1,"n/a")</f>
        <v>n/a</v>
      </c>
      <c r="H39" s="17" t="str">
        <f>IF(AND(ISNUMBER(H34),ISNUMBER(H37),ISNUMBER(H38)),(1+H34)/((1+H37)*(1+H38))-1,"n/a")</f>
        <v>n/a</v>
      </c>
      <c r="I39" s="55" t="str">
        <f>IF(AND(ISNUMBER(I34),ISNUMBER(I37),ISNUMBER(I38)),(1+I34)/((1+I37)*(1+I38))-1,"n/a")</f>
        <v>n/a</v>
      </c>
      <c r="J39" s="11" t="s">
        <v>68</v>
      </c>
      <c r="K39" s="1"/>
    </row>
    <row r="40">
      <c r="A40" s="1"/>
      <c r="B40" s="12" t="s">
        <v>213</v>
      </c>
      <c r="C40" s="34" t="s">
        <v>37</v>
      </c>
      <c r="D40" s="34" t="s">
        <v>37</v>
      </c>
      <c r="E40" s="34" t="s">
        <v>37</v>
      </c>
      <c r="F40" s="34" t="s">
        <v>37</v>
      </c>
      <c r="G40" s="34" t="s">
        <v>37</v>
      </c>
      <c r="H40" s="34" t="s">
        <v>37</v>
      </c>
      <c r="I40" s="52">
        <v>150</v>
      </c>
      <c r="J40" s="11" t="s">
        <v>214</v>
      </c>
      <c r="K40" s="1"/>
    </row>
    <row r="41">
      <c r="A41" s="1"/>
      <c r="B41" s="18" t="s">
        <v>61</v>
      </c>
      <c r="C41" s="39" t="s">
        <v>37</v>
      </c>
      <c r="D41" s="39" t="s">
        <v>37</v>
      </c>
      <c r="E41" s="39" t="s">
        <v>37</v>
      </c>
      <c r="F41" s="39" t="s">
        <v>37</v>
      </c>
      <c r="G41" s="17" t="str">
        <f>IF(AND(ISNUMBER(G40),ISNUMBER(C40)),IF(OR(C40&lt;=0,G40&lt;0),"n/m",G40/C40-1),"n/a")</f>
        <v>n/a</v>
      </c>
      <c r="H41" s="17" t="str">
        <f>IF(AND(ISNUMBER(H40),ISNUMBER(D40)),IF(OR(D40&lt;=0,H40&lt;0),"n/m",H40/D40-1),"n/a")</f>
        <v>n/a</v>
      </c>
      <c r="I41" s="49" t="s">
        <v>37</v>
      </c>
      <c r="J41" s="1"/>
      <c r="K41" s="1"/>
    </row>
    <row r="42">
      <c r="A42" s="1"/>
      <c r="B42" s="51" t="s">
        <v>103</v>
      </c>
      <c r="C42" s="34" t="s">
        <v>37</v>
      </c>
      <c r="D42" s="26" t="str">
        <f>IF(AND(ISNUMBER(D40),ISNUMBER(C40)),D40-C40,"n/a")</f>
        <v>n/a</v>
      </c>
      <c r="E42" s="34" t="s">
        <v>37</v>
      </c>
      <c r="F42" s="34" t="s">
        <v>37</v>
      </c>
      <c r="G42" s="34" t="s">
        <v>37</v>
      </c>
      <c r="H42" s="26" t="str">
        <f>IF(AND(ISNUMBER(H40),ISNUMBER(G40)),H40-G40,"n/a")</f>
        <v>n/a</v>
      </c>
      <c r="I42" s="32" t="str">
        <f>IF(AND(ISNUMBER(I40),ISNUMBER(H40)),I40-H40,"n/a")</f>
        <v>n/a</v>
      </c>
      <c r="J42" s="1"/>
      <c r="K42" s="1"/>
    </row>
    <row r="43">
      <c r="A43" s="1"/>
      <c r="B43" s="12" t="s">
        <v>215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2">
        <f>I40*I17</f>
        <v>450</v>
      </c>
      <c r="J43" s="11" t="s">
        <v>216</v>
      </c>
      <c r="K43" s="1"/>
    </row>
    <row r="44">
      <c r="A44" s="1"/>
      <c r="B44" s="18" t="s">
        <v>61</v>
      </c>
      <c r="C44" s="39" t="s">
        <v>37</v>
      </c>
      <c r="D44" s="39" t="s">
        <v>37</v>
      </c>
      <c r="E44" s="39" t="s">
        <v>37</v>
      </c>
      <c r="F44" s="39" t="s">
        <v>37</v>
      </c>
      <c r="G44" s="17" t="str">
        <f>IF(AND(ISNUMBER(G43),ISNUMBER(C43)),IF(OR(C43&lt;=0,G43&lt;0),"n/m",G43/C43-1),"n/a")</f>
        <v>n/m</v>
      </c>
      <c r="H44" s="17" t="str">
        <f>IF(AND(ISNUMBER(H43),ISNUMBER(D43)),IF(OR(D43&lt;=0,H43&lt;0),"n/m",H43/D43-1),"n/a")</f>
        <v>n/m</v>
      </c>
      <c r="I44" s="49" t="s">
        <v>37</v>
      </c>
      <c r="J44" s="1"/>
      <c r="K44" s="1"/>
    </row>
    <row r="45">
      <c r="A45" s="1"/>
      <c r="B45" s="51" t="s">
        <v>72</v>
      </c>
      <c r="C45" s="34" t="s">
        <v>37</v>
      </c>
      <c r="D45" s="26">
        <f>IF(AND(ISNUMBER(D43),ISNUMBER(C43)),D43-C43,"n/a")</f>
        <v>0</v>
      </c>
      <c r="E45" s="34" t="s">
        <v>37</v>
      </c>
      <c r="F45" s="34" t="s">
        <v>37</v>
      </c>
      <c r="G45" s="34" t="s">
        <v>37</v>
      </c>
      <c r="H45" s="26">
        <f>IF(AND(ISNUMBER(H43),ISNUMBER(G43)),H43-G43,"n/a")</f>
        <v>0</v>
      </c>
      <c r="I45" s="32">
        <f>IF(AND(ISNUMBER(I43),ISNUMBER(H43)),I43-H43,"n/a")</f>
        <v>450</v>
      </c>
      <c r="J45" s="1"/>
      <c r="K45" s="1"/>
    </row>
    <row r="46">
      <c r="A46" s="1"/>
      <c r="B46" s="18" t="s">
        <v>62</v>
      </c>
      <c r="C46" s="39" t="s">
        <v>37</v>
      </c>
      <c r="D46" s="17" t="str">
        <f>IF(AND(ISNUMBER(D43),ISNUMBER(C43)),IF(OR(C43&lt;=0,D43&lt;0),"n/m",D43/C43-1),"n/a")</f>
        <v>n/m</v>
      </c>
      <c r="E46" s="39" t="s">
        <v>37</v>
      </c>
      <c r="F46" s="39" t="s">
        <v>37</v>
      </c>
      <c r="G46" s="39" t="s">
        <v>37</v>
      </c>
      <c r="H46" s="17" t="str">
        <f>IF(AND(ISNUMBER(H43),ISNUMBER(G43)),IF(OR(G43&lt;=0,H43&lt;0),"n/m",H43/G43-1),"n/a")</f>
        <v>n/m</v>
      </c>
      <c r="I46" s="55" t="str">
        <f>IF(AND(ISNUMBER(I43),ISNUMBER(H43)),IF(OR(H43&lt;=0,I43&lt;0),"n/m",I43/H43-1),"n/a")</f>
        <v>n/m</v>
      </c>
      <c r="J46" s="1"/>
      <c r="K46" s="1"/>
    </row>
    <row r="47">
      <c r="A47" s="1"/>
      <c r="B47" s="18" t="s">
        <v>64</v>
      </c>
      <c r="C47" s="39" t="s">
        <v>37</v>
      </c>
      <c r="D47" s="39" t="s">
        <v>37</v>
      </c>
      <c r="E47" s="39" t="s">
        <v>37</v>
      </c>
      <c r="F47" s="39" t="s">
        <v>37</v>
      </c>
      <c r="G47" s="39">
        <v>0</v>
      </c>
      <c r="H47" s="39">
        <v>0</v>
      </c>
      <c r="I47" s="49" t="s">
        <v>37</v>
      </c>
      <c r="J47" s="11" t="s">
        <v>65</v>
      </c>
      <c r="K47" s="1"/>
    </row>
    <row r="48">
      <c r="A48" s="1"/>
      <c r="B48" s="18" t="s">
        <v>66</v>
      </c>
      <c r="C48" s="39" t="s">
        <v>37</v>
      </c>
      <c r="D48" s="39" t="s">
        <v>37</v>
      </c>
      <c r="E48" s="39" t="s">
        <v>37</v>
      </c>
      <c r="F48" s="39" t="s">
        <v>37</v>
      </c>
      <c r="G48" s="39" t="s">
        <v>37</v>
      </c>
      <c r="H48" s="39" t="s">
        <v>37</v>
      </c>
      <c r="I48" s="49" t="s">
        <v>37</v>
      </c>
      <c r="J48" s="1"/>
      <c r="K48" s="1"/>
    </row>
    <row r="49">
      <c r="A49" s="1"/>
      <c r="B49" s="18" t="s">
        <v>67</v>
      </c>
      <c r="C49" s="17" t="str">
        <f>IF(AND(ISNUMBER(C44),ISNUMBER(C47),ISNUMBER(C48)),(1+C44)/((1+C47)*(1+C48))-1,"n/a")</f>
        <v>n/a</v>
      </c>
      <c r="D49" s="17" t="str">
        <f>IF(AND(ISNUMBER(D44),ISNUMBER(D47),ISNUMBER(D48)),(1+D44)/((1+D47)*(1+D48))-1,"n/a")</f>
        <v>n/a</v>
      </c>
      <c r="E49" s="17" t="str">
        <f>IF(AND(ISNUMBER(E44),ISNUMBER(E47),ISNUMBER(E48)),(1+E44)/((1+E47)*(1+E48))-1,"n/a")</f>
        <v>n/a</v>
      </c>
      <c r="F49" s="17" t="str">
        <f>IF(AND(ISNUMBER(F44),ISNUMBER(F47),ISNUMBER(F48)),(1+F44)/((1+F47)*(1+F48))-1,"n/a")</f>
        <v>n/a</v>
      </c>
      <c r="G49" s="17" t="str">
        <f>IF(AND(ISNUMBER(G44),ISNUMBER(G47),ISNUMBER(G48)),(1+G44)/((1+G47)*(1+G48))-1,"n/a")</f>
        <v>n/a</v>
      </c>
      <c r="H49" s="17" t="str">
        <f>IF(AND(ISNUMBER(H44),ISNUMBER(H47),ISNUMBER(H48)),(1+H44)/((1+H47)*(1+H48))-1,"n/a")</f>
        <v>n/a</v>
      </c>
      <c r="I49" s="55" t="str">
        <f>IF(AND(ISNUMBER(I44),ISNUMBER(I47),ISNUMBER(I48)),(1+I44)/((1+I47)*(1+I48))-1,"n/a")</f>
        <v>n/a</v>
      </c>
      <c r="J49" s="11" t="s">
        <v>68</v>
      </c>
      <c r="K49" s="1"/>
    </row>
    <row r="50">
      <c r="A50" s="1"/>
      <c r="B50" s="29" t="s">
        <v>217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1600</v>
      </c>
      <c r="I50" s="36">
        <f>I20+I33+I43</f>
        <v>5193.6</v>
      </c>
      <c r="J50" s="11" t="s">
        <v>218</v>
      </c>
      <c r="K50" s="1"/>
    </row>
    <row r="51">
      <c r="A51" s="1"/>
      <c r="B51" s="18" t="s">
        <v>61</v>
      </c>
      <c r="C51" s="39" t="s">
        <v>37</v>
      </c>
      <c r="D51" s="39" t="s">
        <v>37</v>
      </c>
      <c r="E51" s="39" t="s">
        <v>37</v>
      </c>
      <c r="F51" s="39" t="s">
        <v>37</v>
      </c>
      <c r="G51" s="17" t="str">
        <f>IF(AND(ISNUMBER(G50),ISNUMBER(C50)),IF(OR(C50&lt;=0,G50&lt;0),"n/m",G50/C50-1),"n/a")</f>
        <v>n/m</v>
      </c>
      <c r="H51" s="17" t="str">
        <f>IF(AND(ISNUMBER(H50),ISNUMBER(D50)),IF(OR(D50&lt;=0,H50&lt;0),"n/m",H50/D50-1),"n/a")</f>
        <v>n/m</v>
      </c>
      <c r="I51" s="49" t="s">
        <v>37</v>
      </c>
      <c r="J51" s="1"/>
      <c r="K51" s="1"/>
    </row>
    <row r="52">
      <c r="A52" s="1"/>
      <c r="B52" s="51" t="s">
        <v>72</v>
      </c>
      <c r="C52" s="34" t="s">
        <v>37</v>
      </c>
      <c r="D52" s="26">
        <f>IF(AND(ISNUMBER(D50),ISNUMBER(C50)),D50-C50,"n/a")</f>
        <v>0</v>
      </c>
      <c r="E52" s="34" t="s">
        <v>37</v>
      </c>
      <c r="F52" s="34" t="s">
        <v>37</v>
      </c>
      <c r="G52" s="34" t="s">
        <v>37</v>
      </c>
      <c r="H52" s="26">
        <f>IF(AND(ISNUMBER(H50),ISNUMBER(G50)),H50-G50,"n/a")</f>
        <v>1600</v>
      </c>
      <c r="I52" s="32">
        <f>IF(AND(ISNUMBER(I50),ISNUMBER(H50)),I50-H50,"n/a")</f>
        <v>3593.6000000000004</v>
      </c>
      <c r="J52" s="1"/>
      <c r="K52" s="1"/>
    </row>
    <row r="53">
      <c r="A53" s="1"/>
      <c r="B53" s="18" t="s">
        <v>62</v>
      </c>
      <c r="C53" s="39" t="s">
        <v>37</v>
      </c>
      <c r="D53" s="17" t="str">
        <f>IF(AND(ISNUMBER(D50),ISNUMBER(C50)),IF(OR(C50&lt;=0,D50&lt;0),"n/m",D50/C50-1),"n/a")</f>
        <v>n/m</v>
      </c>
      <c r="E53" s="39" t="s">
        <v>37</v>
      </c>
      <c r="F53" s="39" t="s">
        <v>37</v>
      </c>
      <c r="G53" s="39" t="s">
        <v>37</v>
      </c>
      <c r="H53" s="17" t="str">
        <f>IF(AND(ISNUMBER(H50),ISNUMBER(G50)),IF(OR(G50&lt;=0,H50&lt;0),"n/m",H50/G50-1),"n/a")</f>
        <v>n/m</v>
      </c>
      <c r="I53" s="55">
        <f>IF(AND(ISNUMBER(I50),ISNUMBER(H50)),IF(OR(H50&lt;=0,I50&lt;0),"n/m",I50/H50-1),"n/a")</f>
        <v>2.2460000000000004</v>
      </c>
      <c r="J53" s="1"/>
      <c r="K53" s="1"/>
    </row>
    <row r="54">
      <c r="A54" s="1"/>
      <c r="B54" s="18" t="s">
        <v>64</v>
      </c>
      <c r="C54" s="39" t="s">
        <v>37</v>
      </c>
      <c r="D54" s="39" t="s">
        <v>37</v>
      </c>
      <c r="E54" s="39" t="s">
        <v>37</v>
      </c>
      <c r="F54" s="39" t="s">
        <v>37</v>
      </c>
      <c r="G54" s="39">
        <v>0</v>
      </c>
      <c r="H54" s="39">
        <v>0</v>
      </c>
      <c r="I54" s="49" t="s">
        <v>37</v>
      </c>
      <c r="J54" s="11" t="s">
        <v>65</v>
      </c>
      <c r="K54" s="1"/>
    </row>
    <row r="55">
      <c r="A55" s="1"/>
      <c r="B55" s="18" t="s">
        <v>66</v>
      </c>
      <c r="C55" s="39" t="s">
        <v>37</v>
      </c>
      <c r="D55" s="39" t="s">
        <v>37</v>
      </c>
      <c r="E55" s="39" t="s">
        <v>37</v>
      </c>
      <c r="F55" s="39" t="s">
        <v>37</v>
      </c>
      <c r="G55" s="39" t="s">
        <v>37</v>
      </c>
      <c r="H55" s="39" t="s">
        <v>37</v>
      </c>
      <c r="I55" s="49" t="s">
        <v>37</v>
      </c>
      <c r="J55" s="1"/>
      <c r="K55" s="1"/>
    </row>
    <row r="56">
      <c r="A56" s="1"/>
      <c r="B56" s="18" t="s">
        <v>67</v>
      </c>
      <c r="C56" s="17" t="str">
        <f>IF(AND(ISNUMBER(C51),ISNUMBER(C54),ISNUMBER(C55)),(1+C51)/((1+C54)*(1+C55))-1,"n/a")</f>
        <v>n/a</v>
      </c>
      <c r="D56" s="17" t="str">
        <f>IF(AND(ISNUMBER(D51),ISNUMBER(D54),ISNUMBER(D55)),(1+D51)/((1+D54)*(1+D55))-1,"n/a")</f>
        <v>n/a</v>
      </c>
      <c r="E56" s="17" t="str">
        <f>IF(AND(ISNUMBER(E51),ISNUMBER(E54),ISNUMBER(E55)),(1+E51)/((1+E54)*(1+E55))-1,"n/a")</f>
        <v>n/a</v>
      </c>
      <c r="F56" s="17" t="str">
        <f>IF(AND(ISNUMBER(F51),ISNUMBER(F54),ISNUMBER(F55)),(1+F51)/((1+F54)*(1+F55))-1,"n/a")</f>
        <v>n/a</v>
      </c>
      <c r="G56" s="17" t="str">
        <f>IF(AND(ISNUMBER(G51),ISNUMBER(G54),ISNUMBER(G55)),(1+G51)/((1+G54)*(1+G55))-1,"n/a")</f>
        <v>n/a</v>
      </c>
      <c r="H56" s="17" t="str">
        <f>IF(AND(ISNUMBER(H51),ISNUMBER(H54),ISNUMBER(H55)),(1+H51)/((1+H54)*(1+H55))-1,"n/a")</f>
        <v>n/a</v>
      </c>
      <c r="I56" s="55" t="str">
        <f>IF(AND(ISNUMBER(I51),ISNUMBER(I54),ISNUMBER(I55)),(1+I51)/((1+I54)*(1+I55))-1,"n/a")</f>
        <v>n/a</v>
      </c>
      <c r="J56" s="11" t="s">
        <v>68</v>
      </c>
      <c r="K56" s="1"/>
    </row>
    <row r="57">
      <c r="A57" s="1"/>
      <c r="B57" s="18" t="s">
        <v>219</v>
      </c>
      <c r="C57" s="39" t="s">
        <v>37</v>
      </c>
      <c r="D57" s="39" t="s">
        <v>37</v>
      </c>
      <c r="E57" s="39" t="s">
        <v>37</v>
      </c>
      <c r="F57" s="39" t="s">
        <v>37</v>
      </c>
      <c r="G57" s="39" t="s">
        <v>37</v>
      </c>
      <c r="H57" s="39" t="s">
        <v>37</v>
      </c>
      <c r="I57" s="49">
        <v>0.18</v>
      </c>
      <c r="J57" s="11" t="s">
        <v>220</v>
      </c>
      <c r="K57" s="1"/>
    </row>
    <row r="58">
      <c r="A58" s="1"/>
      <c r="B58" s="18" t="s">
        <v>98</v>
      </c>
      <c r="C58" s="37" t="s">
        <v>37</v>
      </c>
      <c r="D58" s="37" t="s">
        <v>37</v>
      </c>
      <c r="E58" s="37" t="s">
        <v>37</v>
      </c>
      <c r="F58" s="37" t="s">
        <v>37</v>
      </c>
      <c r="G58" s="43" t="str">
        <f>IF(AND(ISNUMBER(G57),ISNUMBER(C57)),(G57-C57)*10000,"n/a")</f>
        <v>n/a</v>
      </c>
      <c r="H58" s="43" t="str">
        <f>IF(AND(ISNUMBER(H57),ISNUMBER(D57)),(H57-D57)*10000,"n/a")</f>
        <v>n/a</v>
      </c>
      <c r="I58" s="54" t="s">
        <v>37</v>
      </c>
      <c r="J58" s="1"/>
      <c r="K58" s="1"/>
    </row>
    <row r="59">
      <c r="A59" s="1"/>
      <c r="B59" s="18" t="s">
        <v>99</v>
      </c>
      <c r="C59" s="37" t="s">
        <v>37</v>
      </c>
      <c r="D59" s="43" t="str">
        <f>IF(AND(ISNUMBER(D57),ISNUMBER(C57)),(D57-C57)*10000,"n/a")</f>
        <v>n/a</v>
      </c>
      <c r="E59" s="37" t="s">
        <v>37</v>
      </c>
      <c r="F59" s="37" t="s">
        <v>37</v>
      </c>
      <c r="G59" s="37" t="s">
        <v>37</v>
      </c>
      <c r="H59" s="43" t="str">
        <f>IF(AND(ISNUMBER(H57),ISNUMBER(G57)),(H57-G57)*10000,"n/a")</f>
        <v>n/a</v>
      </c>
      <c r="I59" s="50" t="str">
        <f>IF(AND(ISNUMBER(I57),ISNUMBER(H57)),(I57-H57)*10000,"n/a")</f>
        <v>n/a</v>
      </c>
      <c r="J59" s="1"/>
      <c r="K59" s="1"/>
    </row>
    <row r="60">
      <c r="A60" s="1"/>
      <c r="B60" s="12" t="s">
        <v>84</v>
      </c>
      <c r="C60" s="26">
        <f>IF(COUNT(C80,C50)=2,C80-C50,"n/a")</f>
        <v>284</v>
      </c>
      <c r="D60" s="26">
        <f>IF(COUNT(D80,D50)=2,D80-D50,"n/a")</f>
        <v>311</v>
      </c>
      <c r="E60" s="26">
        <f>IF(COUNT(E80,E50)=2,E80-E50,"n/a")</f>
        <v>762</v>
      </c>
      <c r="F60" s="26">
        <f>IF(COUNT(F80,F50)=2,F80-F50,"n/a")</f>
        <v>1357</v>
      </c>
      <c r="G60" s="26">
        <f>IF(COUNT(G80,G50)=2,G80-G50,"n/a")</f>
        <v>475</v>
      </c>
      <c r="H60" s="26">
        <f>IF(COUNT(H80,H50)=2,H80-H50,"n/a")</f>
        <v>594</v>
      </c>
      <c r="I60" s="32">
        <f>H60*(1+I57)</f>
        <v>700.92</v>
      </c>
      <c r="J60" s="11" t="s">
        <v>221</v>
      </c>
      <c r="K60" s="1"/>
    </row>
    <row r="61">
      <c r="A61" s="1"/>
      <c r="B61" s="18" t="s">
        <v>61</v>
      </c>
      <c r="C61" s="39" t="s">
        <v>37</v>
      </c>
      <c r="D61" s="39" t="s">
        <v>37</v>
      </c>
      <c r="E61" s="39" t="s">
        <v>37</v>
      </c>
      <c r="F61" s="39" t="s">
        <v>37</v>
      </c>
      <c r="G61" s="17">
        <f>IF(AND(ISNUMBER(G60),ISNUMBER(C60)),IF(OR(C60&lt;=0,G60&lt;0),"n/m",G60/C60-1),"n/a")</f>
        <v>0.6725352112676057</v>
      </c>
      <c r="H61" s="17">
        <f>IF(AND(ISNUMBER(H60),ISNUMBER(D60)),IF(OR(D60&lt;=0,H60&lt;0),"n/m",H60/D60-1),"n/a")</f>
        <v>0.909967845659164</v>
      </c>
      <c r="I61" s="49" t="s">
        <v>37</v>
      </c>
      <c r="J61" s="1"/>
      <c r="K61" s="1"/>
    </row>
    <row r="62">
      <c r="A62" s="1"/>
      <c r="B62" s="51" t="s">
        <v>72</v>
      </c>
      <c r="C62" s="34" t="s">
        <v>37</v>
      </c>
      <c r="D62" s="26">
        <f>IF(AND(ISNUMBER(D60),ISNUMBER(C60)),D60-C60,"n/a")</f>
        <v>27</v>
      </c>
      <c r="E62" s="34" t="s">
        <v>37</v>
      </c>
      <c r="F62" s="34" t="s">
        <v>37</v>
      </c>
      <c r="G62" s="34" t="s">
        <v>37</v>
      </c>
      <c r="H62" s="26">
        <f>IF(AND(ISNUMBER(H60),ISNUMBER(G60)),H60-G60,"n/a")</f>
        <v>119</v>
      </c>
      <c r="I62" s="32">
        <f>IF(AND(ISNUMBER(I60),ISNUMBER(H60)),I60-H60,"n/a")</f>
        <v>106.91999999999996</v>
      </c>
      <c r="J62" s="1"/>
      <c r="K62" s="1"/>
    </row>
    <row r="63">
      <c r="A63" s="1"/>
      <c r="B63" s="18" t="s">
        <v>62</v>
      </c>
      <c r="C63" s="39" t="s">
        <v>37</v>
      </c>
      <c r="D63" s="17">
        <f>IF(AND(ISNUMBER(D60),ISNUMBER(C60)),IF(OR(C60&lt;=0,D60&lt;0),"n/m",D60/C60-1),"n/a")</f>
        <v>0.09507042253521125</v>
      </c>
      <c r="E63" s="39" t="s">
        <v>37</v>
      </c>
      <c r="F63" s="39" t="s">
        <v>37</v>
      </c>
      <c r="G63" s="39" t="s">
        <v>37</v>
      </c>
      <c r="H63" s="17">
        <f>IF(AND(ISNUMBER(H60),ISNUMBER(G60)),IF(OR(G60&lt;=0,H60&lt;0),"n/m",H60/G60-1),"n/a")</f>
        <v>0.2505263157894737</v>
      </c>
      <c r="I63" s="55">
        <f>IF(AND(ISNUMBER(I60),ISNUMBER(H60)),IF(OR(H60&lt;=0,I60&lt;0),"n/m",I60/H60-1),"n/a")</f>
        <v>0.17999999999999994</v>
      </c>
      <c r="J63" s="1"/>
      <c r="K63" s="1"/>
    </row>
    <row r="64">
      <c r="A64" s="1"/>
      <c r="B64" s="18" t="s">
        <v>64</v>
      </c>
      <c r="C64" s="39" t="s">
        <v>37</v>
      </c>
      <c r="D64" s="39" t="s">
        <v>37</v>
      </c>
      <c r="E64" s="39" t="s">
        <v>37</v>
      </c>
      <c r="F64" s="39" t="s">
        <v>37</v>
      </c>
      <c r="G64" s="39">
        <v>0</v>
      </c>
      <c r="H64" s="39">
        <v>0</v>
      </c>
      <c r="I64" s="49" t="s">
        <v>37</v>
      </c>
      <c r="J64" s="11" t="s">
        <v>65</v>
      </c>
      <c r="K64" s="1"/>
    </row>
    <row r="65">
      <c r="A65" s="1"/>
      <c r="B65" s="18" t="s">
        <v>66</v>
      </c>
      <c r="C65" s="39" t="s">
        <v>37</v>
      </c>
      <c r="D65" s="39" t="s">
        <v>37</v>
      </c>
      <c r="E65" s="39" t="s">
        <v>37</v>
      </c>
      <c r="F65" s="39" t="s">
        <v>37</v>
      </c>
      <c r="G65" s="39" t="s">
        <v>37</v>
      </c>
      <c r="H65" s="39" t="s">
        <v>37</v>
      </c>
      <c r="I65" s="49" t="s">
        <v>37</v>
      </c>
      <c r="J65" s="1"/>
      <c r="K65" s="1"/>
    </row>
    <row r="66">
      <c r="A66" s="1"/>
      <c r="B66" s="18" t="s">
        <v>67</v>
      </c>
      <c r="C66" s="17" t="str">
        <f>IF(AND(ISNUMBER(C61),ISNUMBER(C64),ISNUMBER(C65)),(1+C61)/((1+C64)*(1+C65))-1,"n/a")</f>
        <v>n/a</v>
      </c>
      <c r="D66" s="17" t="str">
        <f>IF(AND(ISNUMBER(D61),ISNUMBER(D64),ISNUMBER(D65)),(1+D61)/((1+D64)*(1+D65))-1,"n/a")</f>
        <v>n/a</v>
      </c>
      <c r="E66" s="17" t="str">
        <f>IF(AND(ISNUMBER(E61),ISNUMBER(E64),ISNUMBER(E65)),(1+E61)/((1+E64)*(1+E65))-1,"n/a")</f>
        <v>n/a</v>
      </c>
      <c r="F66" s="17" t="str">
        <f>IF(AND(ISNUMBER(F61),ISNUMBER(F64),ISNUMBER(F65)),(1+F61)/((1+F64)*(1+F65))-1,"n/a")</f>
        <v>n/a</v>
      </c>
      <c r="G66" s="17" t="str">
        <f>IF(AND(ISNUMBER(G61),ISNUMBER(G64),ISNUMBER(G65)),(1+G61)/((1+G64)*(1+G65))-1,"n/a")</f>
        <v>n/a</v>
      </c>
      <c r="H66" s="17" t="str">
        <f>IF(AND(ISNUMBER(H61),ISNUMBER(H64),ISNUMBER(H65)),(1+H61)/((1+H64)*(1+H65))-1,"n/a")</f>
        <v>n/a</v>
      </c>
      <c r="I66" s="55" t="str">
        <f>IF(AND(ISNUMBER(I61),ISNUMBER(I64),ISNUMBER(I65)),(1+I61)/((1+I64)*(1+I65))-1,"n/a")</f>
        <v>n/a</v>
      </c>
      <c r="J66" s="11" t="s">
        <v>68</v>
      </c>
      <c r="K66" s="1"/>
    </row>
    <row r="67">
      <c r="A67" s="1"/>
      <c r="B67" s="12" t="s">
        <v>222</v>
      </c>
      <c r="C67" s="34" t="s">
        <v>37</v>
      </c>
      <c r="D67" s="34" t="s">
        <v>37</v>
      </c>
      <c r="E67" s="34" t="s">
        <v>37</v>
      </c>
      <c r="F67" s="34" t="s">
        <v>37</v>
      </c>
      <c r="G67" s="34" t="s">
        <v>37</v>
      </c>
      <c r="H67" s="34" t="s">
        <v>37</v>
      </c>
      <c r="I67" s="52">
        <v>5000</v>
      </c>
      <c r="J67" s="11" t="s">
        <v>223</v>
      </c>
      <c r="K67" s="1"/>
    </row>
    <row r="68">
      <c r="A68" s="1"/>
      <c r="B68" s="18" t="s">
        <v>61</v>
      </c>
      <c r="C68" s="39" t="s">
        <v>37</v>
      </c>
      <c r="D68" s="39" t="s">
        <v>37</v>
      </c>
      <c r="E68" s="39" t="s">
        <v>37</v>
      </c>
      <c r="F68" s="39" t="s">
        <v>37</v>
      </c>
      <c r="G68" s="17" t="str">
        <f>IF(AND(ISNUMBER(G67),ISNUMBER(C67)),IF(OR(C67&lt;=0,G67&lt;0),"n/m",G67/C67-1),"n/a")</f>
        <v>n/a</v>
      </c>
      <c r="H68" s="17" t="str">
        <f>IF(AND(ISNUMBER(H67),ISNUMBER(D67)),IF(OR(D67&lt;=0,H67&lt;0),"n/m",H67/D67-1),"n/a")</f>
        <v>n/a</v>
      </c>
      <c r="I68" s="49" t="s">
        <v>37</v>
      </c>
      <c r="J68" s="1"/>
      <c r="K68" s="1"/>
    </row>
    <row r="69">
      <c r="A69" s="1"/>
      <c r="B69" s="51" t="s">
        <v>103</v>
      </c>
      <c r="C69" s="34" t="s">
        <v>37</v>
      </c>
      <c r="D69" s="26" t="str">
        <f>IF(AND(ISNUMBER(D67),ISNUMBER(C67)),D67-C67,"n/a")</f>
        <v>n/a</v>
      </c>
      <c r="E69" s="34" t="s">
        <v>37</v>
      </c>
      <c r="F69" s="34" t="s">
        <v>37</v>
      </c>
      <c r="G69" s="34" t="s">
        <v>37</v>
      </c>
      <c r="H69" s="26" t="str">
        <f>IF(AND(ISNUMBER(H67),ISNUMBER(G67)),H67-G67,"n/a")</f>
        <v>n/a</v>
      </c>
      <c r="I69" s="32" t="str">
        <f>IF(AND(ISNUMBER(I67),ISNUMBER(H67)),I67-H67,"n/a")</f>
        <v>n/a</v>
      </c>
      <c r="J69" s="1"/>
      <c r="K69" s="1"/>
    </row>
    <row r="70">
      <c r="A70" s="1"/>
      <c r="B70" s="12" t="s">
        <v>224</v>
      </c>
      <c r="C70" s="56" t="s">
        <v>37</v>
      </c>
      <c r="D70" s="56" t="s">
        <v>37</v>
      </c>
      <c r="E70" s="56" t="s">
        <v>37</v>
      </c>
      <c r="F70" s="56" t="s">
        <v>37</v>
      </c>
      <c r="G70" s="56" t="s">
        <v>37</v>
      </c>
      <c r="H70" s="56" t="s">
        <v>37</v>
      </c>
      <c r="I70" s="57">
        <v>48</v>
      </c>
      <c r="J70" s="11" t="s">
        <v>225</v>
      </c>
      <c r="K70" s="1"/>
    </row>
    <row r="71">
      <c r="A71" s="1"/>
      <c r="B71" s="18" t="s">
        <v>61</v>
      </c>
      <c r="C71" s="39" t="s">
        <v>37</v>
      </c>
      <c r="D71" s="39" t="s">
        <v>37</v>
      </c>
      <c r="E71" s="39" t="s">
        <v>37</v>
      </c>
      <c r="F71" s="39" t="s">
        <v>37</v>
      </c>
      <c r="G71" s="17" t="str">
        <f>IF(AND(ISNUMBER(G70),ISNUMBER(C70)),IF(OR(C70&lt;=0,G70&lt;0),"n/m",G70/C70-1),"n/a")</f>
        <v>n/a</v>
      </c>
      <c r="H71" s="17" t="str">
        <f>IF(AND(ISNUMBER(H70),ISNUMBER(D70)),IF(OR(D70&lt;=0,H70&lt;0),"n/m",H70/D70-1),"n/a")</f>
        <v>n/a</v>
      </c>
      <c r="I71" s="49" t="s">
        <v>37</v>
      </c>
      <c r="J71" s="1"/>
      <c r="K71" s="1"/>
    </row>
    <row r="72">
      <c r="A72" s="1"/>
      <c r="B72" s="51" t="s">
        <v>103</v>
      </c>
      <c r="C72" s="34" t="s">
        <v>37</v>
      </c>
      <c r="D72" s="26" t="str">
        <f>IF(AND(ISNUMBER(D70),ISNUMBER(C70)),D70-C70,"n/a")</f>
        <v>n/a</v>
      </c>
      <c r="E72" s="34" t="s">
        <v>37</v>
      </c>
      <c r="F72" s="34" t="s">
        <v>37</v>
      </c>
      <c r="G72" s="34" t="s">
        <v>37</v>
      </c>
      <c r="H72" s="26" t="str">
        <f>IF(AND(ISNUMBER(H70),ISNUMBER(G70)),H70-G70,"n/a")</f>
        <v>n/a</v>
      </c>
      <c r="I72" s="32" t="str">
        <f>IF(AND(ISNUMBER(I70),ISNUMBER(H70)),I70-H70,"n/a")</f>
        <v>n/a</v>
      </c>
      <c r="J72" s="1"/>
      <c r="K72" s="1"/>
    </row>
    <row r="73">
      <c r="A73" s="1"/>
      <c r="B73" s="12" t="s">
        <v>226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2">
        <f>I67*I70/365</f>
        <v>657.5342465753424</v>
      </c>
      <c r="J73" s="1"/>
      <c r="K73" s="1"/>
    </row>
    <row r="74">
      <c r="A74" s="1"/>
      <c r="B74" s="18" t="s">
        <v>61</v>
      </c>
      <c r="C74" s="39" t="s">
        <v>37</v>
      </c>
      <c r="D74" s="39" t="s">
        <v>37</v>
      </c>
      <c r="E74" s="39" t="s">
        <v>37</v>
      </c>
      <c r="F74" s="39" t="s">
        <v>37</v>
      </c>
      <c r="G74" s="17" t="str">
        <f>IF(AND(ISNUMBER(G73),ISNUMBER(C73)),IF(OR(C73&lt;=0,G73&lt;0),"n/m",G73/C73-1),"n/a")</f>
        <v>n/m</v>
      </c>
      <c r="H74" s="17" t="str">
        <f>IF(AND(ISNUMBER(H73),ISNUMBER(D73)),IF(OR(D73&lt;=0,H73&lt;0),"n/m",H73/D73-1),"n/a")</f>
        <v>n/m</v>
      </c>
      <c r="I74" s="49" t="s">
        <v>37</v>
      </c>
      <c r="J74" s="1"/>
      <c r="K74" s="1"/>
    </row>
    <row r="75">
      <c r="A75" s="1"/>
      <c r="B75" s="51" t="s">
        <v>72</v>
      </c>
      <c r="C75" s="34" t="s">
        <v>37</v>
      </c>
      <c r="D75" s="26">
        <f>IF(AND(ISNUMBER(D73),ISNUMBER(C73)),D73-C73,"n/a")</f>
        <v>0</v>
      </c>
      <c r="E75" s="34" t="s">
        <v>37</v>
      </c>
      <c r="F75" s="34" t="s">
        <v>37</v>
      </c>
      <c r="G75" s="34" t="s">
        <v>37</v>
      </c>
      <c r="H75" s="26">
        <f>IF(AND(ISNUMBER(H73),ISNUMBER(G73)),H73-G73,"n/a")</f>
        <v>0</v>
      </c>
      <c r="I75" s="32">
        <f>IF(AND(ISNUMBER(I73),ISNUMBER(H73)),I73-H73,"n/a")</f>
        <v>657.5342465753424</v>
      </c>
      <c r="J75" s="1"/>
      <c r="K75" s="1"/>
    </row>
    <row r="76">
      <c r="A76" s="1"/>
      <c r="B76" s="18" t="s">
        <v>62</v>
      </c>
      <c r="C76" s="39" t="s">
        <v>37</v>
      </c>
      <c r="D76" s="17" t="str">
        <f>IF(AND(ISNUMBER(D73),ISNUMBER(C73)),IF(OR(C73&lt;=0,D73&lt;0),"n/m",D73/C73-1),"n/a")</f>
        <v>n/m</v>
      </c>
      <c r="E76" s="39" t="s">
        <v>37</v>
      </c>
      <c r="F76" s="39" t="s">
        <v>37</v>
      </c>
      <c r="G76" s="39" t="s">
        <v>37</v>
      </c>
      <c r="H76" s="17" t="str">
        <f>IF(AND(ISNUMBER(H73),ISNUMBER(G73)),IF(OR(G73&lt;=0,H73&lt;0),"n/m",H73/G73-1),"n/a")</f>
        <v>n/m</v>
      </c>
      <c r="I76" s="55" t="str">
        <f>IF(AND(ISNUMBER(I73),ISNUMBER(H73)),IF(OR(H73&lt;=0,I73&lt;0),"n/m",I73/H73-1),"n/a")</f>
        <v>n/m</v>
      </c>
      <c r="J76" s="1"/>
      <c r="K76" s="1"/>
    </row>
    <row r="77">
      <c r="A77" s="1"/>
      <c r="B77" s="18" t="s">
        <v>64</v>
      </c>
      <c r="C77" s="39" t="s">
        <v>37</v>
      </c>
      <c r="D77" s="39" t="s">
        <v>37</v>
      </c>
      <c r="E77" s="39" t="s">
        <v>37</v>
      </c>
      <c r="F77" s="39" t="s">
        <v>37</v>
      </c>
      <c r="G77" s="39">
        <v>0</v>
      </c>
      <c r="H77" s="39">
        <v>0</v>
      </c>
      <c r="I77" s="49" t="s">
        <v>37</v>
      </c>
      <c r="J77" s="11" t="s">
        <v>65</v>
      </c>
      <c r="K77" s="1"/>
    </row>
    <row r="78">
      <c r="A78" s="1"/>
      <c r="B78" s="18" t="s">
        <v>66</v>
      </c>
      <c r="C78" s="39" t="s">
        <v>37</v>
      </c>
      <c r="D78" s="39" t="s">
        <v>37</v>
      </c>
      <c r="E78" s="39" t="s">
        <v>37</v>
      </c>
      <c r="F78" s="39" t="s">
        <v>37</v>
      </c>
      <c r="G78" s="39" t="s">
        <v>37</v>
      </c>
      <c r="H78" s="39" t="s">
        <v>37</v>
      </c>
      <c r="I78" s="49" t="s">
        <v>37</v>
      </c>
      <c r="J78" s="1"/>
      <c r="K78" s="1"/>
    </row>
    <row r="79">
      <c r="A79" s="1"/>
      <c r="B79" s="18" t="s">
        <v>67</v>
      </c>
      <c r="C79" s="17" t="str">
        <f>IF(AND(ISNUMBER(C74),ISNUMBER(C77),ISNUMBER(C78)),(1+C74)/((1+C77)*(1+C78))-1,"n/a")</f>
        <v>n/a</v>
      </c>
      <c r="D79" s="17" t="str">
        <f>IF(AND(ISNUMBER(D74),ISNUMBER(D77),ISNUMBER(D78)),(1+D74)/((1+D77)*(1+D78))-1,"n/a")</f>
        <v>n/a</v>
      </c>
      <c r="E79" s="17" t="str">
        <f>IF(AND(ISNUMBER(E74),ISNUMBER(E77),ISNUMBER(E78)),(1+E74)/((1+E77)*(1+E78))-1,"n/a")</f>
        <v>n/a</v>
      </c>
      <c r="F79" s="17" t="str">
        <f>IF(AND(ISNUMBER(F74),ISNUMBER(F77),ISNUMBER(F78)),(1+F74)/((1+F77)*(1+F78))-1,"n/a")</f>
        <v>n/a</v>
      </c>
      <c r="G79" s="17" t="str">
        <f>IF(AND(ISNUMBER(G74),ISNUMBER(G77),ISNUMBER(G78)),(1+G74)/((1+G77)*(1+G78))-1,"n/a")</f>
        <v>n/a</v>
      </c>
      <c r="H79" s="17" t="str">
        <f>IF(AND(ISNUMBER(H74),ISNUMBER(H77),ISNUMBER(H78)),(1+H74)/((1+H77)*(1+H78))-1,"n/a")</f>
        <v>n/a</v>
      </c>
      <c r="I79" s="55" t="str">
        <f>IF(AND(ISNUMBER(I74),ISNUMBER(I77),ISNUMBER(I78)),(1+I74)/((1+I77)*(1+I78))-1,"n/a")</f>
        <v>n/a</v>
      </c>
      <c r="J79" s="11" t="s">
        <v>68</v>
      </c>
      <c r="K79" s="1"/>
    </row>
    <row r="80">
      <c r="A80" s="1"/>
      <c r="B80" s="29" t="s">
        <v>227</v>
      </c>
      <c r="C80" s="47">
        <v>284</v>
      </c>
      <c r="D80" s="47">
        <v>311</v>
      </c>
      <c r="E80" s="41">
        <f>IF(COUNT(F80,C80,D80)=3,F80-C80-D80,"n/a")</f>
        <v>762</v>
      </c>
      <c r="F80" s="47">
        <v>1357</v>
      </c>
      <c r="G80" s="47">
        <v>475</v>
      </c>
      <c r="H80" s="47">
        <v>2194</v>
      </c>
      <c r="I80" s="36">
        <f>I50+I60+I73</f>
        <v>6552.054246575342</v>
      </c>
      <c r="J80" s="11" t="s">
        <v>228</v>
      </c>
      <c r="K80" s="1"/>
    </row>
    <row r="81">
      <c r="A81" s="1"/>
      <c r="B81" s="18" t="s">
        <v>61</v>
      </c>
      <c r="C81" s="39" t="s">
        <v>37</v>
      </c>
      <c r="D81" s="39" t="s">
        <v>37</v>
      </c>
      <c r="E81" s="39" t="s">
        <v>37</v>
      </c>
      <c r="F81" s="45">
        <f>IF(ISNUMBER(F80),F80/Inputs!C105-1,"n/a")</f>
        <v>0.5213004484304933</v>
      </c>
      <c r="G81" s="17">
        <f>IF(AND(ISNUMBER(G80),ISNUMBER(C80)),IF(OR(C80&lt;=0,G80&lt;0),"n/m",G80/C80-1),"n/a")</f>
        <v>0.6725352112676057</v>
      </c>
      <c r="H81" s="17">
        <f>IF(AND(ISNUMBER(H80),ISNUMBER(D80)),IF(OR(D80&lt;=0,H80&lt;0),"n/m",H80/D80-1),"n/a")</f>
        <v>6.054662379421222</v>
      </c>
      <c r="I81" s="49" t="s">
        <v>37</v>
      </c>
      <c r="J81" s="1"/>
      <c r="K81" s="1"/>
    </row>
    <row r="82">
      <c r="A82" s="1"/>
      <c r="B82" s="51" t="s">
        <v>72</v>
      </c>
      <c r="C82" s="34" t="s">
        <v>37</v>
      </c>
      <c r="D82" s="26">
        <f>IF(AND(ISNUMBER(D80),ISNUMBER(C80)),D80-C80,"n/a")</f>
        <v>27</v>
      </c>
      <c r="E82" s="34" t="s">
        <v>37</v>
      </c>
      <c r="F82" s="34" t="s">
        <v>37</v>
      </c>
      <c r="G82" s="34" t="s">
        <v>37</v>
      </c>
      <c r="H82" s="26">
        <f>IF(AND(ISNUMBER(H80),ISNUMBER(G80)),H80-G80,"n/a")</f>
        <v>1719</v>
      </c>
      <c r="I82" s="32">
        <f>IF(AND(ISNUMBER(I80),ISNUMBER(H80)),I80-H80,"n/a")</f>
        <v>4358.054246575342</v>
      </c>
      <c r="J82" s="1"/>
      <c r="K82" s="1"/>
    </row>
    <row r="83">
      <c r="A83" s="1"/>
      <c r="B83" s="18" t="s">
        <v>62</v>
      </c>
      <c r="C83" s="39" t="s">
        <v>37</v>
      </c>
      <c r="D83" s="17">
        <f>IF(AND(ISNUMBER(D80),ISNUMBER(C80)),IF(OR(C80&lt;=0,D80&lt;0),"n/m",D80/C80-1),"n/a")</f>
        <v>0.09507042253521125</v>
      </c>
      <c r="E83" s="39" t="s">
        <v>37</v>
      </c>
      <c r="F83" s="39" t="s">
        <v>37</v>
      </c>
      <c r="G83" s="39" t="s">
        <v>37</v>
      </c>
      <c r="H83" s="17">
        <f>IF(AND(ISNUMBER(H80),ISNUMBER(G80)),IF(OR(G80&lt;=0,H80&lt;0),"n/m",H80/G80-1),"n/a")</f>
        <v>3.6189473684210522</v>
      </c>
      <c r="I83" s="55">
        <f>IF(AND(ISNUMBER(I80),ISNUMBER(H80)),IF(OR(H80&lt;=0,I80&lt;0),"n/m",I80/H80-1),"n/a")</f>
        <v>1.9863510695420885</v>
      </c>
      <c r="J83" s="1"/>
      <c r="K83" s="1"/>
    </row>
    <row r="84">
      <c r="A84" s="1"/>
      <c r="B84" s="18" t="s">
        <v>64</v>
      </c>
      <c r="C84" s="39" t="s">
        <v>37</v>
      </c>
      <c r="D84" s="39" t="s">
        <v>37</v>
      </c>
      <c r="E84" s="39" t="s">
        <v>37</v>
      </c>
      <c r="F84" s="39" t="s">
        <v>37</v>
      </c>
      <c r="G84" s="39">
        <v>0</v>
      </c>
      <c r="H84" s="39">
        <v>0</v>
      </c>
      <c r="I84" s="49" t="s">
        <v>37</v>
      </c>
      <c r="J84" s="11" t="s">
        <v>65</v>
      </c>
      <c r="K84" s="1"/>
    </row>
    <row r="85">
      <c r="A85" s="1"/>
      <c r="B85" s="18" t="s">
        <v>66</v>
      </c>
      <c r="C85" s="39" t="s">
        <v>37</v>
      </c>
      <c r="D85" s="39" t="s">
        <v>37</v>
      </c>
      <c r="E85" s="39" t="s">
        <v>37</v>
      </c>
      <c r="F85" s="39" t="s">
        <v>37</v>
      </c>
      <c r="G85" s="39" t="s">
        <v>37</v>
      </c>
      <c r="H85" s="39" t="s">
        <v>37</v>
      </c>
      <c r="I85" s="49" t="s">
        <v>37</v>
      </c>
      <c r="J85" s="1"/>
      <c r="K85" s="1"/>
    </row>
    <row r="86">
      <c r="A86" s="1"/>
      <c r="B86" s="18" t="s">
        <v>67</v>
      </c>
      <c r="C86" s="17" t="str">
        <f>IF(AND(ISNUMBER(C81),ISNUMBER(C84),ISNUMBER(C85)),(1+C81)/((1+C84)*(1+C85))-1,"n/a")</f>
        <v>n/a</v>
      </c>
      <c r="D86" s="17" t="str">
        <f>IF(AND(ISNUMBER(D81),ISNUMBER(D84),ISNUMBER(D85)),(1+D81)/((1+D84)*(1+D85))-1,"n/a")</f>
        <v>n/a</v>
      </c>
      <c r="E86" s="17" t="str">
        <f>IF(AND(ISNUMBER(E81),ISNUMBER(E84),ISNUMBER(E85)),(1+E81)/((1+E84)*(1+E85))-1,"n/a")</f>
        <v>n/a</v>
      </c>
      <c r="F86" s="17" t="str">
        <f>IF(AND(ISNUMBER(F81),ISNUMBER(F84),ISNUMBER(F85)),(1+F81)/((1+F84)*(1+F85))-1,"n/a")</f>
        <v>n/a</v>
      </c>
      <c r="G86" s="17" t="str">
        <f>IF(AND(ISNUMBER(G81),ISNUMBER(G84),ISNUMBER(G85)),(1+G81)/((1+G84)*(1+G85))-1,"n/a")</f>
        <v>n/a</v>
      </c>
      <c r="H86" s="17" t="str">
        <f>IF(AND(ISNUMBER(H81),ISNUMBER(H84),ISNUMBER(H85)),(1+H81)/((1+H84)*(1+H85))-1,"n/a")</f>
        <v>n/a</v>
      </c>
      <c r="I86" s="55" t="str">
        <f>IF(AND(ISNUMBER(I81),ISNUMBER(I84),ISNUMBER(I85)),(1+I81)/((1+I84)*(1+I85))-1,"n/a")</f>
        <v>n/a</v>
      </c>
      <c r="J86" s="11" t="s">
        <v>68</v>
      </c>
      <c r="K86" s="1"/>
    </row>
    <row r="87">
      <c r="A87" s="1"/>
      <c r="B87" s="18" t="s">
        <v>229</v>
      </c>
      <c r="C87" s="39" t="s">
        <v>37</v>
      </c>
      <c r="D87" s="39" t="s">
        <v>37</v>
      </c>
      <c r="E87" s="39" t="s">
        <v>37</v>
      </c>
      <c r="F87" s="39" t="s">
        <v>37</v>
      </c>
      <c r="G87" s="39" t="s">
        <v>37</v>
      </c>
      <c r="H87" s="39" t="s">
        <v>37</v>
      </c>
      <c r="I87" s="49">
        <v>0.035</v>
      </c>
      <c r="J87" s="11" t="s">
        <v>230</v>
      </c>
      <c r="K87" s="1"/>
    </row>
    <row r="88">
      <c r="A88" s="1"/>
      <c r="B88" s="18" t="s">
        <v>98</v>
      </c>
      <c r="C88" s="37" t="s">
        <v>37</v>
      </c>
      <c r="D88" s="37" t="s">
        <v>37</v>
      </c>
      <c r="E88" s="37" t="s">
        <v>37</v>
      </c>
      <c r="F88" s="37" t="s">
        <v>37</v>
      </c>
      <c r="G88" s="43" t="str">
        <f>IF(AND(ISNUMBER(G87),ISNUMBER(C87)),(G87-C87)*10000,"n/a")</f>
        <v>n/a</v>
      </c>
      <c r="H88" s="43" t="str">
        <f>IF(AND(ISNUMBER(H87),ISNUMBER(D87)),(H87-D87)*10000,"n/a")</f>
        <v>n/a</v>
      </c>
      <c r="I88" s="54" t="s">
        <v>37</v>
      </c>
      <c r="J88" s="1"/>
      <c r="K88" s="1"/>
    </row>
    <row r="89">
      <c r="A89" s="1"/>
      <c r="B89" s="18" t="s">
        <v>99</v>
      </c>
      <c r="C89" s="37" t="s">
        <v>37</v>
      </c>
      <c r="D89" s="43" t="str">
        <f>IF(AND(ISNUMBER(D87),ISNUMBER(C87)),(D87-C87)*10000,"n/a")</f>
        <v>n/a</v>
      </c>
      <c r="E89" s="37" t="s">
        <v>37</v>
      </c>
      <c r="F89" s="37" t="s">
        <v>37</v>
      </c>
      <c r="G89" s="37" t="s">
        <v>37</v>
      </c>
      <c r="H89" s="43" t="str">
        <f>IF(AND(ISNUMBER(H87),ISNUMBER(G87)),(H87-G87)*10000,"n/a")</f>
        <v>n/a</v>
      </c>
      <c r="I89" s="50" t="str">
        <f>IF(AND(ISNUMBER(I87),ISNUMBER(H87)),(I87-H87)*10000,"n/a")</f>
        <v>n/a</v>
      </c>
      <c r="J89" s="1"/>
      <c r="K89" s="1"/>
    </row>
    <row r="90">
      <c r="A90" s="1"/>
      <c r="B90" s="12" t="s">
        <v>231</v>
      </c>
      <c r="C90" s="34">
        <v>444</v>
      </c>
      <c r="D90" s="34">
        <v>426</v>
      </c>
      <c r="E90" s="26">
        <f>IF(COUNT(F90,C90,D90)=3,F90-C90-D90,"n/a")</f>
        <v>974</v>
      </c>
      <c r="F90" s="34">
        <v>1844</v>
      </c>
      <c r="G90" s="34">
        <v>343</v>
      </c>
      <c r="H90" s="34">
        <v>367</v>
      </c>
      <c r="I90" s="32">
        <f>H90*(1+I87)</f>
        <v>379.84499999999997</v>
      </c>
      <c r="J90" s="1"/>
      <c r="K90" s="1"/>
    </row>
    <row r="91">
      <c r="A91" s="1"/>
      <c r="B91" s="18" t="s">
        <v>61</v>
      </c>
      <c r="C91" s="39" t="s">
        <v>37</v>
      </c>
      <c r="D91" s="39" t="s">
        <v>37</v>
      </c>
      <c r="E91" s="39" t="s">
        <v>37</v>
      </c>
      <c r="F91" s="45">
        <f>IF(ISNUMBER(F90),F90/Inputs!C106-1,"n/a")</f>
        <v>0.06712962962962954</v>
      </c>
      <c r="G91" s="17">
        <f>IF(AND(ISNUMBER(G90),ISNUMBER(C90)),IF(OR(C90&lt;=0,G90&lt;0),"n/m",G90/C90-1),"n/a")</f>
        <v>-0.22747747747747749</v>
      </c>
      <c r="H91" s="17">
        <f>IF(AND(ISNUMBER(H90),ISNUMBER(D90)),IF(OR(D90&lt;=0,H90&lt;0),"n/m",H90/D90-1),"n/a")</f>
        <v>-0.13849765258215962</v>
      </c>
      <c r="I91" s="49" t="s">
        <v>37</v>
      </c>
      <c r="J91" s="1"/>
      <c r="K91" s="1"/>
    </row>
    <row r="92">
      <c r="A92" s="1"/>
      <c r="B92" s="51" t="s">
        <v>72</v>
      </c>
      <c r="C92" s="34" t="s">
        <v>37</v>
      </c>
      <c r="D92" s="26">
        <f>IF(AND(ISNUMBER(D90),ISNUMBER(C90)),D90-C90,"n/a")</f>
        <v>-18</v>
      </c>
      <c r="E92" s="34" t="s">
        <v>37</v>
      </c>
      <c r="F92" s="34" t="s">
        <v>37</v>
      </c>
      <c r="G92" s="34" t="s">
        <v>37</v>
      </c>
      <c r="H92" s="26">
        <f>IF(AND(ISNUMBER(H90),ISNUMBER(G90)),H90-G90,"n/a")</f>
        <v>24</v>
      </c>
      <c r="I92" s="32">
        <f>IF(AND(ISNUMBER(I90),ISNUMBER(H90)),I90-H90,"n/a")</f>
        <v>12.84499999999997</v>
      </c>
      <c r="J92" s="1"/>
      <c r="K92" s="1"/>
    </row>
    <row r="93">
      <c r="A93" s="1"/>
      <c r="B93" s="18" t="s">
        <v>62</v>
      </c>
      <c r="C93" s="39" t="s">
        <v>37</v>
      </c>
      <c r="D93" s="17">
        <f>IF(AND(ISNUMBER(D90),ISNUMBER(C90)),IF(OR(C90&lt;=0,D90&lt;0),"n/m",D90/C90-1),"n/a")</f>
        <v>-0.04054054054054057</v>
      </c>
      <c r="E93" s="39" t="s">
        <v>37</v>
      </c>
      <c r="F93" s="39" t="s">
        <v>37</v>
      </c>
      <c r="G93" s="39" t="s">
        <v>37</v>
      </c>
      <c r="H93" s="17">
        <f>IF(AND(ISNUMBER(H90),ISNUMBER(G90)),IF(OR(G90&lt;=0,H90&lt;0),"n/m",H90/G90-1),"n/a")</f>
        <v>0.06997084548104948</v>
      </c>
      <c r="I93" s="55">
        <f>IF(AND(ISNUMBER(I90),ISNUMBER(H90)),IF(OR(H90&lt;=0,I90&lt;0),"n/m",I90/H90-1),"n/a")</f>
        <v>0.03499999999999992</v>
      </c>
      <c r="J93" s="1"/>
      <c r="K93" s="1"/>
    </row>
    <row r="94">
      <c r="A94" s="1"/>
      <c r="B94" s="18" t="s">
        <v>64</v>
      </c>
      <c r="C94" s="39" t="s">
        <v>37</v>
      </c>
      <c r="D94" s="39" t="s">
        <v>37</v>
      </c>
      <c r="E94" s="39" t="s">
        <v>37</v>
      </c>
      <c r="F94" s="39" t="s">
        <v>37</v>
      </c>
      <c r="G94" s="39">
        <v>0</v>
      </c>
      <c r="H94" s="39">
        <v>0</v>
      </c>
      <c r="I94" s="49" t="s">
        <v>37</v>
      </c>
      <c r="J94" s="11" t="s">
        <v>65</v>
      </c>
      <c r="K94" s="1"/>
    </row>
    <row r="95">
      <c r="A95" s="1"/>
      <c r="B95" s="18" t="s">
        <v>66</v>
      </c>
      <c r="C95" s="39" t="s">
        <v>37</v>
      </c>
      <c r="D95" s="39" t="s">
        <v>37</v>
      </c>
      <c r="E95" s="39" t="s">
        <v>37</v>
      </c>
      <c r="F95" s="39" t="s">
        <v>37</v>
      </c>
      <c r="G95" s="39" t="s">
        <v>37</v>
      </c>
      <c r="H95" s="39" t="s">
        <v>37</v>
      </c>
      <c r="I95" s="49" t="s">
        <v>37</v>
      </c>
      <c r="J95" s="1"/>
      <c r="K95" s="1"/>
    </row>
    <row r="96">
      <c r="A96" s="1"/>
      <c r="B96" s="18" t="s">
        <v>67</v>
      </c>
      <c r="C96" s="17" t="str">
        <f>IF(AND(ISNUMBER(C91),ISNUMBER(C94),ISNUMBER(C95)),(1+C91)/((1+C94)*(1+C95))-1,"n/a")</f>
        <v>n/a</v>
      </c>
      <c r="D96" s="17" t="str">
        <f>IF(AND(ISNUMBER(D91),ISNUMBER(D94),ISNUMBER(D95)),(1+D91)/((1+D94)*(1+D95))-1,"n/a")</f>
        <v>n/a</v>
      </c>
      <c r="E96" s="17" t="str">
        <f>IF(AND(ISNUMBER(E91),ISNUMBER(E94),ISNUMBER(E95)),(1+E91)/((1+E94)*(1+E95))-1,"n/a")</f>
        <v>n/a</v>
      </c>
      <c r="F96" s="17" t="str">
        <f>IF(AND(ISNUMBER(F91),ISNUMBER(F94),ISNUMBER(F95)),(1+F91)/((1+F94)*(1+F95))-1,"n/a")</f>
        <v>n/a</v>
      </c>
      <c r="G96" s="17" t="str">
        <f>IF(AND(ISNUMBER(G91),ISNUMBER(G94),ISNUMBER(G95)),(1+G91)/((1+G94)*(1+G95))-1,"n/a")</f>
        <v>n/a</v>
      </c>
      <c r="H96" s="17" t="str">
        <f>IF(AND(ISNUMBER(H91),ISNUMBER(H94),ISNUMBER(H95)),(1+H91)/((1+H94)*(1+H95))-1,"n/a")</f>
        <v>n/a</v>
      </c>
      <c r="I96" s="55" t="str">
        <f>IF(AND(ISNUMBER(I91),ISNUMBER(I94),ISNUMBER(I95)),(1+I91)/((1+I94)*(1+I95))-1,"n/a")</f>
        <v>n/a</v>
      </c>
      <c r="J96" s="11" t="s">
        <v>68</v>
      </c>
      <c r="K96" s="1"/>
    </row>
    <row r="97">
      <c r="A97" s="1"/>
      <c r="B97" s="13" t="s">
        <v>232</v>
      </c>
      <c r="C97" s="41">
        <f>IF(COUNT(C80,C90)=2,C80+C90,"n/a")</f>
        <v>728</v>
      </c>
      <c r="D97" s="41">
        <f>IF(COUNT(D80,D90)=2,D80+D90,"n/a")</f>
        <v>737</v>
      </c>
      <c r="E97" s="41">
        <f>IF(COUNT(E80,E90)=2,E80+E90,"n/a")</f>
        <v>1736</v>
      </c>
      <c r="F97" s="41">
        <f>IF(COUNT(F80,F90)=2,F80+F90,"n/a")</f>
        <v>3201</v>
      </c>
      <c r="G97" s="41">
        <f>IF(COUNT(G80,G90)=2,G80+G90,"n/a")</f>
        <v>818</v>
      </c>
      <c r="H97" s="41">
        <f>IF(COUNT(H80,H90)=2,H80+H90,"n/a")</f>
        <v>2561</v>
      </c>
      <c r="I97" s="36">
        <f>IF(COUNT(I80,I90)=2,I80+I90,"n/a")</f>
        <v>6931.899246575343</v>
      </c>
      <c r="J97" s="1"/>
      <c r="K97" s="1"/>
    </row>
    <row r="98">
      <c r="A98" s="1"/>
      <c r="B98" s="18" t="s">
        <v>61</v>
      </c>
      <c r="C98" s="39" t="s">
        <v>37</v>
      </c>
      <c r="D98" s="39" t="s">
        <v>37</v>
      </c>
      <c r="E98" s="39" t="s">
        <v>37</v>
      </c>
      <c r="F98" s="45">
        <f>IF(ISNUMBER(F97),F97/Inputs!C100-1,"n/a")</f>
        <v>0.22175572519083975</v>
      </c>
      <c r="G98" s="17">
        <f>IF(AND(ISNUMBER(G97),ISNUMBER(C97)),IF(OR(C97&lt;=0,G97&lt;0),"n/m",G97/C97-1),"n/a")</f>
        <v>0.12362637362637363</v>
      </c>
      <c r="H98" s="17">
        <f>IF(AND(ISNUMBER(H97),ISNUMBER(D97)),IF(OR(D97&lt;=0,H97&lt;0),"n/m",H97/D97-1),"n/a")</f>
        <v>2.474898236092266</v>
      </c>
      <c r="I98" s="49" t="s">
        <v>37</v>
      </c>
      <c r="J98" s="1"/>
      <c r="K98" s="1"/>
    </row>
    <row r="99">
      <c r="A99" s="1"/>
      <c r="B99" s="51" t="s">
        <v>72</v>
      </c>
      <c r="C99" s="34" t="s">
        <v>37</v>
      </c>
      <c r="D99" s="26">
        <f>IF(AND(ISNUMBER(D97),ISNUMBER(C97)),D97-C97,"n/a")</f>
        <v>9</v>
      </c>
      <c r="E99" s="34" t="s">
        <v>37</v>
      </c>
      <c r="F99" s="34" t="s">
        <v>37</v>
      </c>
      <c r="G99" s="34" t="s">
        <v>37</v>
      </c>
      <c r="H99" s="26">
        <f>IF(AND(ISNUMBER(H97),ISNUMBER(G97)),H97-G97,"n/a")</f>
        <v>1743</v>
      </c>
      <c r="I99" s="32">
        <f>IF(AND(ISNUMBER(I97),ISNUMBER(H97)),I97-H97,"n/a")</f>
        <v>4370.899246575343</v>
      </c>
      <c r="J99" s="1"/>
      <c r="K99" s="1"/>
    </row>
    <row r="100">
      <c r="A100" s="1"/>
      <c r="B100" s="18" t="s">
        <v>62</v>
      </c>
      <c r="C100" s="39" t="s">
        <v>37</v>
      </c>
      <c r="D100" s="17">
        <f>IF(AND(ISNUMBER(D97),ISNUMBER(C97)),IF(OR(C97&lt;=0,D97&lt;0),"n/m",D97/C97-1),"n/a")</f>
        <v>0.012362637362637319</v>
      </c>
      <c r="E100" s="39" t="s">
        <v>37</v>
      </c>
      <c r="F100" s="39" t="s">
        <v>37</v>
      </c>
      <c r="G100" s="39" t="s">
        <v>37</v>
      </c>
      <c r="H100" s="17">
        <f>IF(AND(ISNUMBER(H97),ISNUMBER(G97)),IF(OR(G97&lt;=0,H97&lt;0),"n/m",H97/G97-1),"n/a")</f>
        <v>2.13080684596577</v>
      </c>
      <c r="I100" s="55">
        <f>IF(AND(ISNUMBER(I97),ISNUMBER(H97)),IF(OR(H97&lt;=0,I97&lt;0),"n/m",I97/H97-1),"n/a")</f>
        <v>1.7067158323214926</v>
      </c>
      <c r="J100" s="1"/>
      <c r="K100" s="1"/>
    </row>
    <row r="101">
      <c r="A101" s="1"/>
      <c r="B101" s="18" t="s">
        <v>64</v>
      </c>
      <c r="C101" s="39" t="s">
        <v>37</v>
      </c>
      <c r="D101" s="39" t="s">
        <v>37</v>
      </c>
      <c r="E101" s="39" t="s">
        <v>37</v>
      </c>
      <c r="F101" s="39" t="s">
        <v>37</v>
      </c>
      <c r="G101" s="39">
        <v>0</v>
      </c>
      <c r="H101" s="39">
        <v>0</v>
      </c>
      <c r="I101" s="49" t="s">
        <v>37</v>
      </c>
      <c r="J101" s="11" t="s">
        <v>65</v>
      </c>
      <c r="K101" s="1"/>
    </row>
    <row r="102">
      <c r="A102" s="1"/>
      <c r="B102" s="18" t="s">
        <v>66</v>
      </c>
      <c r="C102" s="39" t="s">
        <v>37</v>
      </c>
      <c r="D102" s="39" t="s">
        <v>37</v>
      </c>
      <c r="E102" s="39" t="s">
        <v>37</v>
      </c>
      <c r="F102" s="39" t="s">
        <v>37</v>
      </c>
      <c r="G102" s="39" t="s">
        <v>37</v>
      </c>
      <c r="H102" s="39" t="s">
        <v>37</v>
      </c>
      <c r="I102" s="49" t="s">
        <v>37</v>
      </c>
      <c r="J102" s="1"/>
      <c r="K102" s="1"/>
    </row>
    <row r="103">
      <c r="A103" s="1"/>
      <c r="B103" s="18" t="s">
        <v>67</v>
      </c>
      <c r="C103" s="17" t="str">
        <f>IF(AND(ISNUMBER(C98),ISNUMBER(C101),ISNUMBER(C102)),(1+C98)/((1+C101)*(1+C102))-1,"n/a")</f>
        <v>n/a</v>
      </c>
      <c r="D103" s="17" t="str">
        <f>IF(AND(ISNUMBER(D98),ISNUMBER(D101),ISNUMBER(D102)),(1+D98)/((1+D101)*(1+D102))-1,"n/a")</f>
        <v>n/a</v>
      </c>
      <c r="E103" s="17" t="str">
        <f>IF(AND(ISNUMBER(E98),ISNUMBER(E101),ISNUMBER(E102)),(1+E98)/((1+E101)*(1+E102))-1,"n/a")</f>
        <v>n/a</v>
      </c>
      <c r="F103" s="17" t="str">
        <f>IF(AND(ISNUMBER(F98),ISNUMBER(F101),ISNUMBER(F102)),(1+F98)/((1+F101)*(1+F102))-1,"n/a")</f>
        <v>n/a</v>
      </c>
      <c r="G103" s="17" t="str">
        <f>IF(AND(ISNUMBER(G98),ISNUMBER(G101),ISNUMBER(G102)),(1+G98)/((1+G101)*(1+G102))-1,"n/a")</f>
        <v>n/a</v>
      </c>
      <c r="H103" s="17" t="str">
        <f>IF(AND(ISNUMBER(H98),ISNUMBER(H101),ISNUMBER(H102)),(1+H98)/((1+H101)*(1+H102))-1,"n/a")</f>
        <v>n/a</v>
      </c>
      <c r="I103" s="55" t="str">
        <f>IF(AND(ISNUMBER(I98),ISNUMBER(I101),ISNUMBER(I102)),(1+I98)/((1+I101)*(1+I102))-1,"n/a")</f>
        <v>n/a</v>
      </c>
      <c r="J103" s="11" t="s">
        <v>68</v>
      </c>
      <c r="K103" s="1"/>
    </row>
    <row r="104">
      <c r="A104" s="1"/>
      <c r="B104" s="33" t="s">
        <v>233</v>
      </c>
      <c r="C104" s="17">
        <f>IF(AND(ISNUMBER(C50),ISNUMBER(C97)),IF(C97=0,"n/a",C50/C97),"n/a")</f>
        <v>0</v>
      </c>
      <c r="D104" s="17">
        <f>IF(AND(ISNUMBER(D50),ISNUMBER(D97)),IF(D97=0,"n/a",D50/D97),"n/a")</f>
        <v>0</v>
      </c>
      <c r="E104" s="17">
        <f>IF(AND(ISNUMBER(E50),ISNUMBER(E97)),IF(E97=0,"n/a",E50/E97),"n/a")</f>
        <v>0</v>
      </c>
      <c r="F104" s="17">
        <f>IF(AND(ISNUMBER(F50),ISNUMBER(F97)),IF(F97=0,"n/a",F50/F97),"n/a")</f>
        <v>0</v>
      </c>
      <c r="G104" s="17">
        <f>IF(AND(ISNUMBER(G50),ISNUMBER(G97)),IF(G97=0,"n/a",G50/G97),"n/a")</f>
        <v>0</v>
      </c>
      <c r="H104" s="17">
        <f>IF(AND(ISNUMBER(H50),ISNUMBER(H97)),IF(H97=0,"n/a",H50/H97),"n/a")</f>
        <v>0.6247559547051933</v>
      </c>
      <c r="I104" s="55">
        <f>IF(AND(ISNUMBER(I50),ISNUMBER(I97)),IF(I97=0,"n/a",I50/I97),"n/a")</f>
        <v>0.749231893779452</v>
      </c>
      <c r="J104" s="1"/>
      <c r="K104" s="1"/>
    </row>
    <row r="105">
      <c r="A105" s="1"/>
      <c r="B105" s="18" t="s">
        <v>98</v>
      </c>
      <c r="C105" s="37" t="s">
        <v>37</v>
      </c>
      <c r="D105" s="37" t="s">
        <v>37</v>
      </c>
      <c r="E105" s="37" t="s">
        <v>37</v>
      </c>
      <c r="F105" s="37" t="s">
        <v>37</v>
      </c>
      <c r="G105" s="43">
        <f>IF(AND(ISNUMBER(G104),ISNUMBER(C104)),(G104-C104)*10000,"n/a")</f>
        <v>0</v>
      </c>
      <c r="H105" s="43">
        <f>IF(AND(ISNUMBER(H104),ISNUMBER(D104)),(H104-D104)*10000,"n/a")</f>
        <v>6247.559547051933</v>
      </c>
      <c r="I105" s="54" t="s">
        <v>37</v>
      </c>
      <c r="J105" s="1"/>
      <c r="K105" s="1"/>
    </row>
    <row r="106">
      <c r="A106" s="1"/>
      <c r="B106" s="18" t="s">
        <v>99</v>
      </c>
      <c r="C106" s="37" t="s">
        <v>37</v>
      </c>
      <c r="D106" s="43">
        <f>IF(AND(ISNUMBER(D104),ISNUMBER(C104)),(D104-C104)*10000,"n/a")</f>
        <v>0</v>
      </c>
      <c r="E106" s="37" t="s">
        <v>37</v>
      </c>
      <c r="F106" s="37" t="s">
        <v>37</v>
      </c>
      <c r="G106" s="37" t="s">
        <v>37</v>
      </c>
      <c r="H106" s="43">
        <f>IF(AND(ISNUMBER(H104),ISNUMBER(G104)),(H104-G104)*10000,"n/a")</f>
        <v>6247.559547051933</v>
      </c>
      <c r="I106" s="50">
        <f>IF(AND(ISNUMBER(I104),ISNUMBER(H104)),(I104-H104)*10000,"n/a")</f>
        <v>1244.759390742587</v>
      </c>
      <c r="J106" s="1"/>
      <c r="K106" s="1"/>
    </row>
    <row r="107">
      <c r="A107" s="1"/>
      <c r="B107" s="33" t="s">
        <v>234</v>
      </c>
      <c r="C107" s="17">
        <f>IF(AND(ISNUMBER(C90),ISNUMBER(C97)),IF(C97=0,"n/a",C90/C97),"n/a")</f>
        <v>0.6098901098901099</v>
      </c>
      <c r="D107" s="17">
        <f>IF(AND(ISNUMBER(D90),ISNUMBER(D97)),IF(D97=0,"n/a",D90/D97),"n/a")</f>
        <v>0.5780189959294437</v>
      </c>
      <c r="E107" s="17">
        <f>IF(AND(ISNUMBER(E90),ISNUMBER(E97)),IF(E97=0,"n/a",E90/E97),"n/a")</f>
        <v>0.5610599078341014</v>
      </c>
      <c r="F107" s="17">
        <f>IF(AND(ISNUMBER(F90),ISNUMBER(F97)),IF(F97=0,"n/a",F90/F97),"n/a")</f>
        <v>0.5760699781318338</v>
      </c>
      <c r="G107" s="17">
        <f>IF(AND(ISNUMBER(G90),ISNUMBER(G97)),IF(G97=0,"n/a",G90/G97),"n/a")</f>
        <v>0.4193154034229829</v>
      </c>
      <c r="H107" s="17">
        <f>IF(AND(ISNUMBER(H90),ISNUMBER(H97)),IF(H97=0,"n/a",H90/H97),"n/a")</f>
        <v>0.14330339711050372</v>
      </c>
      <c r="I107" s="55">
        <f>IF(AND(ISNUMBER(I90),ISNUMBER(I97)),IF(I97=0,"n/a",I90/I97),"n/a")</f>
        <v>0.054796670650927276</v>
      </c>
      <c r="J107" s="1"/>
      <c r="K107" s="1"/>
    </row>
    <row r="108">
      <c r="A108" s="1"/>
      <c r="B108" s="18" t="s">
        <v>98</v>
      </c>
      <c r="C108" s="37" t="s">
        <v>37</v>
      </c>
      <c r="D108" s="37" t="s">
        <v>37</v>
      </c>
      <c r="E108" s="37" t="s">
        <v>37</v>
      </c>
      <c r="F108" s="37" t="s">
        <v>37</v>
      </c>
      <c r="G108" s="43">
        <f>IF(AND(ISNUMBER(G107),ISNUMBER(C107)),(G107-C107)*10000,"n/a")</f>
        <v>-1905.7470646712704</v>
      </c>
      <c r="H108" s="43">
        <f>IF(AND(ISNUMBER(H107),ISNUMBER(D107)),(H107-D107)*10000,"n/a")</f>
        <v>-4347.1559881894</v>
      </c>
      <c r="I108" s="54" t="s">
        <v>37</v>
      </c>
      <c r="J108" s="1"/>
      <c r="K108" s="1"/>
    </row>
    <row r="109">
      <c r="A109" s="1"/>
      <c r="B109" s="18" t="s">
        <v>99</v>
      </c>
      <c r="C109" s="37" t="s">
        <v>37</v>
      </c>
      <c r="D109" s="43">
        <f>IF(AND(ISNUMBER(D107),ISNUMBER(C107)),(D107-C107)*10000,"n/a")</f>
        <v>-318.7111396066622</v>
      </c>
      <c r="E109" s="37" t="s">
        <v>37</v>
      </c>
      <c r="F109" s="37" t="s">
        <v>37</v>
      </c>
      <c r="G109" s="37" t="s">
        <v>37</v>
      </c>
      <c r="H109" s="43">
        <f>IF(AND(ISNUMBER(H107),ISNUMBER(G107)),(H107-G107)*10000,"n/a")</f>
        <v>-2760.120063124792</v>
      </c>
      <c r="I109" s="50">
        <f>IF(AND(ISNUMBER(I107),ISNUMBER(H107)),(I107-H107)*10000,"n/a")</f>
        <v>-885.0672645957644</v>
      </c>
      <c r="J109" s="1"/>
      <c r="K109" s="1"/>
    </row>
    <row r="110">
      <c r="A110" s="1"/>
      <c r="B110" s="1"/>
      <c r="C110" s="1"/>
      <c r="D110" s="1"/>
      <c r="E110" s="1"/>
      <c r="F110" s="1"/>
      <c r="G110" s="1"/>
      <c r="H110" s="1"/>
      <c r="I110" s="53"/>
      <c r="J110" s="1"/>
      <c r="K110" s="1"/>
    </row>
    <row r="111">
      <c r="A111" s="1"/>
      <c r="B111" s="23" t="s">
        <v>131</v>
      </c>
      <c r="C111" s="1"/>
      <c r="D111" s="1"/>
      <c r="E111" s="1"/>
      <c r="F111" s="1"/>
      <c r="G111" s="1"/>
      <c r="H111" s="1"/>
      <c r="I111" s="53"/>
      <c r="J111" s="1"/>
      <c r="K111" s="1"/>
    </row>
    <row r="112">
      <c r="A112" s="1"/>
      <c r="B112" s="18" t="s">
        <v>235</v>
      </c>
      <c r="C112" s="39" t="s">
        <v>37</v>
      </c>
      <c r="D112" s="39" t="s">
        <v>37</v>
      </c>
      <c r="E112" s="39" t="s">
        <v>37</v>
      </c>
      <c r="F112" s="39" t="s">
        <v>37</v>
      </c>
      <c r="G112" s="39" t="s">
        <v>37</v>
      </c>
      <c r="H112" s="39" t="s">
        <v>37</v>
      </c>
      <c r="I112" s="49">
        <v>0.3</v>
      </c>
      <c r="J112" s="11" t="s">
        <v>236</v>
      </c>
      <c r="K112" s="1"/>
    </row>
    <row r="113">
      <c r="A113" s="1"/>
      <c r="B113" s="18" t="s">
        <v>98</v>
      </c>
      <c r="C113" s="37" t="s">
        <v>37</v>
      </c>
      <c r="D113" s="37" t="s">
        <v>37</v>
      </c>
      <c r="E113" s="37" t="s">
        <v>37</v>
      </c>
      <c r="F113" s="37" t="s">
        <v>37</v>
      </c>
      <c r="G113" s="43" t="str">
        <f>IF(AND(ISNUMBER(G112),ISNUMBER(C112)),(G112-C112)*10000,"n/a")</f>
        <v>n/a</v>
      </c>
      <c r="H113" s="43" t="str">
        <f>IF(AND(ISNUMBER(H112),ISNUMBER(D112)),(H112-D112)*10000,"n/a")</f>
        <v>n/a</v>
      </c>
      <c r="I113" s="54" t="s">
        <v>37</v>
      </c>
      <c r="J113" s="1"/>
      <c r="K113" s="1"/>
    </row>
    <row r="114">
      <c r="A114" s="1"/>
      <c r="B114" s="18" t="s">
        <v>99</v>
      </c>
      <c r="C114" s="37" t="s">
        <v>37</v>
      </c>
      <c r="D114" s="43" t="str">
        <f>IF(AND(ISNUMBER(D112),ISNUMBER(C112)),(D112-C112)*10000,"n/a")</f>
        <v>n/a</v>
      </c>
      <c r="E114" s="37" t="s">
        <v>37</v>
      </c>
      <c r="F114" s="37" t="s">
        <v>37</v>
      </c>
      <c r="G114" s="37" t="s">
        <v>37</v>
      </c>
      <c r="H114" s="43" t="str">
        <f>IF(AND(ISNUMBER(H112),ISNUMBER(G112)),(H112-G112)*10000,"n/a")</f>
        <v>n/a</v>
      </c>
      <c r="I114" s="50" t="str">
        <f>IF(AND(ISNUMBER(I112),ISNUMBER(H112)),(I112-H112)*10000,"n/a")</f>
        <v>n/a</v>
      </c>
      <c r="J114" s="1"/>
      <c r="K114" s="1"/>
    </row>
    <row r="115">
      <c r="A115" s="1"/>
      <c r="B115" s="18" t="s">
        <v>237</v>
      </c>
      <c r="C115" s="39" t="s">
        <v>37</v>
      </c>
      <c r="D115" s="39" t="s">
        <v>37</v>
      </c>
      <c r="E115" s="39" t="s">
        <v>37</v>
      </c>
      <c r="F115" s="39" t="s">
        <v>37</v>
      </c>
      <c r="G115" s="39" t="s">
        <v>37</v>
      </c>
      <c r="H115" s="39" t="s">
        <v>37</v>
      </c>
      <c r="I115" s="49">
        <v>0.9</v>
      </c>
      <c r="J115" s="11" t="s">
        <v>238</v>
      </c>
      <c r="K115" s="1"/>
    </row>
    <row r="116">
      <c r="A116" s="1"/>
      <c r="B116" s="18" t="s">
        <v>98</v>
      </c>
      <c r="C116" s="37" t="s">
        <v>37</v>
      </c>
      <c r="D116" s="37" t="s">
        <v>37</v>
      </c>
      <c r="E116" s="37" t="s">
        <v>37</v>
      </c>
      <c r="F116" s="37" t="s">
        <v>37</v>
      </c>
      <c r="G116" s="43" t="str">
        <f>IF(AND(ISNUMBER(G115),ISNUMBER(C115)),(G115-C115)*10000,"n/a")</f>
        <v>n/a</v>
      </c>
      <c r="H116" s="43" t="str">
        <f>IF(AND(ISNUMBER(H115),ISNUMBER(D115)),(H115-D115)*10000,"n/a")</f>
        <v>n/a</v>
      </c>
      <c r="I116" s="54" t="s">
        <v>37</v>
      </c>
      <c r="J116" s="1"/>
      <c r="K116" s="1"/>
    </row>
    <row r="117">
      <c r="A117" s="1"/>
      <c r="B117" s="18" t="s">
        <v>99</v>
      </c>
      <c r="C117" s="37" t="s">
        <v>37</v>
      </c>
      <c r="D117" s="43" t="str">
        <f>IF(AND(ISNUMBER(D115),ISNUMBER(C115)),(D115-C115)*10000,"n/a")</f>
        <v>n/a</v>
      </c>
      <c r="E117" s="37" t="s">
        <v>37</v>
      </c>
      <c r="F117" s="37" t="s">
        <v>37</v>
      </c>
      <c r="G117" s="37" t="s">
        <v>37</v>
      </c>
      <c r="H117" s="43" t="str">
        <f>IF(AND(ISNUMBER(H115),ISNUMBER(G115)),(H115-G115)*10000,"n/a")</f>
        <v>n/a</v>
      </c>
      <c r="I117" s="50" t="str">
        <f>IF(AND(ISNUMBER(I115),ISNUMBER(H115)),(I115-H115)*10000,"n/a")</f>
        <v>n/a</v>
      </c>
      <c r="J117" s="1"/>
      <c r="K117" s="1"/>
    </row>
    <row r="118">
      <c r="A118" s="1"/>
      <c r="B118" s="51" t="s">
        <v>239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52">
        <v>200</v>
      </c>
      <c r="J118" s="11" t="s">
        <v>240</v>
      </c>
      <c r="K118" s="1"/>
    </row>
    <row r="119">
      <c r="A119" s="1"/>
      <c r="B119" s="18" t="s">
        <v>61</v>
      </c>
      <c r="C119" s="39" t="s">
        <v>37</v>
      </c>
      <c r="D119" s="39" t="s">
        <v>37</v>
      </c>
      <c r="E119" s="39" t="s">
        <v>37</v>
      </c>
      <c r="F119" s="39" t="s">
        <v>37</v>
      </c>
      <c r="G119" s="17" t="str">
        <f>IF(AND(ISNUMBER(G118),ISNUMBER(C118)),IF(OR(C118&lt;=0,G118&lt;0),"n/m",G118/C118-1),"n/a")</f>
        <v>n/m</v>
      </c>
      <c r="H119" s="17" t="str">
        <f>IF(AND(ISNUMBER(H118),ISNUMBER(D118)),IF(OR(D118&lt;=0,H118&lt;0),"n/m",H118/D118-1),"n/a")</f>
        <v>n/m</v>
      </c>
      <c r="I119" s="49" t="s">
        <v>37</v>
      </c>
      <c r="J119" s="1"/>
      <c r="K119" s="1"/>
    </row>
    <row r="120">
      <c r="A120" s="1"/>
      <c r="B120" s="51" t="s">
        <v>103</v>
      </c>
      <c r="C120" s="34" t="s">
        <v>37</v>
      </c>
      <c r="D120" s="26">
        <f>IF(AND(ISNUMBER(D118),ISNUMBER(C118)),D118-C118,"n/a")</f>
        <v>0</v>
      </c>
      <c r="E120" s="34" t="s">
        <v>37</v>
      </c>
      <c r="F120" s="34" t="s">
        <v>37</v>
      </c>
      <c r="G120" s="34" t="s">
        <v>37</v>
      </c>
      <c r="H120" s="26">
        <f>IF(AND(ISNUMBER(H118),ISNUMBER(G118)),H118-G118,"n/a")</f>
        <v>0</v>
      </c>
      <c r="I120" s="32">
        <f>IF(AND(ISNUMBER(I118),ISNUMBER(H118)),I118-H118,"n/a")</f>
        <v>200</v>
      </c>
      <c r="J120" s="1"/>
      <c r="K120" s="1"/>
    </row>
    <row r="121">
      <c r="A121" s="1"/>
      <c r="B121" s="12" t="s">
        <v>132</v>
      </c>
      <c r="C121" s="34">
        <v>451</v>
      </c>
      <c r="D121" s="34">
        <v>551</v>
      </c>
      <c r="E121" s="34" t="s">
        <v>37</v>
      </c>
      <c r="F121" s="34" t="s">
        <v>37</v>
      </c>
      <c r="G121" s="34">
        <v>456</v>
      </c>
      <c r="H121" s="34">
        <v>1106</v>
      </c>
      <c r="I121" s="32">
        <f>H121+(I50-H50)*I112+I73*I115+I118</f>
        <v>2975.860821917808</v>
      </c>
      <c r="J121" s="1"/>
      <c r="K121" s="1"/>
    </row>
    <row r="122">
      <c r="A122" s="1"/>
      <c r="B122" s="18" t="s">
        <v>61</v>
      </c>
      <c r="C122" s="39" t="s">
        <v>37</v>
      </c>
      <c r="D122" s="39" t="s">
        <v>37</v>
      </c>
      <c r="E122" s="39" t="s">
        <v>37</v>
      </c>
      <c r="F122" s="39" t="s">
        <v>37</v>
      </c>
      <c r="G122" s="17">
        <f>IF(AND(ISNUMBER(G121),ISNUMBER(C121)),IF(OR(C121&lt;=0,G121&lt;0),"n/m",G121/C121-1),"n/a")</f>
        <v>0.011086474501108556</v>
      </c>
      <c r="H122" s="17">
        <f>IF(AND(ISNUMBER(H121),ISNUMBER(D121)),IF(OR(D121&lt;=0,H121&lt;0),"n/m",H121/D121-1),"n/a")</f>
        <v>1.0072595281306715</v>
      </c>
      <c r="I122" s="49" t="s">
        <v>37</v>
      </c>
      <c r="J122" s="1"/>
      <c r="K122" s="1"/>
    </row>
    <row r="123">
      <c r="A123" s="1"/>
      <c r="B123" s="51" t="s">
        <v>103</v>
      </c>
      <c r="C123" s="34" t="s">
        <v>37</v>
      </c>
      <c r="D123" s="26">
        <f>IF(AND(ISNUMBER(D121),ISNUMBER(C121)),D121-C121,"n/a")</f>
        <v>100</v>
      </c>
      <c r="E123" s="34" t="s">
        <v>37</v>
      </c>
      <c r="F123" s="34" t="s">
        <v>37</v>
      </c>
      <c r="G123" s="34" t="s">
        <v>37</v>
      </c>
      <c r="H123" s="26">
        <f>IF(AND(ISNUMBER(H121),ISNUMBER(G121)),H121-G121,"n/a")</f>
        <v>650</v>
      </c>
      <c r="I123" s="32">
        <f>IF(AND(ISNUMBER(I121),ISNUMBER(H121)),I121-H121,"n/a")</f>
        <v>1869.8608219178082</v>
      </c>
      <c r="J123" s="1"/>
      <c r="K123" s="1"/>
    </row>
    <row r="124">
      <c r="A124" s="1"/>
      <c r="B124" s="18" t="s">
        <v>133</v>
      </c>
      <c r="C124" s="17">
        <f>IF(AND(ISNUMBER(C121),ISNUMBER(C97)),IF(C97=0,"n/a",C121/C97),"n/a")</f>
        <v>0.6195054945054945</v>
      </c>
      <c r="D124" s="17">
        <f>IF(AND(ISNUMBER(D121),ISNUMBER(D97)),IF(D97=0,"n/a",D121/D97),"n/a")</f>
        <v>0.7476255088195387</v>
      </c>
      <c r="E124" s="17" t="str">
        <f>IF(AND(ISNUMBER(E121),ISNUMBER(E97)),IF(E97=0,"n/a",E121/E97),"n/a")</f>
        <v>n/a</v>
      </c>
      <c r="F124" s="17" t="str">
        <f>IF(AND(ISNUMBER(F121),ISNUMBER(F97)),IF(F97=0,"n/a",F121/F97),"n/a")</f>
        <v>n/a</v>
      </c>
      <c r="G124" s="17">
        <f>IF(AND(ISNUMBER(G121),ISNUMBER(G97)),IF(G97=0,"n/a",G121/G97),"n/a")</f>
        <v>0.5574572127139364</v>
      </c>
      <c r="H124" s="17">
        <f>IF(AND(ISNUMBER(H121),ISNUMBER(H97)),IF(H97=0,"n/a",H121/H97),"n/a")</f>
        <v>0.43186255368996485</v>
      </c>
      <c r="I124" s="55">
        <f>IF(AND(ISNUMBER(I121),ISNUMBER(I97)),IF(I97=0,"n/a",I121/I97),"n/a")</f>
        <v>0.4292994915337253</v>
      </c>
      <c r="J124" s="11" t="s">
        <v>241</v>
      </c>
      <c r="K124" s="1"/>
    </row>
    <row r="125">
      <c r="A125" s="1"/>
      <c r="B125" s="18" t="s">
        <v>98</v>
      </c>
      <c r="C125" s="37" t="s">
        <v>37</v>
      </c>
      <c r="D125" s="37" t="s">
        <v>37</v>
      </c>
      <c r="E125" s="37" t="s">
        <v>37</v>
      </c>
      <c r="F125" s="37" t="s">
        <v>37</v>
      </c>
      <c r="G125" s="43">
        <f>IF(AND(ISNUMBER(G124),ISNUMBER(C124)),(G124-C124)*10000,"n/a")</f>
        <v>-620.4828179155808</v>
      </c>
      <c r="H125" s="43">
        <f>IF(AND(ISNUMBER(H124),ISNUMBER(D124)),(H124-D124)*10000,"n/a")</f>
        <v>-3157.6295512957386</v>
      </c>
      <c r="I125" s="54" t="s">
        <v>37</v>
      </c>
      <c r="J125" s="1"/>
      <c r="K125" s="1"/>
    </row>
    <row r="126">
      <c r="A126" s="1"/>
      <c r="B126" s="18" t="s">
        <v>99</v>
      </c>
      <c r="C126" s="37" t="s">
        <v>37</v>
      </c>
      <c r="D126" s="43">
        <f>IF(AND(ISNUMBER(D124),ISNUMBER(C124)),(D124-C124)*10000,"n/a")</f>
        <v>1281.200143140442</v>
      </c>
      <c r="E126" s="37" t="s">
        <v>37</v>
      </c>
      <c r="F126" s="37" t="s">
        <v>37</v>
      </c>
      <c r="G126" s="37" t="s">
        <v>37</v>
      </c>
      <c r="H126" s="43">
        <f>IF(AND(ISNUMBER(H124),ISNUMBER(G124)),(H124-G124)*10000,"n/a")</f>
        <v>-1255.946590239716</v>
      </c>
      <c r="I126" s="50">
        <f>IF(AND(ISNUMBER(I124),ISNUMBER(H124)),(I124-H124)*10000,"n/a")</f>
        <v>-25.630621562395262</v>
      </c>
      <c r="J126" s="1"/>
      <c r="K126" s="1"/>
    </row>
    <row r="127">
      <c r="A127" s="1"/>
      <c r="B127" s="18" t="s">
        <v>242</v>
      </c>
      <c r="C127" s="39" t="s">
        <v>37</v>
      </c>
      <c r="D127" s="39" t="s">
        <v>37</v>
      </c>
      <c r="E127" s="39" t="s">
        <v>37</v>
      </c>
      <c r="F127" s="39" t="s">
        <v>37</v>
      </c>
      <c r="G127" s="39" t="s">
        <v>37</v>
      </c>
      <c r="H127" s="39" t="s">
        <v>37</v>
      </c>
      <c r="I127" s="49">
        <v>0.05</v>
      </c>
      <c r="J127" s="11" t="s">
        <v>243</v>
      </c>
      <c r="K127" s="1"/>
    </row>
    <row r="128">
      <c r="A128" s="1"/>
      <c r="B128" s="18" t="s">
        <v>98</v>
      </c>
      <c r="C128" s="37" t="s">
        <v>37</v>
      </c>
      <c r="D128" s="37" t="s">
        <v>37</v>
      </c>
      <c r="E128" s="37" t="s">
        <v>37</v>
      </c>
      <c r="F128" s="37" t="s">
        <v>37</v>
      </c>
      <c r="G128" s="43" t="str">
        <f>IF(AND(ISNUMBER(G127),ISNUMBER(C127)),(G127-C127)*10000,"n/a")</f>
        <v>n/a</v>
      </c>
      <c r="H128" s="43" t="str">
        <f>IF(AND(ISNUMBER(H127),ISNUMBER(D127)),(H127-D127)*10000,"n/a")</f>
        <v>n/a</v>
      </c>
      <c r="I128" s="54" t="s">
        <v>37</v>
      </c>
      <c r="J128" s="1"/>
      <c r="K128" s="1"/>
    </row>
    <row r="129">
      <c r="A129" s="1"/>
      <c r="B129" s="18" t="s">
        <v>99</v>
      </c>
      <c r="C129" s="37" t="s">
        <v>37</v>
      </c>
      <c r="D129" s="43" t="str">
        <f>IF(AND(ISNUMBER(D127),ISNUMBER(C127)),(D127-C127)*10000,"n/a")</f>
        <v>n/a</v>
      </c>
      <c r="E129" s="37" t="s">
        <v>37</v>
      </c>
      <c r="F129" s="37" t="s">
        <v>37</v>
      </c>
      <c r="G129" s="37" t="s">
        <v>37</v>
      </c>
      <c r="H129" s="43" t="str">
        <f>IF(AND(ISNUMBER(H127),ISNUMBER(G127)),(H127-G127)*10000,"n/a")</f>
        <v>n/a</v>
      </c>
      <c r="I129" s="50" t="str">
        <f>IF(AND(ISNUMBER(I127),ISNUMBER(H127)),(I127-H127)*10000,"n/a")</f>
        <v>n/a</v>
      </c>
      <c r="J129" s="1"/>
      <c r="K129" s="1"/>
    </row>
    <row r="130">
      <c r="A130" s="1"/>
      <c r="B130" s="51" t="s">
        <v>244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52">
        <v>150</v>
      </c>
      <c r="J130" s="1"/>
      <c r="K130" s="1"/>
    </row>
    <row r="131">
      <c r="A131" s="1"/>
      <c r="B131" s="18" t="s">
        <v>61</v>
      </c>
      <c r="C131" s="39" t="s">
        <v>37</v>
      </c>
      <c r="D131" s="39" t="s">
        <v>37</v>
      </c>
      <c r="E131" s="39" t="s">
        <v>37</v>
      </c>
      <c r="F131" s="39" t="s">
        <v>37</v>
      </c>
      <c r="G131" s="17" t="str">
        <f>IF(AND(ISNUMBER(G130),ISNUMBER(C130)),IF(OR(C130&lt;=0,G130&lt;0),"n/m",G130/C130-1),"n/a")</f>
        <v>n/m</v>
      </c>
      <c r="H131" s="17" t="str">
        <f>IF(AND(ISNUMBER(H130),ISNUMBER(D130)),IF(OR(D130&lt;=0,H130&lt;0),"n/m",H130/D130-1),"n/a")</f>
        <v>n/m</v>
      </c>
      <c r="I131" s="49" t="s">
        <v>37</v>
      </c>
      <c r="J131" s="1"/>
      <c r="K131" s="1"/>
    </row>
    <row r="132">
      <c r="A132" s="1"/>
      <c r="B132" s="51" t="s">
        <v>103</v>
      </c>
      <c r="C132" s="34" t="s">
        <v>37</v>
      </c>
      <c r="D132" s="26">
        <f>IF(AND(ISNUMBER(D130),ISNUMBER(C130)),D130-C130,"n/a")</f>
        <v>0</v>
      </c>
      <c r="E132" s="34" t="s">
        <v>37</v>
      </c>
      <c r="F132" s="34" t="s">
        <v>37</v>
      </c>
      <c r="G132" s="34" t="s">
        <v>37</v>
      </c>
      <c r="H132" s="26">
        <f>IF(AND(ISNUMBER(H130),ISNUMBER(G130)),H130-G130,"n/a")</f>
        <v>0</v>
      </c>
      <c r="I132" s="32">
        <f>IF(AND(ISNUMBER(I130),ISNUMBER(H130)),I130-H130,"n/a")</f>
        <v>150</v>
      </c>
      <c r="J132" s="1"/>
      <c r="K132" s="1"/>
    </row>
    <row r="133">
      <c r="A133" s="1"/>
      <c r="B133" s="12" t="s">
        <v>191</v>
      </c>
      <c r="C133" s="34">
        <v>908</v>
      </c>
      <c r="D133" s="34">
        <v>1122</v>
      </c>
      <c r="E133" s="34" t="s">
        <v>37</v>
      </c>
      <c r="F133" s="34" t="s">
        <v>37</v>
      </c>
      <c r="G133" s="34">
        <v>2379</v>
      </c>
      <c r="H133" s="34">
        <v>2178</v>
      </c>
      <c r="I133" s="32">
        <f>H133*(1+I127)+I130</f>
        <v>2436.9</v>
      </c>
      <c r="J133" s="1"/>
      <c r="K133" s="1"/>
    </row>
    <row r="134">
      <c r="A134" s="1"/>
      <c r="B134" s="18" t="s">
        <v>61</v>
      </c>
      <c r="C134" s="39" t="s">
        <v>37</v>
      </c>
      <c r="D134" s="39" t="s">
        <v>37</v>
      </c>
      <c r="E134" s="39" t="s">
        <v>37</v>
      </c>
      <c r="F134" s="39" t="s">
        <v>37</v>
      </c>
      <c r="G134" s="17">
        <f>IF(AND(ISNUMBER(G133),ISNUMBER(C133)),IF(OR(C133&lt;=0,G133&lt;0),"n/m",G133/C133-1),"n/a")</f>
        <v>1.6200440528634363</v>
      </c>
      <c r="H134" s="17">
        <f>IF(AND(ISNUMBER(H133),ISNUMBER(D133)),IF(OR(D133&lt;=0,H133&lt;0),"n/m",H133/D133-1),"n/a")</f>
        <v>0.9411764705882353</v>
      </c>
      <c r="I134" s="49" t="s">
        <v>37</v>
      </c>
      <c r="J134" s="1"/>
      <c r="K134" s="1"/>
    </row>
    <row r="135">
      <c r="A135" s="1"/>
      <c r="B135" s="51" t="s">
        <v>103</v>
      </c>
      <c r="C135" s="34" t="s">
        <v>37</v>
      </c>
      <c r="D135" s="26">
        <f>IF(AND(ISNUMBER(D133),ISNUMBER(C133)),D133-C133,"n/a")</f>
        <v>214</v>
      </c>
      <c r="E135" s="34" t="s">
        <v>37</v>
      </c>
      <c r="F135" s="34" t="s">
        <v>37</v>
      </c>
      <c r="G135" s="34" t="s">
        <v>37</v>
      </c>
      <c r="H135" s="26">
        <f>IF(AND(ISNUMBER(H133),ISNUMBER(G133)),H133-G133,"n/a")</f>
        <v>-201</v>
      </c>
      <c r="I135" s="32">
        <f>IF(AND(ISNUMBER(I133),ISNUMBER(H133)),I133-H133,"n/a")</f>
        <v>258.9000000000001</v>
      </c>
      <c r="J135" s="1"/>
      <c r="K135" s="1"/>
    </row>
    <row r="136">
      <c r="A136" s="1"/>
      <c r="B136" s="18" t="s">
        <v>245</v>
      </c>
      <c r="C136" s="39" t="s">
        <v>37</v>
      </c>
      <c r="D136" s="39" t="s">
        <v>37</v>
      </c>
      <c r="E136" s="39" t="s">
        <v>37</v>
      </c>
      <c r="F136" s="39" t="s">
        <v>37</v>
      </c>
      <c r="G136" s="39" t="s">
        <v>37</v>
      </c>
      <c r="H136" s="39" t="s">
        <v>37</v>
      </c>
      <c r="I136" s="49">
        <v>0.08</v>
      </c>
      <c r="J136" s="11" t="s">
        <v>246</v>
      </c>
      <c r="K136" s="1"/>
    </row>
    <row r="137">
      <c r="A137" s="1"/>
      <c r="B137" s="18" t="s">
        <v>98</v>
      </c>
      <c r="C137" s="37" t="s">
        <v>37</v>
      </c>
      <c r="D137" s="37" t="s">
        <v>37</v>
      </c>
      <c r="E137" s="37" t="s">
        <v>37</v>
      </c>
      <c r="F137" s="37" t="s">
        <v>37</v>
      </c>
      <c r="G137" s="43" t="str">
        <f>IF(AND(ISNUMBER(G136),ISNUMBER(C136)),(G136-C136)*10000,"n/a")</f>
        <v>n/a</v>
      </c>
      <c r="H137" s="43" t="str">
        <f>IF(AND(ISNUMBER(H136),ISNUMBER(D136)),(H136-D136)*10000,"n/a")</f>
        <v>n/a</v>
      </c>
      <c r="I137" s="54" t="s">
        <v>37</v>
      </c>
      <c r="J137" s="1"/>
      <c r="K137" s="1"/>
    </row>
    <row r="138">
      <c r="A138" s="1"/>
      <c r="B138" s="18" t="s">
        <v>99</v>
      </c>
      <c r="C138" s="37" t="s">
        <v>37</v>
      </c>
      <c r="D138" s="43" t="str">
        <f>IF(AND(ISNUMBER(D136),ISNUMBER(C136)),(D136-C136)*10000,"n/a")</f>
        <v>n/a</v>
      </c>
      <c r="E138" s="37" t="s">
        <v>37</v>
      </c>
      <c r="F138" s="37" t="s">
        <v>37</v>
      </c>
      <c r="G138" s="37" t="s">
        <v>37</v>
      </c>
      <c r="H138" s="43" t="str">
        <f>IF(AND(ISNUMBER(H136),ISNUMBER(G136)),(H136-G136)*10000,"n/a")</f>
        <v>n/a</v>
      </c>
      <c r="I138" s="50" t="str">
        <f>IF(AND(ISNUMBER(I136),ISNUMBER(H136)),(I136-H136)*10000,"n/a")</f>
        <v>n/a</v>
      </c>
      <c r="J138" s="1"/>
      <c r="K138" s="1"/>
    </row>
    <row r="139">
      <c r="A139" s="1"/>
      <c r="B139" s="51" t="s">
        <v>247</v>
      </c>
      <c r="C139" s="34">
        <v>0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52">
        <v>120</v>
      </c>
      <c r="J139" s="1"/>
      <c r="K139" s="1"/>
    </row>
    <row r="140">
      <c r="A140" s="1"/>
      <c r="B140" s="18" t="s">
        <v>61</v>
      </c>
      <c r="C140" s="39" t="s">
        <v>37</v>
      </c>
      <c r="D140" s="39" t="s">
        <v>37</v>
      </c>
      <c r="E140" s="39" t="s">
        <v>37</v>
      </c>
      <c r="F140" s="39" t="s">
        <v>37</v>
      </c>
      <c r="G140" s="17" t="str">
        <f>IF(AND(ISNUMBER(G139),ISNUMBER(C139)),IF(OR(C139&lt;=0,G139&lt;0),"n/m",G139/C139-1),"n/a")</f>
        <v>n/m</v>
      </c>
      <c r="H140" s="17" t="str">
        <f>IF(AND(ISNUMBER(H139),ISNUMBER(D139)),IF(OR(D139&lt;=0,H139&lt;0),"n/m",H139/D139-1),"n/a")</f>
        <v>n/m</v>
      </c>
      <c r="I140" s="49" t="s">
        <v>37</v>
      </c>
      <c r="J140" s="1"/>
      <c r="K140" s="1"/>
    </row>
    <row r="141">
      <c r="A141" s="1"/>
      <c r="B141" s="51" t="s">
        <v>103</v>
      </c>
      <c r="C141" s="34" t="s">
        <v>37</v>
      </c>
      <c r="D141" s="26">
        <f>IF(AND(ISNUMBER(D139),ISNUMBER(C139)),D139-C139,"n/a")</f>
        <v>0</v>
      </c>
      <c r="E141" s="34" t="s">
        <v>37</v>
      </c>
      <c r="F141" s="34" t="s">
        <v>37</v>
      </c>
      <c r="G141" s="34" t="s">
        <v>37</v>
      </c>
      <c r="H141" s="26">
        <f>IF(AND(ISNUMBER(H139),ISNUMBER(G139)),H139-G139,"n/a")</f>
        <v>0</v>
      </c>
      <c r="I141" s="32">
        <f>IF(AND(ISNUMBER(I139),ISNUMBER(H139)),I139-H139,"n/a")</f>
        <v>120</v>
      </c>
      <c r="J141" s="1"/>
      <c r="K141" s="1"/>
    </row>
    <row r="142">
      <c r="A142" s="1"/>
      <c r="B142" s="12" t="s">
        <v>137</v>
      </c>
      <c r="C142" s="34">
        <v>301</v>
      </c>
      <c r="D142" s="34">
        <v>398</v>
      </c>
      <c r="E142" s="34" t="s">
        <v>37</v>
      </c>
      <c r="F142" s="34" t="s">
        <v>37</v>
      </c>
      <c r="G142" s="34">
        <v>463</v>
      </c>
      <c r="H142" s="34">
        <v>532</v>
      </c>
      <c r="I142" s="32">
        <f>H142*(1+I136)+I139</f>
        <v>694.5600000000001</v>
      </c>
      <c r="J142" s="11" t="s">
        <v>138</v>
      </c>
      <c r="K142" s="1"/>
    </row>
    <row r="143">
      <c r="A143" s="1"/>
      <c r="B143" s="18" t="s">
        <v>61</v>
      </c>
      <c r="C143" s="39" t="s">
        <v>37</v>
      </c>
      <c r="D143" s="39" t="s">
        <v>37</v>
      </c>
      <c r="E143" s="39" t="s">
        <v>37</v>
      </c>
      <c r="F143" s="39" t="s">
        <v>37</v>
      </c>
      <c r="G143" s="17">
        <f>IF(AND(ISNUMBER(G142),ISNUMBER(C142)),IF(OR(C142&lt;=0,G142&lt;0),"n/m",G142/C142-1),"n/a")</f>
        <v>0.5382059800664452</v>
      </c>
      <c r="H143" s="17">
        <f>IF(AND(ISNUMBER(H142),ISNUMBER(D142)),IF(OR(D142&lt;=0,H142&lt;0),"n/m",H142/D142-1),"n/a")</f>
        <v>0.33668341708542715</v>
      </c>
      <c r="I143" s="49" t="s">
        <v>37</v>
      </c>
      <c r="J143" s="1"/>
      <c r="K143" s="1"/>
    </row>
    <row r="144">
      <c r="A144" s="1"/>
      <c r="B144" s="51" t="s">
        <v>103</v>
      </c>
      <c r="C144" s="34" t="s">
        <v>37</v>
      </c>
      <c r="D144" s="26">
        <f>IF(AND(ISNUMBER(D142),ISNUMBER(C142)),D142-C142,"n/a")</f>
        <v>97</v>
      </c>
      <c r="E144" s="34" t="s">
        <v>37</v>
      </c>
      <c r="F144" s="34" t="s">
        <v>37</v>
      </c>
      <c r="G144" s="34" t="s">
        <v>37</v>
      </c>
      <c r="H144" s="26">
        <f>IF(AND(ISNUMBER(H142),ISNUMBER(G142)),H142-G142,"n/a")</f>
        <v>69</v>
      </c>
      <c r="I144" s="32">
        <f>IF(AND(ISNUMBER(I142),ISNUMBER(H142)),I142-H142,"n/a")</f>
        <v>162.56000000000006</v>
      </c>
      <c r="J144" s="1"/>
      <c r="K144" s="1"/>
    </row>
    <row r="145">
      <c r="A145" s="1"/>
      <c r="B145" s="12" t="s">
        <v>248</v>
      </c>
      <c r="C145" s="34">
        <v>4</v>
      </c>
      <c r="D145" s="34">
        <v>190</v>
      </c>
      <c r="E145" s="34" t="s">
        <v>37</v>
      </c>
      <c r="F145" s="34" t="s">
        <v>37</v>
      </c>
      <c r="G145" s="34">
        <v>-11</v>
      </c>
      <c r="H145" s="34">
        <v>2</v>
      </c>
      <c r="I145" s="52">
        <v>0</v>
      </c>
      <c r="J145" s="11" t="s">
        <v>249</v>
      </c>
      <c r="K145" s="1"/>
    </row>
    <row r="146">
      <c r="A146" s="1"/>
      <c r="B146" s="18" t="s">
        <v>61</v>
      </c>
      <c r="C146" s="39" t="s">
        <v>37</v>
      </c>
      <c r="D146" s="39" t="s">
        <v>37</v>
      </c>
      <c r="E146" s="39" t="s">
        <v>37</v>
      </c>
      <c r="F146" s="39" t="s">
        <v>37</v>
      </c>
      <c r="G146" s="17" t="str">
        <f>IF(AND(ISNUMBER(G145),ISNUMBER(C145)),IF(OR(C145&lt;=0,G145&lt;0),"n/m",G145/C145-1),"n/a")</f>
        <v>n/m</v>
      </c>
      <c r="H146" s="17">
        <f>IF(AND(ISNUMBER(H145),ISNUMBER(D145)),IF(OR(D145&lt;=0,H145&lt;0),"n/m",H145/D145-1),"n/a")</f>
        <v>-0.9894736842105263</v>
      </c>
      <c r="I146" s="49" t="s">
        <v>37</v>
      </c>
      <c r="J146" s="1"/>
      <c r="K146" s="1"/>
    </row>
    <row r="147">
      <c r="A147" s="1"/>
      <c r="B147" s="51" t="s">
        <v>103</v>
      </c>
      <c r="C147" s="34" t="s">
        <v>37</v>
      </c>
      <c r="D147" s="26">
        <f>IF(AND(ISNUMBER(D145),ISNUMBER(C145)),D145-C145,"n/a")</f>
        <v>186</v>
      </c>
      <c r="E147" s="34" t="s">
        <v>37</v>
      </c>
      <c r="F147" s="34" t="s">
        <v>37</v>
      </c>
      <c r="G147" s="34" t="s">
        <v>37</v>
      </c>
      <c r="H147" s="26">
        <f>IF(AND(ISNUMBER(H145),ISNUMBER(G145)),H145-G145,"n/a")</f>
        <v>13</v>
      </c>
      <c r="I147" s="32">
        <f>IF(AND(ISNUMBER(I145),ISNUMBER(H145)),I145-H145,"n/a")</f>
        <v>-2</v>
      </c>
      <c r="J147" s="1"/>
      <c r="K147" s="1"/>
    </row>
    <row r="148">
      <c r="A148" s="1"/>
      <c r="B148" s="13" t="s">
        <v>140</v>
      </c>
      <c r="C148" s="41">
        <f>IF(COUNT(C121,C133,C142,C145)=4,C121+C133+C142+C145,"n/a")</f>
        <v>1664</v>
      </c>
      <c r="D148" s="41">
        <f>IF(COUNT(D121,D133,D142,D145)=4,D121+D133+D142+D145,"n/a")</f>
        <v>2261</v>
      </c>
      <c r="E148" s="41">
        <f>IF(COUNT(F148,C148,D148)=3,F148-C148-D148,"n/a")</f>
        <v>5631</v>
      </c>
      <c r="F148" s="41">
        <f>IF(COUNT(F97,F149)=2,F97-F149,"n/a")</f>
        <v>9556</v>
      </c>
      <c r="G148" s="41">
        <f>IF(COUNT(G121,G133,G142,G145)=4,G121+G133+G142+G145,"n/a")</f>
        <v>3287</v>
      </c>
      <c r="H148" s="41">
        <f>IF(COUNT(H121,H133,H142,H145)=4,H121+H133+H142+H145,"n/a")</f>
        <v>3818</v>
      </c>
      <c r="I148" s="36">
        <f>IF(COUNT(I121,I133,I142,I145)=4,I121+I133+I142+I145,"n/a")</f>
        <v>6107.320821917809</v>
      </c>
      <c r="J148" s="1"/>
      <c r="K148" s="1"/>
    </row>
    <row r="149">
      <c r="A149" s="1"/>
      <c r="B149" s="13" t="s">
        <v>142</v>
      </c>
      <c r="C149" s="41">
        <f>IF(COUNT(C97,C148)=2,C97-C148,"n/a")</f>
        <v>-936</v>
      </c>
      <c r="D149" s="41">
        <f>IF(COUNT(D97,D148)=2,D97-D148,"n/a")</f>
        <v>-1524</v>
      </c>
      <c r="E149" s="41">
        <f>IF(COUNT(F149,C149,D149)=3,F149-C149-D149,"n/a")</f>
        <v>-3895</v>
      </c>
      <c r="F149" s="47">
        <v>-6355</v>
      </c>
      <c r="G149" s="41">
        <f>IF(COUNT(G97,G148)=2,G97-G148,"n/a")</f>
        <v>-2469</v>
      </c>
      <c r="H149" s="41">
        <f>IF(COUNT(H97,H148)=2,H97-H148,"n/a")</f>
        <v>-1257</v>
      </c>
      <c r="I149" s="36">
        <f>IF(COUNT(I97,I148)=2,I97-I148,"n/a")</f>
        <v>824.578424657534</v>
      </c>
      <c r="J149" s="11" t="s">
        <v>143</v>
      </c>
      <c r="K149" s="1"/>
    </row>
    <row r="150">
      <c r="A150" s="1"/>
      <c r="B150" s="33" t="s">
        <v>144</v>
      </c>
      <c r="C150" s="17">
        <f>IF(AND(ISNUMBER(C149),ISNUMBER(C97)),IF(C97=0,"n/a",C149/C97),"n/a")</f>
        <v>-1.2857142857142858</v>
      </c>
      <c r="D150" s="17">
        <f>IF(AND(ISNUMBER(D149),ISNUMBER(D97)),IF(D97=0,"n/a",D149/D97),"n/a")</f>
        <v>-2.067842605156038</v>
      </c>
      <c r="E150" s="17">
        <f>IF(AND(ISNUMBER(E149),ISNUMBER(E97)),IF(E97=0,"n/a",E149/E97),"n/a")</f>
        <v>-2.2436635944700463</v>
      </c>
      <c r="F150" s="17">
        <f>IF(AND(ISNUMBER(F149),ISNUMBER(F97)),IF(F97=0,"n/a",F149/F97),"n/a")</f>
        <v>-1.9853170884098719</v>
      </c>
      <c r="G150" s="17">
        <f>IF(AND(ISNUMBER(G149),ISNUMBER(G97)),IF(G97=0,"n/a",G149/G97),"n/a")</f>
        <v>-3.0183374083129584</v>
      </c>
      <c r="H150" s="17">
        <f>IF(AND(ISNUMBER(H149),ISNUMBER(H97)),IF(H97=0,"n/a",H149/H97),"n/a")</f>
        <v>-0.49082389691526745</v>
      </c>
      <c r="I150" s="55">
        <f>IF(AND(ISNUMBER(I149),ISNUMBER(I97)),IF(I97=0,"n/a",I149/I97),"n/a")</f>
        <v>0.11895418489599532</v>
      </c>
      <c r="J150" s="1"/>
      <c r="K150" s="1"/>
    </row>
    <row r="151">
      <c r="A151" s="1"/>
      <c r="B151" s="18" t="s">
        <v>98</v>
      </c>
      <c r="C151" s="37" t="s">
        <v>37</v>
      </c>
      <c r="D151" s="37" t="s">
        <v>37</v>
      </c>
      <c r="E151" s="37" t="s">
        <v>37</v>
      </c>
      <c r="F151" s="37" t="s">
        <v>37</v>
      </c>
      <c r="G151" s="43">
        <f>IF(AND(ISNUMBER(G150),ISNUMBER(C150)),(G150-C150)*10000,"n/a")</f>
        <v>-17326.231225986725</v>
      </c>
      <c r="H151" s="43">
        <f>IF(AND(ISNUMBER(H150),ISNUMBER(D150)),(H150-D150)*10000,"n/a")</f>
        <v>15770.187082407705</v>
      </c>
      <c r="I151" s="54" t="s">
        <v>37</v>
      </c>
      <c r="J151" s="1"/>
      <c r="K151" s="1"/>
    </row>
    <row r="152">
      <c r="A152" s="1"/>
      <c r="B152" s="18" t="s">
        <v>99</v>
      </c>
      <c r="C152" s="37" t="s">
        <v>37</v>
      </c>
      <c r="D152" s="43">
        <f>IF(AND(ISNUMBER(D150),ISNUMBER(C150)),(D150-C150)*10000,"n/a")</f>
        <v>-7821.283194417521</v>
      </c>
      <c r="E152" s="37" t="s">
        <v>37</v>
      </c>
      <c r="F152" s="37" t="s">
        <v>37</v>
      </c>
      <c r="G152" s="37" t="s">
        <v>37</v>
      </c>
      <c r="H152" s="43">
        <f>IF(AND(ISNUMBER(H150),ISNUMBER(G150)),(H150-G150)*10000,"n/a")</f>
        <v>25275.135113976907</v>
      </c>
      <c r="I152" s="50">
        <f>IF(AND(ISNUMBER(I150),ISNUMBER(H150)),(I150-H150)*10000,"n/a")</f>
        <v>6097.780818112628</v>
      </c>
      <c r="J152" s="1"/>
      <c r="K152" s="1"/>
    </row>
    <row r="153">
      <c r="A153" s="1"/>
      <c r="B153" s="51" t="s">
        <v>250</v>
      </c>
      <c r="C153" s="34" t="s">
        <v>37</v>
      </c>
      <c r="D153" s="34" t="s">
        <v>37</v>
      </c>
      <c r="E153" s="34" t="s">
        <v>37</v>
      </c>
      <c r="F153" s="34" t="s">
        <v>37</v>
      </c>
      <c r="G153" s="34" t="s">
        <v>37</v>
      </c>
      <c r="H153" s="34" t="s">
        <v>37</v>
      </c>
      <c r="I153" s="52">
        <v>2400</v>
      </c>
      <c r="J153" s="11" t="s">
        <v>251</v>
      </c>
      <c r="K153" s="1"/>
    </row>
    <row r="154">
      <c r="A154" s="1"/>
      <c r="B154" s="18" t="s">
        <v>61</v>
      </c>
      <c r="C154" s="39" t="s">
        <v>37</v>
      </c>
      <c r="D154" s="39" t="s">
        <v>37</v>
      </c>
      <c r="E154" s="39" t="s">
        <v>37</v>
      </c>
      <c r="F154" s="39" t="s">
        <v>37</v>
      </c>
      <c r="G154" s="17" t="str">
        <f>IF(AND(ISNUMBER(G153),ISNUMBER(C153)),IF(OR(C153&lt;=0,G153&lt;0),"n/m",G153/C153-1),"n/a")</f>
        <v>n/a</v>
      </c>
      <c r="H154" s="17" t="str">
        <f>IF(AND(ISNUMBER(H153),ISNUMBER(D153)),IF(OR(D153&lt;=0,H153&lt;0),"n/m",H153/D153-1),"n/a")</f>
        <v>n/a</v>
      </c>
      <c r="I154" s="49" t="s">
        <v>37</v>
      </c>
      <c r="J154" s="1"/>
      <c r="K154" s="1"/>
    </row>
    <row r="155">
      <c r="A155" s="1"/>
      <c r="B155" s="51" t="s">
        <v>103</v>
      </c>
      <c r="C155" s="34" t="s">
        <v>37</v>
      </c>
      <c r="D155" s="26" t="str">
        <f>IF(AND(ISNUMBER(D153),ISNUMBER(C153)),D153-C153,"n/a")</f>
        <v>n/a</v>
      </c>
      <c r="E155" s="34" t="s">
        <v>37</v>
      </c>
      <c r="F155" s="34" t="s">
        <v>37</v>
      </c>
      <c r="G155" s="34" t="s">
        <v>37</v>
      </c>
      <c r="H155" s="26" t="str">
        <f>IF(AND(ISNUMBER(H153),ISNUMBER(G153)),H153-G153,"n/a")</f>
        <v>n/a</v>
      </c>
      <c r="I155" s="32" t="str">
        <f>IF(AND(ISNUMBER(I153),ISNUMBER(H153)),I153-H153,"n/a")</f>
        <v>n/a</v>
      </c>
      <c r="J155" s="1"/>
      <c r="K155" s="1"/>
    </row>
    <row r="156">
      <c r="A156" s="1"/>
      <c r="B156" s="29" t="s">
        <v>145</v>
      </c>
      <c r="C156" s="47">
        <v>773</v>
      </c>
      <c r="D156" s="47">
        <v>811</v>
      </c>
      <c r="E156" s="47" t="s">
        <v>37</v>
      </c>
      <c r="F156" s="47" t="s">
        <v>37</v>
      </c>
      <c r="G156" s="47">
        <v>1493</v>
      </c>
      <c r="H156" s="47">
        <v>1885</v>
      </c>
      <c r="I156" s="36">
        <f>I153+I118</f>
        <v>2600</v>
      </c>
      <c r="J156" s="11" t="s">
        <v>252</v>
      </c>
      <c r="K156" s="1"/>
    </row>
    <row r="157">
      <c r="A157" s="1"/>
      <c r="B157" s="18" t="s">
        <v>61</v>
      </c>
      <c r="C157" s="39" t="s">
        <v>37</v>
      </c>
      <c r="D157" s="39" t="s">
        <v>37</v>
      </c>
      <c r="E157" s="39" t="s">
        <v>37</v>
      </c>
      <c r="F157" s="39" t="s">
        <v>37</v>
      </c>
      <c r="G157" s="17">
        <f>IF(AND(ISNUMBER(G156),ISNUMBER(C156)),IF(OR(C156&lt;=0,G156&lt;0),"n/m",G156/C156-1),"n/a")</f>
        <v>0.9314359637774903</v>
      </c>
      <c r="H157" s="17">
        <f>IF(AND(ISNUMBER(H156),ISNUMBER(D156)),IF(OR(D156&lt;=0,H156&lt;0),"n/m",H156/D156-1),"n/a")</f>
        <v>1.3242909987669544</v>
      </c>
      <c r="I157" s="49" t="s">
        <v>37</v>
      </c>
      <c r="J157" s="1"/>
      <c r="K157" s="1"/>
    </row>
    <row r="158">
      <c r="A158" s="1"/>
      <c r="B158" s="51" t="s">
        <v>103</v>
      </c>
      <c r="C158" s="34" t="s">
        <v>37</v>
      </c>
      <c r="D158" s="26">
        <f>IF(AND(ISNUMBER(D156),ISNUMBER(C156)),D156-C156,"n/a")</f>
        <v>38</v>
      </c>
      <c r="E158" s="34" t="s">
        <v>37</v>
      </c>
      <c r="F158" s="34" t="s">
        <v>37</v>
      </c>
      <c r="G158" s="34" t="s">
        <v>37</v>
      </c>
      <c r="H158" s="26">
        <f>IF(AND(ISNUMBER(H156),ISNUMBER(G156)),H156-G156,"n/a")</f>
        <v>392</v>
      </c>
      <c r="I158" s="32">
        <f>IF(AND(ISNUMBER(I156),ISNUMBER(H156)),I156-H156,"n/a")</f>
        <v>715</v>
      </c>
      <c r="J158" s="1"/>
      <c r="K158" s="1"/>
    </row>
    <row r="159">
      <c r="A159" s="1"/>
      <c r="B159" s="12" t="s">
        <v>146</v>
      </c>
      <c r="C159" s="34">
        <v>48</v>
      </c>
      <c r="D159" s="34">
        <v>247</v>
      </c>
      <c r="E159" s="34" t="s">
        <v>37</v>
      </c>
      <c r="F159" s="34" t="s">
        <v>37</v>
      </c>
      <c r="G159" s="34">
        <v>378</v>
      </c>
      <c r="H159" s="34">
        <v>516</v>
      </c>
      <c r="I159" s="52">
        <v>700</v>
      </c>
      <c r="J159" s="11" t="s">
        <v>253</v>
      </c>
      <c r="K159" s="1"/>
    </row>
    <row r="160">
      <c r="A160" s="1"/>
      <c r="B160" s="18" t="s">
        <v>61</v>
      </c>
      <c r="C160" s="39" t="s">
        <v>37</v>
      </c>
      <c r="D160" s="39" t="s">
        <v>37</v>
      </c>
      <c r="E160" s="39" t="s">
        <v>37</v>
      </c>
      <c r="F160" s="39" t="s">
        <v>37</v>
      </c>
      <c r="G160" s="17">
        <f>IF(AND(ISNUMBER(G159),ISNUMBER(C159)),IF(OR(C159&lt;=0,G159&lt;0),"n/m",G159/C159-1),"n/a")</f>
        <v>6.875</v>
      </c>
      <c r="H160" s="17">
        <f>IF(AND(ISNUMBER(H159),ISNUMBER(D159)),IF(OR(D159&lt;=0,H159&lt;0),"n/m",H159/D159-1),"n/a")</f>
        <v>1.0890688259109313</v>
      </c>
      <c r="I160" s="49" t="s">
        <v>37</v>
      </c>
      <c r="J160" s="1"/>
      <c r="K160" s="1"/>
    </row>
    <row r="161">
      <c r="A161" s="1"/>
      <c r="B161" s="51" t="s">
        <v>103</v>
      </c>
      <c r="C161" s="34" t="s">
        <v>37</v>
      </c>
      <c r="D161" s="26">
        <f>IF(AND(ISNUMBER(D159),ISNUMBER(C159)),D159-C159,"n/a")</f>
        <v>199</v>
      </c>
      <c r="E161" s="34" t="s">
        <v>37</v>
      </c>
      <c r="F161" s="34" t="s">
        <v>37</v>
      </c>
      <c r="G161" s="34" t="s">
        <v>37</v>
      </c>
      <c r="H161" s="26">
        <f>IF(AND(ISNUMBER(H159),ISNUMBER(G159)),H159-G159,"n/a")</f>
        <v>138</v>
      </c>
      <c r="I161" s="32">
        <f>IF(AND(ISNUMBER(I159),ISNUMBER(H159)),I159-H159,"n/a")</f>
        <v>184</v>
      </c>
      <c r="J161" s="1"/>
      <c r="K161" s="1"/>
    </row>
    <row r="162">
      <c r="A162" s="1"/>
      <c r="B162" s="13" t="s">
        <v>147</v>
      </c>
      <c r="C162" s="41">
        <f>IF(COUNT(C149,C156,C159,C145)=4,C149+C156+C159+C145,"n/a")</f>
        <v>-111</v>
      </c>
      <c r="D162" s="41">
        <f>IF(COUNT(D149,D156,D159,D145)=4,D149+D156+D159+D145,"n/a")</f>
        <v>-276</v>
      </c>
      <c r="E162" s="41">
        <f>IF(COUNT(F162,C162,D162)=3,F162-C162-D162,"n/a")</f>
        <v>-850</v>
      </c>
      <c r="F162" s="47">
        <v>-1237</v>
      </c>
      <c r="G162" s="41">
        <f>IF(COUNT(G149,G156,G159,G145)=4,G149+G156+G159+G145,"n/a")</f>
        <v>-609</v>
      </c>
      <c r="H162" s="41">
        <f>IF(COUNT(H149,H156,H159,H145)=4,H149+H156+H159+H145,"n/a")</f>
        <v>1146</v>
      </c>
      <c r="I162" s="36">
        <f>IF(COUNT(I149,I156,I159,I145)=4,I149+I156+I159+I145,"n/a")</f>
        <v>4124.578424657534</v>
      </c>
      <c r="J162" s="11" t="s">
        <v>254</v>
      </c>
      <c r="K162" s="1"/>
    </row>
    <row r="163">
      <c r="A163" s="1"/>
      <c r="B163" s="33" t="s">
        <v>149</v>
      </c>
      <c r="C163" s="17">
        <f>IF(AND(ISNUMBER(C162),ISNUMBER(C97)),IF(C97=0,"n/a",C162/C97),"n/a")</f>
        <v>-0.15247252747252749</v>
      </c>
      <c r="D163" s="17">
        <f>IF(AND(ISNUMBER(D162),ISNUMBER(D97)),IF(D97=0,"n/a",D162/D97),"n/a")</f>
        <v>-0.37449118046132973</v>
      </c>
      <c r="E163" s="17">
        <f>IF(AND(ISNUMBER(E162),ISNUMBER(E97)),IF(E97=0,"n/a",E162/E97),"n/a")</f>
        <v>-0.48963133640552997</v>
      </c>
      <c r="F163" s="17">
        <f>IF(AND(ISNUMBER(F162),ISNUMBER(F97)),IF(F97=0,"n/a",F162/F97),"n/a")</f>
        <v>-0.38644173695720085</v>
      </c>
      <c r="G163" s="17">
        <f>IF(AND(ISNUMBER(G162),ISNUMBER(G97)),IF(G97=0,"n/a",G162/G97),"n/a")</f>
        <v>-0.7444987775061125</v>
      </c>
      <c r="H163" s="17">
        <f>IF(AND(ISNUMBER(H162),ISNUMBER(H97)),IF(H97=0,"n/a",H162/H97),"n/a")</f>
        <v>0.4474814525575947</v>
      </c>
      <c r="I163" s="55">
        <f>IF(AND(ISNUMBER(I162),ISNUMBER(I97)),IF(I97=0,"n/a",I162/I97),"n/a")</f>
        <v>0.5950141913408874</v>
      </c>
      <c r="J163" s="11" t="s">
        <v>150</v>
      </c>
      <c r="K163" s="1"/>
    </row>
    <row r="164">
      <c r="A164" s="1"/>
      <c r="B164" s="18" t="s">
        <v>98</v>
      </c>
      <c r="C164" s="37" t="s">
        <v>37</v>
      </c>
      <c r="D164" s="37" t="s">
        <v>37</v>
      </c>
      <c r="E164" s="37" t="s">
        <v>37</v>
      </c>
      <c r="F164" s="37" t="s">
        <v>37</v>
      </c>
      <c r="G164" s="43">
        <f>IF(AND(ISNUMBER(G163),ISNUMBER(C163)),(G163-C163)*10000,"n/a")</f>
        <v>-5920.26250033585</v>
      </c>
      <c r="H164" s="43">
        <f>IF(AND(ISNUMBER(H163),ISNUMBER(D163)),(H163-D163)*10000,"n/a")</f>
        <v>8219.726330189244</v>
      </c>
      <c r="I164" s="54" t="s">
        <v>37</v>
      </c>
      <c r="J164" s="1"/>
      <c r="K164" s="1"/>
    </row>
    <row r="165">
      <c r="A165" s="1"/>
      <c r="B165" s="18" t="s">
        <v>99</v>
      </c>
      <c r="C165" s="37" t="s">
        <v>37</v>
      </c>
      <c r="D165" s="43">
        <f>IF(AND(ISNUMBER(D163),ISNUMBER(C163)),(D163-C163)*10000,"n/a")</f>
        <v>-2220.1865298880225</v>
      </c>
      <c r="E165" s="37" t="s">
        <v>37</v>
      </c>
      <c r="F165" s="37" t="s">
        <v>37</v>
      </c>
      <c r="G165" s="37" t="s">
        <v>37</v>
      </c>
      <c r="H165" s="43">
        <f>IF(AND(ISNUMBER(H163),ISNUMBER(G163)),(H163-G163)*10000,"n/a")</f>
        <v>11919.802300637073</v>
      </c>
      <c r="I165" s="50">
        <f>IF(AND(ISNUMBER(I163),ISNUMBER(H163)),(I163-H163)*10000,"n/a")</f>
        <v>1475.3273878329271</v>
      </c>
      <c r="J165" s="1"/>
      <c r="K165" s="1"/>
    </row>
    <row r="166">
      <c r="A166" s="1"/>
      <c r="B166" s="12" t="s">
        <v>255</v>
      </c>
      <c r="C166" s="34">
        <v>2567</v>
      </c>
      <c r="D166" s="34">
        <v>749</v>
      </c>
      <c r="E166" s="26">
        <f>IF(COUNT(F166,C166,D166)=3,F166-C166-D166,"n/a")</f>
        <v>9411</v>
      </c>
      <c r="F166" s="34">
        <v>12727</v>
      </c>
      <c r="G166" s="34">
        <v>7723</v>
      </c>
      <c r="H166" s="34">
        <v>15828</v>
      </c>
      <c r="I166" s="52">
        <v>15850</v>
      </c>
      <c r="J166" s="1"/>
      <c r="K166" s="1"/>
    </row>
    <row r="167">
      <c r="A167" s="1"/>
      <c r="B167" s="18" t="s">
        <v>61</v>
      </c>
      <c r="C167" s="39" t="s">
        <v>37</v>
      </c>
      <c r="D167" s="39" t="s">
        <v>37</v>
      </c>
      <c r="E167" s="39" t="s">
        <v>37</v>
      </c>
      <c r="F167" s="39" t="s">
        <v>37</v>
      </c>
      <c r="G167" s="17">
        <f>IF(AND(ISNUMBER(G166),ISNUMBER(C166)),IF(OR(C166&lt;=0,G166&lt;0),"n/m",G166/C166-1),"n/a")</f>
        <v>2.008570315543436</v>
      </c>
      <c r="H167" s="17">
        <f>IF(AND(ISNUMBER(H166),ISNUMBER(D166)),IF(OR(D166&lt;=0,H166&lt;0),"n/m",H166/D166-1),"n/a")</f>
        <v>20.132176234979973</v>
      </c>
      <c r="I167" s="49" t="s">
        <v>37</v>
      </c>
      <c r="J167" s="1"/>
      <c r="K167" s="1"/>
    </row>
    <row r="168">
      <c r="A168" s="1"/>
      <c r="B168" s="51" t="s">
        <v>103</v>
      </c>
      <c r="C168" s="34" t="s">
        <v>37</v>
      </c>
      <c r="D168" s="26">
        <f>IF(AND(ISNUMBER(D166),ISNUMBER(C166)),D166-C166,"n/a")</f>
        <v>-1818</v>
      </c>
      <c r="E168" s="34" t="s">
        <v>37</v>
      </c>
      <c r="F168" s="34" t="s">
        <v>37</v>
      </c>
      <c r="G168" s="34" t="s">
        <v>37</v>
      </c>
      <c r="H168" s="26">
        <f>IF(AND(ISNUMBER(H166),ISNUMBER(G166)),H166-G166,"n/a")</f>
        <v>8105</v>
      </c>
      <c r="I168" s="32">
        <f>IF(AND(ISNUMBER(I166),ISNUMBER(H166)),I166-H166,"n/a")</f>
        <v>22</v>
      </c>
      <c r="J168" s="1"/>
      <c r="K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2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256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56</v>
      </c>
      <c r="J4" s="79" t="s">
        <v>4</v>
      </c>
      <c r="K4" s="1"/>
    </row>
    <row r="5">
      <c r="A5" s="1"/>
      <c r="B5" s="14" t="s">
        <v>57</v>
      </c>
      <c r="C5" s="5">
        <v>45747</v>
      </c>
      <c r="D5" s="5">
        <v>45838</v>
      </c>
      <c r="E5" s="5">
        <v>46022</v>
      </c>
      <c r="F5" s="5">
        <v>46022</v>
      </c>
      <c r="G5" s="5">
        <v>46112</v>
      </c>
      <c r="H5" s="5">
        <v>46203</v>
      </c>
      <c r="I5" s="5">
        <v>46295</v>
      </c>
      <c r="J5" s="84"/>
      <c r="K5" s="1"/>
    </row>
    <row r="6">
      <c r="A6" s="1"/>
      <c r="B6" s="10" t="s">
        <v>58</v>
      </c>
      <c r="C6" s="6">
        <v>90</v>
      </c>
      <c r="D6" s="6">
        <v>91</v>
      </c>
      <c r="E6" s="6">
        <v>184</v>
      </c>
      <c r="F6" s="6">
        <v>365</v>
      </c>
      <c r="G6" s="6">
        <v>90</v>
      </c>
      <c r="H6" s="6">
        <v>91</v>
      </c>
      <c r="I6" s="6">
        <v>92</v>
      </c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257</v>
      </c>
      <c r="C8" s="1"/>
      <c r="D8" s="1"/>
      <c r="E8" s="1"/>
      <c r="F8" s="1"/>
      <c r="G8" s="1"/>
      <c r="H8" s="1"/>
      <c r="I8" s="53"/>
      <c r="J8" s="1"/>
      <c r="K8" s="1"/>
    </row>
    <row r="9">
      <c r="A9" s="1"/>
      <c r="B9" s="12" t="s">
        <v>60</v>
      </c>
      <c r="C9" s="22">
        <f>'Revenue summary'!C9</f>
        <v>865</v>
      </c>
      <c r="D9" s="22">
        <f>'Revenue summary'!D9</f>
        <v>746</v>
      </c>
      <c r="E9" s="22">
        <f>'Revenue summary'!E9</f>
        <v>2475</v>
      </c>
      <c r="F9" s="22">
        <f>'Revenue summary'!F9</f>
        <v>4086</v>
      </c>
      <c r="G9" s="22">
        <f>'Revenue summary'!G9</f>
        <v>619</v>
      </c>
      <c r="H9" s="22">
        <f>'Revenue summary'!H9</f>
        <v>962</v>
      </c>
      <c r="I9" s="42">
        <f>'Revenue summary'!I9</f>
        <v>1171.94</v>
      </c>
      <c r="J9" s="1"/>
      <c r="K9" s="1"/>
    </row>
    <row r="10">
      <c r="A10" s="1"/>
      <c r="B10" s="12" t="s">
        <v>69</v>
      </c>
      <c r="C10" s="22">
        <f>'Revenue summary'!C16</f>
        <v>2474</v>
      </c>
      <c r="D10" s="22">
        <f>'Revenue summary'!D16</f>
        <v>2588</v>
      </c>
      <c r="E10" s="22">
        <f>'Revenue summary'!E16</f>
        <v>6325</v>
      </c>
      <c r="F10" s="22">
        <f>'Revenue summary'!F16</f>
        <v>11387</v>
      </c>
      <c r="G10" s="22">
        <f>'Revenue summary'!G16</f>
        <v>3257</v>
      </c>
      <c r="H10" s="22">
        <f>'Revenue summary'!H16</f>
        <v>4291</v>
      </c>
      <c r="I10" s="42">
        <f>'Revenue summary'!I16</f>
        <v>4754.012</v>
      </c>
      <c r="J10" s="1"/>
      <c r="K10" s="1"/>
    </row>
    <row r="11">
      <c r="A11" s="1"/>
      <c r="B11" s="12" t="s">
        <v>70</v>
      </c>
      <c r="C11" s="22">
        <f>'Revenue summary'!C23</f>
        <v>728</v>
      </c>
      <c r="D11" s="22">
        <f>'Revenue summary'!D23</f>
        <v>737</v>
      </c>
      <c r="E11" s="22">
        <f>'Revenue summary'!E23</f>
        <v>1736</v>
      </c>
      <c r="F11" s="22">
        <f>'Revenue summary'!F23</f>
        <v>3201</v>
      </c>
      <c r="G11" s="22">
        <f>'Revenue summary'!G23</f>
        <v>818</v>
      </c>
      <c r="H11" s="22">
        <f>'Revenue summary'!H23</f>
        <v>2561</v>
      </c>
      <c r="I11" s="42">
        <f>'Revenue summary'!I23</f>
        <v>6931.899246575343</v>
      </c>
      <c r="J11" s="1"/>
      <c r="K11" s="1"/>
    </row>
    <row r="12">
      <c r="A12" s="1"/>
      <c r="B12" s="13" t="s">
        <v>71</v>
      </c>
      <c r="C12" s="70">
        <f>'Revenue summary'!C30</f>
        <v>4067</v>
      </c>
      <c r="D12" s="70">
        <f>'Revenue summary'!D30</f>
        <v>4071</v>
      </c>
      <c r="E12" s="70">
        <f>'Revenue summary'!E30</f>
        <v>10536</v>
      </c>
      <c r="F12" s="70">
        <f>'Revenue summary'!F30</f>
        <v>18674</v>
      </c>
      <c r="G12" s="70">
        <f>'Revenue summary'!G30</f>
        <v>4694</v>
      </c>
      <c r="H12" s="70">
        <f>'Revenue summary'!H30</f>
        <v>7814</v>
      </c>
      <c r="I12" s="76">
        <f>'Revenue summary'!I30</f>
        <v>12857.851246575341</v>
      </c>
      <c r="J12" s="1"/>
      <c r="K12" s="1"/>
    </row>
    <row r="13">
      <c r="A13" s="1"/>
      <c r="B13" s="18" t="s">
        <v>61</v>
      </c>
      <c r="C13" s="45" t="str">
        <f>'Revenue summary'!C31</f>
        <v>n/a</v>
      </c>
      <c r="D13" s="45" t="str">
        <f>'Revenue summary'!D31</f>
        <v>n/a</v>
      </c>
      <c r="E13" s="45" t="str">
        <f>'Revenue summary'!E31</f>
        <v>n/a</v>
      </c>
      <c r="F13" s="45">
        <f>'Revenue summary'!F31</f>
        <v>0.3324295397788084</v>
      </c>
      <c r="G13" s="45">
        <f>'Revenue summary'!G31</f>
        <v>0.15416769117285467</v>
      </c>
      <c r="H13" s="45">
        <f>'Revenue summary'!H31</f>
        <v>0.9194301154507492</v>
      </c>
      <c r="I13" s="46" t="str">
        <f>'Revenue summary'!I31</f>
        <v>n/a</v>
      </c>
      <c r="J13" s="1"/>
      <c r="K13" s="1"/>
    </row>
    <row r="14">
      <c r="A14" s="1"/>
      <c r="B14" s="18" t="s">
        <v>62</v>
      </c>
      <c r="C14" s="45" t="str">
        <f>'Revenue summary'!C33</f>
        <v>n/a</v>
      </c>
      <c r="D14" s="45">
        <f>'Revenue summary'!D33</f>
        <v>0.0009835259404966656</v>
      </c>
      <c r="E14" s="45" t="str">
        <f>'Revenue summary'!E33</f>
        <v>n/a</v>
      </c>
      <c r="F14" s="45" t="str">
        <f>'Revenue summary'!F33</f>
        <v>n/a</v>
      </c>
      <c r="G14" s="45" t="str">
        <f>'Revenue summary'!G33</f>
        <v>n/a</v>
      </c>
      <c r="H14" s="45">
        <f>'Revenue summary'!H33</f>
        <v>0.6646783127396676</v>
      </c>
      <c r="I14" s="46">
        <f>'Revenue summary'!I33</f>
        <v>0.6454890256687154</v>
      </c>
      <c r="J14" s="1"/>
      <c r="K14" s="1"/>
    </row>
    <row r="15">
      <c r="A15" s="1"/>
      <c r="B15" s="23" t="s">
        <v>258</v>
      </c>
      <c r="C15" s="1"/>
      <c r="D15" s="1"/>
      <c r="E15" s="1"/>
      <c r="F15" s="1"/>
      <c r="G15" s="1"/>
      <c r="H15" s="1"/>
      <c r="I15" s="53"/>
      <c r="J15" s="1"/>
      <c r="K15" s="1"/>
    </row>
    <row r="16">
      <c r="A16" s="1"/>
      <c r="B16" s="12" t="s">
        <v>132</v>
      </c>
      <c r="C16" s="22">
        <f>'Segment - Space'!C67+'Segment - Connectivity'!C91+'Segment - AI'!C121</f>
        <v>1962</v>
      </c>
      <c r="D16" s="22">
        <f>'Segment - Space'!D67+'Segment - Connectivity'!D91+'Segment - AI'!D121</f>
        <v>2282</v>
      </c>
      <c r="E16" s="26">
        <f>IF(COUNT(F16,C16,D16)=3,F16-C16-D16,"n/a")</f>
        <v>5207</v>
      </c>
      <c r="F16" s="34">
        <v>9451</v>
      </c>
      <c r="G16" s="22">
        <f>'Segment - Space'!G67+'Segment - Connectivity'!G91+'Segment - AI'!G121</f>
        <v>2388</v>
      </c>
      <c r="H16" s="22">
        <f>'Segment - Space'!H67+'Segment - Connectivity'!H91+'Segment - AI'!H121</f>
        <v>3495</v>
      </c>
      <c r="I16" s="42">
        <f>'Segment - Space'!I67+'Segment - Connectivity'!I91+'Segment - AI'!I121</f>
        <v>5655.583661917808</v>
      </c>
      <c r="J16" s="11" t="s">
        <v>259</v>
      </c>
      <c r="K16" s="1"/>
    </row>
    <row r="17">
      <c r="A17" s="1"/>
      <c r="B17" s="18" t="s">
        <v>61</v>
      </c>
      <c r="C17" s="39" t="s">
        <v>37</v>
      </c>
      <c r="D17" s="39" t="s">
        <v>37</v>
      </c>
      <c r="E17" s="39" t="s">
        <v>37</v>
      </c>
      <c r="F17" s="39" t="s">
        <v>37</v>
      </c>
      <c r="G17" s="17">
        <f>IF(AND(ISNUMBER(G16),ISNUMBER(C16)),IF(OR(C16&lt;=0,G16&lt;0),"n/m",G16/C16-1),"n/a")</f>
        <v>0.21712538226299705</v>
      </c>
      <c r="H17" s="17">
        <f>IF(AND(ISNUMBER(H16),ISNUMBER(D16)),IF(OR(D16&lt;=0,H16&lt;0),"n/m",H16/D16-1),"n/a")</f>
        <v>0.5315512708150745</v>
      </c>
      <c r="I17" s="49" t="s">
        <v>37</v>
      </c>
      <c r="J17" s="1"/>
      <c r="K17" s="1"/>
    </row>
    <row r="18">
      <c r="A18" s="1"/>
      <c r="B18" s="51" t="s">
        <v>103</v>
      </c>
      <c r="C18" s="34" t="s">
        <v>37</v>
      </c>
      <c r="D18" s="26">
        <f>IF(AND(ISNUMBER(D16),ISNUMBER(C16)),D16-C16,"n/a")</f>
        <v>320</v>
      </c>
      <c r="E18" s="34" t="s">
        <v>37</v>
      </c>
      <c r="F18" s="34" t="s">
        <v>37</v>
      </c>
      <c r="G18" s="34" t="s">
        <v>37</v>
      </c>
      <c r="H18" s="26">
        <f>IF(AND(ISNUMBER(H16),ISNUMBER(G16)),H16-G16,"n/a")</f>
        <v>1107</v>
      </c>
      <c r="I18" s="32">
        <f>IF(AND(ISNUMBER(I16),ISNUMBER(H16)),I16-H16,"n/a")</f>
        <v>2160.583661917808</v>
      </c>
      <c r="J18" s="1"/>
      <c r="K18" s="1"/>
    </row>
    <row r="19">
      <c r="A19" s="1"/>
      <c r="B19" s="13" t="s">
        <v>260</v>
      </c>
      <c r="C19" s="41">
        <f>IF(COUNT(C12,C16)=2,C12-C16,"n/a")</f>
        <v>2105</v>
      </c>
      <c r="D19" s="41">
        <f>IF(COUNT(D12,D16)=2,D12-D16,"n/a")</f>
        <v>1789</v>
      </c>
      <c r="E19" s="41">
        <f>IF(COUNT(E12,E16)=2,E12-E16,"n/a")</f>
        <v>5329</v>
      </c>
      <c r="F19" s="41">
        <f>IF(COUNT(F12,F16)=2,F12-F16,"n/a")</f>
        <v>9223</v>
      </c>
      <c r="G19" s="41">
        <f>IF(COUNT(G12,G16)=2,G12-G16,"n/a")</f>
        <v>2306</v>
      </c>
      <c r="H19" s="41">
        <f>IF(COUNT(H12,H16)=2,H12-H16,"n/a")</f>
        <v>4319</v>
      </c>
      <c r="I19" s="36">
        <f>IF(COUNT(I12,I16)=2,I12-I16,"n/a")</f>
        <v>7202.267584657533</v>
      </c>
      <c r="J19" s="11" t="s">
        <v>261</v>
      </c>
      <c r="K19" s="1"/>
    </row>
    <row r="20">
      <c r="A20" s="1"/>
      <c r="B20" s="33" t="s">
        <v>262</v>
      </c>
      <c r="C20" s="17">
        <f>IF(AND(ISNUMBER(C19),ISNUMBER(C12)),IF(C12=0,"n/a",C19/C12),"n/a")</f>
        <v>0.5175805261863782</v>
      </c>
      <c r="D20" s="17">
        <f>IF(AND(ISNUMBER(D19),ISNUMBER(D12)),IF(D12=0,"n/a",D19/D12),"n/a")</f>
        <v>0.43944976664210267</v>
      </c>
      <c r="E20" s="17">
        <f>IF(AND(ISNUMBER(E19),ISNUMBER(E12)),IF(E12=0,"n/a",E19/E12),"n/a")</f>
        <v>0.5057896735003796</v>
      </c>
      <c r="F20" s="17">
        <f>IF(AND(ISNUMBER(F19),ISNUMBER(F12)),IF(F12=0,"n/a",F19/F12),"n/a")</f>
        <v>0.49389525543536467</v>
      </c>
      <c r="G20" s="17">
        <f>IF(AND(ISNUMBER(G19),ISNUMBER(G12)),IF(G12=0,"n/a",G19/G12),"n/a")</f>
        <v>0.49126544524925436</v>
      </c>
      <c r="H20" s="17">
        <f>IF(AND(ISNUMBER(H19),ISNUMBER(H12)),IF(H12=0,"n/a",H19/H12),"n/a")</f>
        <v>0.5527258766316867</v>
      </c>
      <c r="I20" s="55">
        <f>IF(AND(ISNUMBER(I19),ISNUMBER(I12)),IF(I12=0,"n/a",I19/I12),"n/a")</f>
        <v>0.5601455053834007</v>
      </c>
      <c r="J20" s="1"/>
      <c r="K20" s="1"/>
    </row>
    <row r="21">
      <c r="A21" s="1"/>
      <c r="B21" s="18" t="s">
        <v>98</v>
      </c>
      <c r="C21" s="37" t="s">
        <v>37</v>
      </c>
      <c r="D21" s="37" t="s">
        <v>37</v>
      </c>
      <c r="E21" s="37" t="s">
        <v>37</v>
      </c>
      <c r="F21" s="37" t="s">
        <v>37</v>
      </c>
      <c r="G21" s="43">
        <f>IF(AND(ISNUMBER(G20),ISNUMBER(C20)),(G20-C20)*10000,"n/a")</f>
        <v>-263.15080937123815</v>
      </c>
      <c r="H21" s="43">
        <f>IF(AND(ISNUMBER(H20),ISNUMBER(D20)),(H20-D20)*10000,"n/a")</f>
        <v>1132.7610998958403</v>
      </c>
      <c r="I21" s="54" t="s">
        <v>37</v>
      </c>
      <c r="J21" s="1"/>
      <c r="K21" s="1"/>
    </row>
    <row r="22">
      <c r="A22" s="1"/>
      <c r="B22" s="18" t="s">
        <v>99</v>
      </c>
      <c r="C22" s="37" t="s">
        <v>37</v>
      </c>
      <c r="D22" s="43">
        <f>IF(AND(ISNUMBER(D20),ISNUMBER(C20)),(D20-C20)*10000,"n/a")</f>
        <v>-781.3075954427551</v>
      </c>
      <c r="E22" s="37" t="s">
        <v>37</v>
      </c>
      <c r="F22" s="37" t="s">
        <v>37</v>
      </c>
      <c r="G22" s="37" t="s">
        <v>37</v>
      </c>
      <c r="H22" s="43">
        <f>IF(AND(ISNUMBER(H20),ISNUMBER(G20)),(H20-G20)*10000,"n/a")</f>
        <v>614.6043138243234</v>
      </c>
      <c r="I22" s="50">
        <f>IF(AND(ISNUMBER(I20),ISNUMBER(H20)),(I20-H20)*10000,"n/a")</f>
        <v>74.19628751713981</v>
      </c>
      <c r="J22" s="1"/>
      <c r="K22" s="1"/>
    </row>
    <row r="23">
      <c r="A23" s="1"/>
      <c r="B23" s="12" t="s">
        <v>191</v>
      </c>
      <c r="C23" s="22">
        <f>'Segment - Space'!C73+'Segment - Connectivity'!C97+'Segment - AI'!C133</f>
        <v>1557</v>
      </c>
      <c r="D23" s="22">
        <f>'Segment - Space'!D73+'Segment - Connectivity'!D97+'Segment - AI'!D133</f>
        <v>1958</v>
      </c>
      <c r="E23" s="26">
        <f>IF(COUNT(F23,C23,D23)=3,F23-C23-D23,"n/a")</f>
        <v>5128</v>
      </c>
      <c r="F23" s="34">
        <v>8643</v>
      </c>
      <c r="G23" s="22">
        <f>'Segment - Space'!G73+'Segment - Connectivity'!G97+'Segment - AI'!G133</f>
        <v>3514</v>
      </c>
      <c r="H23" s="22">
        <f>'Segment - Space'!H73+'Segment - Connectivity'!H97+'Segment - AI'!H133</f>
        <v>3548</v>
      </c>
      <c r="I23" s="42">
        <f>'Segment - Space'!I73+'Segment - Connectivity'!I97+'Segment - AI'!I133</f>
        <v>3906.9</v>
      </c>
      <c r="J23" s="1"/>
      <c r="K23" s="1"/>
    </row>
    <row r="24">
      <c r="A24" s="1"/>
      <c r="B24" s="18" t="s">
        <v>61</v>
      </c>
      <c r="C24" s="39" t="s">
        <v>37</v>
      </c>
      <c r="D24" s="39" t="s">
        <v>37</v>
      </c>
      <c r="E24" s="39" t="s">
        <v>37</v>
      </c>
      <c r="F24" s="39" t="s">
        <v>37</v>
      </c>
      <c r="G24" s="17">
        <f>IF(AND(ISNUMBER(G23),ISNUMBER(C23)),IF(OR(C23&lt;=0,G23&lt;0),"n/m",G23/C23-1),"n/a")</f>
        <v>1.2569043031470777</v>
      </c>
      <c r="H24" s="17">
        <f>IF(AND(ISNUMBER(H23),ISNUMBER(D23)),IF(OR(D23&lt;=0,H23&lt;0),"n/m",H23/D23-1),"n/a")</f>
        <v>0.8120531154239019</v>
      </c>
      <c r="I24" s="49" t="s">
        <v>37</v>
      </c>
      <c r="J24" s="1"/>
      <c r="K24" s="1"/>
    </row>
    <row r="25">
      <c r="A25" s="1"/>
      <c r="B25" s="51" t="s">
        <v>103</v>
      </c>
      <c r="C25" s="34" t="s">
        <v>37</v>
      </c>
      <c r="D25" s="26">
        <f>IF(AND(ISNUMBER(D23),ISNUMBER(C23)),D23-C23,"n/a")</f>
        <v>401</v>
      </c>
      <c r="E25" s="34" t="s">
        <v>37</v>
      </c>
      <c r="F25" s="34" t="s">
        <v>37</v>
      </c>
      <c r="G25" s="34" t="s">
        <v>37</v>
      </c>
      <c r="H25" s="26">
        <f>IF(AND(ISNUMBER(H23),ISNUMBER(G23)),H23-G23,"n/a")</f>
        <v>34</v>
      </c>
      <c r="I25" s="32">
        <f>IF(AND(ISNUMBER(I23),ISNUMBER(H23)),I23-H23,"n/a")</f>
        <v>358.9000000000001</v>
      </c>
      <c r="J25" s="1"/>
      <c r="K25" s="1"/>
    </row>
    <row r="26">
      <c r="A26" s="1"/>
      <c r="B26" s="18" t="s">
        <v>263</v>
      </c>
      <c r="C26" s="17">
        <f>IF(AND(ISNUMBER(C23),ISNUMBER(C12)),IF(C12=0,"n/a",C23/C12),"n/a")</f>
        <v>0.38283747233833293</v>
      </c>
      <c r="D26" s="17">
        <f>IF(AND(ISNUMBER(D23),ISNUMBER(D12)),IF(D12=0,"n/a",D23/D12),"n/a")</f>
        <v>0.48096290837632033</v>
      </c>
      <c r="E26" s="17">
        <f>IF(AND(ISNUMBER(E23),ISNUMBER(E12)),IF(E12=0,"n/a",E23/E12),"n/a")</f>
        <v>0.486712224753227</v>
      </c>
      <c r="F26" s="17">
        <f>IF(AND(ISNUMBER(F23),ISNUMBER(F12)),IF(F12=0,"n/a",F23/F12),"n/a")</f>
        <v>0.46283602870300955</v>
      </c>
      <c r="G26" s="17">
        <f>IF(AND(ISNUMBER(G23),ISNUMBER(G12)),IF(G12=0,"n/a",G23/G12),"n/a")</f>
        <v>0.7486152535151257</v>
      </c>
      <c r="H26" s="17">
        <f>IF(AND(ISNUMBER(H23),ISNUMBER(H12)),IF(H12=0,"n/a",H23/H12),"n/a")</f>
        <v>0.45405682109035067</v>
      </c>
      <c r="I26" s="55">
        <f>IF(AND(ISNUMBER(I23),ISNUMBER(I12)),IF(I12=0,"n/a",I23/I12),"n/a")</f>
        <v>0.30385325861042245</v>
      </c>
      <c r="J26" s="1"/>
      <c r="K26" s="1"/>
    </row>
    <row r="27">
      <c r="A27" s="1"/>
      <c r="B27" s="18" t="s">
        <v>98</v>
      </c>
      <c r="C27" s="37" t="s">
        <v>37</v>
      </c>
      <c r="D27" s="37" t="s">
        <v>37</v>
      </c>
      <c r="E27" s="37" t="s">
        <v>37</v>
      </c>
      <c r="F27" s="37" t="s">
        <v>37</v>
      </c>
      <c r="G27" s="43">
        <f>IF(AND(ISNUMBER(G26),ISNUMBER(C26)),(G26-C26)*10000,"n/a")</f>
        <v>3657.7778117679277</v>
      </c>
      <c r="H27" s="43">
        <f>IF(AND(ISNUMBER(H26),ISNUMBER(D26)),(H26-D26)*10000,"n/a")</f>
        <v>-269.0608728596966</v>
      </c>
      <c r="I27" s="54" t="s">
        <v>37</v>
      </c>
      <c r="J27" s="1"/>
      <c r="K27" s="1"/>
    </row>
    <row r="28">
      <c r="A28" s="1"/>
      <c r="B28" s="18" t="s">
        <v>99</v>
      </c>
      <c r="C28" s="37" t="s">
        <v>37</v>
      </c>
      <c r="D28" s="43">
        <f>IF(AND(ISNUMBER(D26),ISNUMBER(C26)),(D26-C26)*10000,"n/a")</f>
        <v>981.254360379874</v>
      </c>
      <c r="E28" s="37" t="s">
        <v>37</v>
      </c>
      <c r="F28" s="37" t="s">
        <v>37</v>
      </c>
      <c r="G28" s="37" t="s">
        <v>37</v>
      </c>
      <c r="H28" s="43">
        <f>IF(AND(ISNUMBER(H26),ISNUMBER(G26)),(H26-G26)*10000,"n/a")</f>
        <v>-2945.5843242477504</v>
      </c>
      <c r="I28" s="50">
        <f>IF(AND(ISNUMBER(I26),ISNUMBER(H26)),(I26-H26)*10000,"n/a")</f>
        <v>-1502.0356247992822</v>
      </c>
      <c r="J28" s="1"/>
      <c r="K28" s="1"/>
    </row>
    <row r="29">
      <c r="A29" s="1"/>
      <c r="B29" s="12" t="s">
        <v>137</v>
      </c>
      <c r="C29" s="22">
        <f>'Segment - Space'!C76+'Segment - Connectivity'!C100+'Segment - AI'!C142</f>
        <v>493</v>
      </c>
      <c r="D29" s="22">
        <f>'Segment - Space'!D76+'Segment - Connectivity'!D100+'Segment - AI'!D142</f>
        <v>606</v>
      </c>
      <c r="E29" s="26">
        <f>IF(COUNT(F29,C29,D29)=3,F29-C29-D29,"n/a")</f>
        <v>1545</v>
      </c>
      <c r="F29" s="34">
        <v>2644</v>
      </c>
      <c r="G29" s="22">
        <f>'Segment - Space'!G76+'Segment - Connectivity'!G100+'Segment - AI'!G142</f>
        <v>746</v>
      </c>
      <c r="H29" s="22">
        <f>'Segment - Space'!H76+'Segment - Connectivity'!H100+'Segment - AI'!H142</f>
        <v>912</v>
      </c>
      <c r="I29" s="42">
        <f>'Segment - Space'!I76+'Segment - Connectivity'!I100+'Segment - AI'!I142</f>
        <v>1094.56</v>
      </c>
      <c r="J29" s="11" t="s">
        <v>138</v>
      </c>
      <c r="K29" s="1"/>
    </row>
    <row r="30">
      <c r="A30" s="1"/>
      <c r="B30" s="18" t="s">
        <v>61</v>
      </c>
      <c r="C30" s="39" t="s">
        <v>37</v>
      </c>
      <c r="D30" s="39" t="s">
        <v>37</v>
      </c>
      <c r="E30" s="39" t="s">
        <v>37</v>
      </c>
      <c r="F30" s="39" t="s">
        <v>37</v>
      </c>
      <c r="G30" s="17">
        <f>IF(AND(ISNUMBER(G29),ISNUMBER(C29)),IF(OR(C29&lt;=0,G29&lt;0),"n/m",G29/C29-1),"n/a")</f>
        <v>0.513184584178499</v>
      </c>
      <c r="H30" s="17">
        <f>IF(AND(ISNUMBER(H29),ISNUMBER(D29)),IF(OR(D29&lt;=0,H29&lt;0),"n/m",H29/D29-1),"n/a")</f>
        <v>0.504950495049505</v>
      </c>
      <c r="I30" s="49" t="s">
        <v>37</v>
      </c>
      <c r="J30" s="1"/>
      <c r="K30" s="1"/>
    </row>
    <row r="31">
      <c r="A31" s="1"/>
      <c r="B31" s="51" t="s">
        <v>103</v>
      </c>
      <c r="C31" s="34" t="s">
        <v>37</v>
      </c>
      <c r="D31" s="26">
        <f>IF(AND(ISNUMBER(D29),ISNUMBER(C29)),D29-C29,"n/a")</f>
        <v>113</v>
      </c>
      <c r="E31" s="34" t="s">
        <v>37</v>
      </c>
      <c r="F31" s="34" t="s">
        <v>37</v>
      </c>
      <c r="G31" s="34" t="s">
        <v>37</v>
      </c>
      <c r="H31" s="26">
        <f>IF(AND(ISNUMBER(H29),ISNUMBER(G29)),H29-G29,"n/a")</f>
        <v>166</v>
      </c>
      <c r="I31" s="32">
        <f>IF(AND(ISNUMBER(I29),ISNUMBER(H29)),I29-H29,"n/a")</f>
        <v>182.55999999999995</v>
      </c>
      <c r="J31" s="1"/>
      <c r="K31" s="1"/>
    </row>
    <row r="32">
      <c r="A32" s="1"/>
      <c r="B32" s="18" t="s">
        <v>264</v>
      </c>
      <c r="C32" s="17">
        <f>IF(AND(ISNUMBER(C29),ISNUMBER(C12)),IF(C12=0,"n/a",C29/C12),"n/a")</f>
        <v>0.12121957216621589</v>
      </c>
      <c r="D32" s="17">
        <f>IF(AND(ISNUMBER(D29),ISNUMBER(D12)),IF(D12=0,"n/a",D29/D12),"n/a")</f>
        <v>0.14885777450257923</v>
      </c>
      <c r="E32" s="17">
        <f>IF(AND(ISNUMBER(E29),ISNUMBER(E12)),IF(E12=0,"n/a",E29/E12),"n/a")</f>
        <v>0.14664009111617313</v>
      </c>
      <c r="F32" s="17">
        <f>IF(AND(ISNUMBER(F29),ISNUMBER(F12)),IF(F12=0,"n/a",F29/F12),"n/a")</f>
        <v>0.1415872335868052</v>
      </c>
      <c r="G32" s="17">
        <f>IF(AND(ISNUMBER(G29),ISNUMBER(G12)),IF(G12=0,"n/a",G29/G12),"n/a")</f>
        <v>0.15892628887942054</v>
      </c>
      <c r="H32" s="17">
        <f>IF(AND(ISNUMBER(H29),ISNUMBER(H12)),IF(H12=0,"n/a",H29/H12),"n/a")</f>
        <v>0.11671359099052982</v>
      </c>
      <c r="I32" s="55">
        <f>IF(AND(ISNUMBER(I29),ISNUMBER(I12)),IF(I12=0,"n/a",I29/I12),"n/a")</f>
        <v>0.0851277541643308</v>
      </c>
      <c r="J32" s="1"/>
      <c r="K32" s="1"/>
    </row>
    <row r="33">
      <c r="A33" s="1"/>
      <c r="B33" s="18" t="s">
        <v>98</v>
      </c>
      <c r="C33" s="37" t="s">
        <v>37</v>
      </c>
      <c r="D33" s="37" t="s">
        <v>37</v>
      </c>
      <c r="E33" s="37" t="s">
        <v>37</v>
      </c>
      <c r="F33" s="37" t="s">
        <v>37</v>
      </c>
      <c r="G33" s="43">
        <f>IF(AND(ISNUMBER(G32),ISNUMBER(C32)),(G32-C32)*10000,"n/a")</f>
        <v>377.0671671320465</v>
      </c>
      <c r="H33" s="43">
        <f>IF(AND(ISNUMBER(H32),ISNUMBER(D32)),(H32-D32)*10000,"n/a")</f>
        <v>-321.4418351204941</v>
      </c>
      <c r="I33" s="54" t="s">
        <v>37</v>
      </c>
      <c r="J33" s="1"/>
      <c r="K33" s="1"/>
    </row>
    <row r="34">
      <c r="A34" s="1"/>
      <c r="B34" s="18" t="s">
        <v>99</v>
      </c>
      <c r="C34" s="37" t="s">
        <v>37</v>
      </c>
      <c r="D34" s="43">
        <f>IF(AND(ISNUMBER(D32),ISNUMBER(C32)),(D32-C32)*10000,"n/a")</f>
        <v>276.3820233636334</v>
      </c>
      <c r="E34" s="37" t="s">
        <v>37</v>
      </c>
      <c r="F34" s="37" t="s">
        <v>37</v>
      </c>
      <c r="G34" s="37" t="s">
        <v>37</v>
      </c>
      <c r="H34" s="43">
        <f>IF(AND(ISNUMBER(H32),ISNUMBER(G32)),(H32-G32)*10000,"n/a")</f>
        <v>-422.12697888890716</v>
      </c>
      <c r="I34" s="50">
        <f>IF(AND(ISNUMBER(I32),ISNUMBER(H32)),(I32-H32)*10000,"n/a")</f>
        <v>-315.85836826199017</v>
      </c>
      <c r="J34" s="1"/>
      <c r="K34" s="1"/>
    </row>
    <row r="35">
      <c r="A35" s="1"/>
      <c r="B35" s="12" t="s">
        <v>248</v>
      </c>
      <c r="C35" s="22">
        <f>'Segment - AI'!C145</f>
        <v>4</v>
      </c>
      <c r="D35" s="22">
        <f>'Segment - AI'!D145</f>
        <v>190</v>
      </c>
      <c r="E35" s="26">
        <f>IF(COUNT(F35,C35,D35)=3,F35-C35-D35,"n/a")</f>
        <v>293</v>
      </c>
      <c r="F35" s="34">
        <v>487</v>
      </c>
      <c r="G35" s="22">
        <f>'Segment - AI'!G145</f>
        <v>-11</v>
      </c>
      <c r="H35" s="22">
        <f>'Segment - AI'!H145</f>
        <v>2</v>
      </c>
      <c r="I35" s="42">
        <f>'Segment - AI'!I145</f>
        <v>0</v>
      </c>
      <c r="J35" s="11" t="s">
        <v>249</v>
      </c>
      <c r="K35" s="1"/>
    </row>
    <row r="36">
      <c r="A36" s="1"/>
      <c r="B36" s="18" t="s">
        <v>61</v>
      </c>
      <c r="C36" s="39" t="s">
        <v>37</v>
      </c>
      <c r="D36" s="39" t="s">
        <v>37</v>
      </c>
      <c r="E36" s="39" t="s">
        <v>37</v>
      </c>
      <c r="F36" s="39" t="s">
        <v>37</v>
      </c>
      <c r="G36" s="17" t="str">
        <f>IF(AND(ISNUMBER(G35),ISNUMBER(C35)),IF(OR(C35&lt;=0,G35&lt;0),"n/m",G35/C35-1),"n/a")</f>
        <v>n/m</v>
      </c>
      <c r="H36" s="17">
        <f>IF(AND(ISNUMBER(H35),ISNUMBER(D35)),IF(OR(D35&lt;=0,H35&lt;0),"n/m",H35/D35-1),"n/a")</f>
        <v>-0.9894736842105263</v>
      </c>
      <c r="I36" s="49" t="s">
        <v>37</v>
      </c>
      <c r="J36" s="1"/>
      <c r="K36" s="1"/>
    </row>
    <row r="37">
      <c r="A37" s="1"/>
      <c r="B37" s="51" t="s">
        <v>103</v>
      </c>
      <c r="C37" s="34" t="s">
        <v>37</v>
      </c>
      <c r="D37" s="26">
        <f>IF(AND(ISNUMBER(D35),ISNUMBER(C35)),D35-C35,"n/a")</f>
        <v>186</v>
      </c>
      <c r="E37" s="34" t="s">
        <v>37</v>
      </c>
      <c r="F37" s="34" t="s">
        <v>37</v>
      </c>
      <c r="G37" s="34" t="s">
        <v>37</v>
      </c>
      <c r="H37" s="26">
        <f>IF(AND(ISNUMBER(H35),ISNUMBER(G35)),H35-G35,"n/a")</f>
        <v>13</v>
      </c>
      <c r="I37" s="32">
        <f>IF(AND(ISNUMBER(I35),ISNUMBER(H35)),I35-H35,"n/a")</f>
        <v>-2</v>
      </c>
      <c r="J37" s="1"/>
      <c r="K37" s="1"/>
    </row>
    <row r="38">
      <c r="A38" s="1"/>
      <c r="B38" s="12" t="s">
        <v>139</v>
      </c>
      <c r="C38" s="22">
        <f>'Segment - Space'!C79</f>
        <v>24</v>
      </c>
      <c r="D38" s="22">
        <f>'Segment - Space'!D79</f>
        <v>5</v>
      </c>
      <c r="E38" s="26">
        <f>IF(COUNT(F38,C38,D38)=3,F38-C38-D38,"n/a")</f>
        <v>9</v>
      </c>
      <c r="F38" s="34">
        <v>38</v>
      </c>
      <c r="G38" s="22">
        <f>'Segment - Space'!G79</f>
        <v>0</v>
      </c>
      <c r="H38" s="22">
        <f>'Segment - Space'!H79</f>
        <v>0</v>
      </c>
      <c r="I38" s="42">
        <f>'Segment - Space'!I79</f>
        <v>0</v>
      </c>
      <c r="J38" s="1"/>
      <c r="K38" s="1"/>
    </row>
    <row r="39">
      <c r="A39" s="1"/>
      <c r="B39" s="18" t="s">
        <v>61</v>
      </c>
      <c r="C39" s="39" t="s">
        <v>37</v>
      </c>
      <c r="D39" s="39" t="s">
        <v>37</v>
      </c>
      <c r="E39" s="39" t="s">
        <v>37</v>
      </c>
      <c r="F39" s="39" t="s">
        <v>37</v>
      </c>
      <c r="G39" s="17">
        <f>IF(AND(ISNUMBER(G38),ISNUMBER(C38)),IF(OR(C38&lt;=0,G38&lt;0),"n/m",G38/C38-1),"n/a")</f>
        <v>-1</v>
      </c>
      <c r="H39" s="17">
        <f>IF(AND(ISNUMBER(H38),ISNUMBER(D38)),IF(OR(D38&lt;=0,H38&lt;0),"n/m",H38/D38-1),"n/a")</f>
        <v>-1</v>
      </c>
      <c r="I39" s="49" t="s">
        <v>37</v>
      </c>
      <c r="J39" s="1"/>
      <c r="K39" s="1"/>
    </row>
    <row r="40">
      <c r="A40" s="1"/>
      <c r="B40" s="51" t="s">
        <v>103</v>
      </c>
      <c r="C40" s="34" t="s">
        <v>37</v>
      </c>
      <c r="D40" s="26">
        <f>IF(AND(ISNUMBER(D38),ISNUMBER(C38)),D38-C38,"n/a")</f>
        <v>-19</v>
      </c>
      <c r="E40" s="34" t="s">
        <v>37</v>
      </c>
      <c r="F40" s="34" t="s">
        <v>37</v>
      </c>
      <c r="G40" s="34" t="s">
        <v>37</v>
      </c>
      <c r="H40" s="26">
        <f>IF(AND(ISNUMBER(H38),ISNUMBER(G38)),H38-G38,"n/a")</f>
        <v>0</v>
      </c>
      <c r="I40" s="32">
        <f>IF(AND(ISNUMBER(I38),ISNUMBER(H38)),I38-H38,"n/a")</f>
        <v>0</v>
      </c>
      <c r="J40" s="1"/>
      <c r="K40" s="1"/>
    </row>
    <row r="41">
      <c r="A41" s="1"/>
      <c r="B41" s="13" t="s">
        <v>140</v>
      </c>
      <c r="C41" s="41">
        <f>IF(COUNT(C16,C23,C29,C35,C38)=5,C16+C23+C29+C35+C38,"n/a")</f>
        <v>4040</v>
      </c>
      <c r="D41" s="41">
        <f>IF(COUNT(D16,D23,D29,D35,D38)=5,D16+D23+D29+D35+D38,"n/a")</f>
        <v>5041</v>
      </c>
      <c r="E41" s="41">
        <f>IF(COUNT(E16,E23,E29,E35,E38)=5,E16+E23+E29+E35+E38,"n/a")</f>
        <v>12182</v>
      </c>
      <c r="F41" s="41">
        <f>IF(COUNT(F16,F23,F29,F35,F38)=5,F16+F23+F29+F35+F38,"n/a")</f>
        <v>21263</v>
      </c>
      <c r="G41" s="41">
        <f>IF(COUNT(G16,G23,G29,G35,G38)=5,G16+G23+G29+G35+G38,"n/a")</f>
        <v>6637</v>
      </c>
      <c r="H41" s="41">
        <f>IF(COUNT(H16,H23,H29,H35,H38)=5,H16+H23+H29+H35+H38,"n/a")</f>
        <v>7957</v>
      </c>
      <c r="I41" s="36">
        <f>IF(COUNT(I16,I23,I29,I35,I38)=5,I16+I23+I29+I35+I38,"n/a")</f>
        <v>10657.043661917807</v>
      </c>
      <c r="J41" s="1"/>
      <c r="K41" s="1"/>
    </row>
    <row r="42">
      <c r="A42" s="1"/>
      <c r="B42" s="13" t="s">
        <v>265</v>
      </c>
      <c r="C42" s="41">
        <f>IF(COUNT(C12,C41)=2,C12-C41,"n/a")</f>
        <v>27</v>
      </c>
      <c r="D42" s="41">
        <f>IF(COUNT(D12,D41)=2,D12-D41,"n/a")</f>
        <v>-970</v>
      </c>
      <c r="E42" s="41">
        <f>IF(COUNT(E12,E41)=2,E12-E41,"n/a")</f>
        <v>-1646</v>
      </c>
      <c r="F42" s="41">
        <f>IF(COUNT(F12,F41)=2,F12-F41,"n/a")</f>
        <v>-2589</v>
      </c>
      <c r="G42" s="41">
        <f>IF(COUNT(G12,G41)=2,G12-G41,"n/a")</f>
        <v>-1943</v>
      </c>
      <c r="H42" s="41">
        <f>IF(COUNT(H12,H41)=2,H12-H41,"n/a")</f>
        <v>-143</v>
      </c>
      <c r="I42" s="36">
        <f>IF(COUNT(I12,I41)=2,I12-I41,"n/a")</f>
        <v>2200.807584657534</v>
      </c>
      <c r="J42" s="1"/>
      <c r="K42" s="1"/>
    </row>
    <row r="43">
      <c r="A43" s="1"/>
      <c r="B43" s="33" t="s">
        <v>144</v>
      </c>
      <c r="C43" s="17">
        <f>IF(AND(ISNUMBER(C42),ISNUMBER(C12)),IF(C12=0,"n/a",C42/C12),"n/a")</f>
        <v>0.006638800098352594</v>
      </c>
      <c r="D43" s="17">
        <f>IF(AND(ISNUMBER(D42),ISNUMBER(D12)),IF(D12=0,"n/a",D42/D12),"n/a")</f>
        <v>-0.23827069516089414</v>
      </c>
      <c r="E43" s="17">
        <f>IF(AND(ISNUMBER(E42),ISNUMBER(E12)),IF(E12=0,"n/a",E42/E12),"n/a")</f>
        <v>-0.15622627182991647</v>
      </c>
      <c r="F43" s="17">
        <f>IF(AND(ISNUMBER(F42),ISNUMBER(F12)),IF(F12=0,"n/a",F42/F12),"n/a")</f>
        <v>-0.13864196208632323</v>
      </c>
      <c r="G43" s="17">
        <f>IF(AND(ISNUMBER(G42),ISNUMBER(G12)),IF(G12=0,"n/a",G42/G12),"n/a")</f>
        <v>-0.41393268001704303</v>
      </c>
      <c r="H43" s="17">
        <f>IF(AND(ISNUMBER(H42),ISNUMBER(H12)),IF(H12=0,"n/a",H42/H12),"n/a")</f>
        <v>-0.018300486306629126</v>
      </c>
      <c r="I43" s="55">
        <f>IF(AND(ISNUMBER(I42),ISNUMBER(I12)),IF(I12=0,"n/a",I42/I12),"n/a")</f>
        <v>0.1711644926086475</v>
      </c>
      <c r="J43" s="1"/>
      <c r="K43" s="1"/>
    </row>
    <row r="44">
      <c r="A44" s="1"/>
      <c r="B44" s="18" t="s">
        <v>98</v>
      </c>
      <c r="C44" s="37" t="s">
        <v>37</v>
      </c>
      <c r="D44" s="37" t="s">
        <v>37</v>
      </c>
      <c r="E44" s="37" t="s">
        <v>37</v>
      </c>
      <c r="F44" s="37" t="s">
        <v>37</v>
      </c>
      <c r="G44" s="43">
        <f>IF(AND(ISNUMBER(G43),ISNUMBER(C43)),(G43-C43)*10000,"n/a")</f>
        <v>-4205.714801153957</v>
      </c>
      <c r="H44" s="43">
        <f>IF(AND(ISNUMBER(H43),ISNUMBER(D43)),(H43-D43)*10000,"n/a")</f>
        <v>2199.70208854265</v>
      </c>
      <c r="I44" s="54" t="s">
        <v>37</v>
      </c>
      <c r="J44" s="1"/>
      <c r="K44" s="1"/>
    </row>
    <row r="45">
      <c r="A45" s="1"/>
      <c r="B45" s="18" t="s">
        <v>99</v>
      </c>
      <c r="C45" s="37" t="s">
        <v>37</v>
      </c>
      <c r="D45" s="43">
        <f>IF(AND(ISNUMBER(D43),ISNUMBER(C43)),(D43-C43)*10000,"n/a")</f>
        <v>-2449.0949525924675</v>
      </c>
      <c r="E45" s="37" t="s">
        <v>37</v>
      </c>
      <c r="F45" s="37" t="s">
        <v>37</v>
      </c>
      <c r="G45" s="37" t="s">
        <v>37</v>
      </c>
      <c r="H45" s="43">
        <f>IF(AND(ISNUMBER(H43),ISNUMBER(G43)),(H43-G43)*10000,"n/a")</f>
        <v>3956.321937104139</v>
      </c>
      <c r="I45" s="50">
        <f>IF(AND(ISNUMBER(I43),ISNUMBER(H43)),(I43-H43)*10000,"n/a")</f>
        <v>1894.649789152766</v>
      </c>
      <c r="J45" s="1"/>
      <c r="K45" s="1"/>
    </row>
    <row r="46">
      <c r="A46" s="1"/>
      <c r="B46" s="12" t="s">
        <v>266</v>
      </c>
      <c r="C46" s="22">
        <f>IF(ISNUMBER(C42),'Segment - Space'!C83+'Segment - Connectivity'!C104+'Segment - AI'!C149-C42,"n/a")</f>
        <v>0</v>
      </c>
      <c r="D46" s="22">
        <f>IF(ISNUMBER(D42),'Segment - Space'!D83+'Segment - Connectivity'!D104+'Segment - AI'!D149-D42,"n/a")</f>
        <v>0</v>
      </c>
      <c r="E46" s="22">
        <f>IF(ISNUMBER(E42),'Segment - Space'!E83+'Segment - Connectivity'!E104+'Segment - AI'!E149-E42,"n/a")</f>
        <v>0</v>
      </c>
      <c r="F46" s="22">
        <f>IF(ISNUMBER(F42),'Segment - Space'!F83+'Segment - Connectivity'!F104+'Segment - AI'!F149-F42,"n/a")</f>
        <v>0</v>
      </c>
      <c r="G46" s="22">
        <f>IF(ISNUMBER(G42),'Segment - Space'!G83+'Segment - Connectivity'!G104+'Segment - AI'!G149-G42,"n/a")</f>
        <v>0</v>
      </c>
      <c r="H46" s="22">
        <f>IF(ISNUMBER(H42),'Segment - Space'!H83+'Segment - Connectivity'!H104+'Segment - AI'!H149-H42,"n/a")</f>
        <v>0</v>
      </c>
      <c r="I46" s="42">
        <f>IF(ISNUMBER(I42),'Segment - Space'!I83+'Segment - Connectivity'!I104+'Segment - AI'!I149-I42,"n/a")</f>
        <v>0</v>
      </c>
      <c r="J46" s="11" t="s">
        <v>267</v>
      </c>
      <c r="K46" s="1"/>
    </row>
    <row r="47">
      <c r="A47" s="1"/>
      <c r="B47" s="23" t="s">
        <v>268</v>
      </c>
      <c r="C47" s="1"/>
      <c r="D47" s="1"/>
      <c r="E47" s="1"/>
      <c r="F47" s="1"/>
      <c r="G47" s="1"/>
      <c r="H47" s="1"/>
      <c r="I47" s="53"/>
      <c r="J47" s="1"/>
      <c r="K47" s="1"/>
    </row>
    <row r="48">
      <c r="A48" s="1"/>
      <c r="B48" s="12" t="s">
        <v>269</v>
      </c>
      <c r="C48" s="34">
        <v>447</v>
      </c>
      <c r="D48" s="34">
        <v>411</v>
      </c>
      <c r="E48" s="26">
        <f>IF(COUNT(F48,C48,D48)=3,F48-C48-D48,"n/a")</f>
        <v>1087</v>
      </c>
      <c r="F48" s="34">
        <v>1945</v>
      </c>
      <c r="G48" s="34">
        <v>664</v>
      </c>
      <c r="H48" s="34">
        <v>629</v>
      </c>
      <c r="I48" s="32">
        <f>I107*I110*I$6/365</f>
        <v>644.9225205479453</v>
      </c>
      <c r="J48" s="11" t="s">
        <v>270</v>
      </c>
      <c r="K48" s="1"/>
    </row>
    <row r="49">
      <c r="A49" s="1"/>
      <c r="B49" s="18" t="s">
        <v>61</v>
      </c>
      <c r="C49" s="39" t="s">
        <v>37</v>
      </c>
      <c r="D49" s="39" t="s">
        <v>37</v>
      </c>
      <c r="E49" s="39" t="s">
        <v>37</v>
      </c>
      <c r="F49" s="39" t="s">
        <v>37</v>
      </c>
      <c r="G49" s="17">
        <f>IF(AND(ISNUMBER(G48),ISNUMBER(C48)),IF(OR(C48&lt;=0,G48&lt;0),"n/m",G48/C48-1),"n/a")</f>
        <v>0.4854586129753915</v>
      </c>
      <c r="H49" s="17">
        <f>IF(AND(ISNUMBER(H48),ISNUMBER(D48)),IF(OR(D48&lt;=0,H48&lt;0),"n/m",H48/D48-1),"n/a")</f>
        <v>0.5304136253041363</v>
      </c>
      <c r="I49" s="49" t="s">
        <v>37</v>
      </c>
      <c r="J49" s="1"/>
      <c r="K49" s="1"/>
    </row>
    <row r="50">
      <c r="A50" s="1"/>
      <c r="B50" s="51" t="s">
        <v>103</v>
      </c>
      <c r="C50" s="34" t="s">
        <v>37</v>
      </c>
      <c r="D50" s="26">
        <f>IF(AND(ISNUMBER(D48),ISNUMBER(C48)),D48-C48,"n/a")</f>
        <v>-36</v>
      </c>
      <c r="E50" s="34" t="s">
        <v>37</v>
      </c>
      <c r="F50" s="34" t="s">
        <v>37</v>
      </c>
      <c r="G50" s="34" t="s">
        <v>37</v>
      </c>
      <c r="H50" s="26">
        <f>IF(AND(ISNUMBER(H48),ISNUMBER(G48)),H48-G48,"n/a")</f>
        <v>-35</v>
      </c>
      <c r="I50" s="32">
        <f>IF(AND(ISNUMBER(I48),ISNUMBER(H48)),I48-H48,"n/a")</f>
        <v>15.922520547945282</v>
      </c>
      <c r="J50" s="1"/>
      <c r="K50" s="1"/>
    </row>
    <row r="51">
      <c r="A51" s="1"/>
      <c r="B51" s="12" t="s">
        <v>271</v>
      </c>
      <c r="C51" s="34">
        <v>117</v>
      </c>
      <c r="D51" s="34">
        <v>98</v>
      </c>
      <c r="E51" s="26">
        <f>IF(COUNT(F51,C51,D51)=3,F51-C51-D51,"n/a")</f>
        <v>277</v>
      </c>
      <c r="F51" s="34">
        <v>492</v>
      </c>
      <c r="G51" s="34">
        <v>213</v>
      </c>
      <c r="H51" s="34">
        <v>340</v>
      </c>
      <c r="I51" s="32">
        <f>I113*I116*I$6/365</f>
        <v>926.2879474160976</v>
      </c>
      <c r="J51" s="1"/>
      <c r="K51" s="1"/>
    </row>
    <row r="52">
      <c r="A52" s="1"/>
      <c r="B52" s="18" t="s">
        <v>61</v>
      </c>
      <c r="C52" s="39" t="s">
        <v>37</v>
      </c>
      <c r="D52" s="39" t="s">
        <v>37</v>
      </c>
      <c r="E52" s="39" t="s">
        <v>37</v>
      </c>
      <c r="F52" s="39" t="s">
        <v>37</v>
      </c>
      <c r="G52" s="17">
        <f>IF(AND(ISNUMBER(G51),ISNUMBER(C51)),IF(OR(C51&lt;=0,G51&lt;0),"n/m",G51/C51-1),"n/a")</f>
        <v>0.8205128205128205</v>
      </c>
      <c r="H52" s="17">
        <f>IF(AND(ISNUMBER(H51),ISNUMBER(D51)),IF(OR(D51&lt;=0,H51&lt;0),"n/m",H51/D51-1),"n/a")</f>
        <v>2.4693877551020407</v>
      </c>
      <c r="I52" s="49" t="s">
        <v>37</v>
      </c>
      <c r="J52" s="1"/>
      <c r="K52" s="1"/>
    </row>
    <row r="53">
      <c r="A53" s="1"/>
      <c r="B53" s="51" t="s">
        <v>103</v>
      </c>
      <c r="C53" s="34" t="s">
        <v>37</v>
      </c>
      <c r="D53" s="26">
        <f>IF(AND(ISNUMBER(D51),ISNUMBER(C51)),D51-C51,"n/a")</f>
        <v>-19</v>
      </c>
      <c r="E53" s="34" t="s">
        <v>37</v>
      </c>
      <c r="F53" s="34" t="s">
        <v>37</v>
      </c>
      <c r="G53" s="34" t="s">
        <v>37</v>
      </c>
      <c r="H53" s="26">
        <f>IF(AND(ISNUMBER(H51),ISNUMBER(G51)),H51-G51,"n/a")</f>
        <v>127</v>
      </c>
      <c r="I53" s="32">
        <f>IF(AND(ISNUMBER(I51),ISNUMBER(H51)),I51-H51,"n/a")</f>
        <v>586.2879474160976</v>
      </c>
      <c r="J53" s="1"/>
      <c r="K53" s="1"/>
    </row>
    <row r="54">
      <c r="A54" s="1"/>
      <c r="B54" s="51" t="s">
        <v>272</v>
      </c>
      <c r="C54" s="34" t="s">
        <v>37</v>
      </c>
      <c r="D54" s="34" t="s">
        <v>37</v>
      </c>
      <c r="E54" s="34" t="s">
        <v>37</v>
      </c>
      <c r="F54" s="34" t="s">
        <v>37</v>
      </c>
      <c r="G54" s="34" t="s">
        <v>37</v>
      </c>
      <c r="H54" s="34" t="s">
        <v>37</v>
      </c>
      <c r="I54" s="32">
        <f>I119*(I125-I122)/1000000</f>
        <v>467.70625288000014</v>
      </c>
      <c r="J54" s="11" t="s">
        <v>273</v>
      </c>
      <c r="K54" s="1"/>
    </row>
    <row r="55">
      <c r="A55" s="1"/>
      <c r="B55" s="51" t="s">
        <v>274</v>
      </c>
      <c r="C55" s="34" t="s">
        <v>37</v>
      </c>
      <c r="D55" s="34" t="s">
        <v>37</v>
      </c>
      <c r="E55" s="34" t="s">
        <v>37</v>
      </c>
      <c r="F55" s="34" t="s">
        <v>37</v>
      </c>
      <c r="G55" s="34" t="s">
        <v>37</v>
      </c>
      <c r="H55" s="34" t="s">
        <v>37</v>
      </c>
      <c r="I55" s="52">
        <v>0</v>
      </c>
      <c r="J55" s="11" t="s">
        <v>275</v>
      </c>
      <c r="K55" s="1"/>
    </row>
    <row r="56">
      <c r="A56" s="1"/>
      <c r="B56" s="29" t="s">
        <v>276</v>
      </c>
      <c r="C56" s="47">
        <v>-211</v>
      </c>
      <c r="D56" s="47">
        <v>413</v>
      </c>
      <c r="E56" s="41">
        <f>IF(COUNT(F56,C56,D56)=3,F56-C56-D56,"n/a")</f>
        <v>-379</v>
      </c>
      <c r="F56" s="47">
        <v>-177</v>
      </c>
      <c r="G56" s="47">
        <v>-1876</v>
      </c>
      <c r="H56" s="47">
        <v>-86</v>
      </c>
      <c r="I56" s="36">
        <f>I54+I55</f>
        <v>467.70625288000014</v>
      </c>
      <c r="J56" s="1"/>
      <c r="K56" s="1"/>
    </row>
    <row r="57">
      <c r="A57" s="1"/>
      <c r="B57" s="13" t="s">
        <v>277</v>
      </c>
      <c r="C57" s="41">
        <f>IF(COUNT(C42,C48,C51,C56)=4,C42-C48+C51+C56,"n/a")</f>
        <v>-514</v>
      </c>
      <c r="D57" s="41">
        <f>IF(COUNT(D42,D48,D51,D56)=4,D42-D48+D51+D56,"n/a")</f>
        <v>-870</v>
      </c>
      <c r="E57" s="41">
        <f>IF(COUNT(E42,E48,E51,E56)=4,E42-E48+E51+E56,"n/a")</f>
        <v>-2835</v>
      </c>
      <c r="F57" s="41">
        <f>IF(COUNT(F42,F48,F51,F56)=4,F42-F48+F51+F56,"n/a")</f>
        <v>-4219</v>
      </c>
      <c r="G57" s="41">
        <f>IF(COUNT(G42,G48,G51,G56)=4,G42-G48+G51+G56,"n/a")</f>
        <v>-4270</v>
      </c>
      <c r="H57" s="41">
        <f>IF(COUNT(H42,H48,H51,H56)=4,H42-H48+H51+H56,"n/a")</f>
        <v>-518</v>
      </c>
      <c r="I57" s="36">
        <f>IF(COUNT(I42,I48,I51,I56)=4,I42-I48+I51+I56,"n/a")</f>
        <v>2949.8792644056866</v>
      </c>
      <c r="J57" s="11" t="s">
        <v>278</v>
      </c>
      <c r="K57" s="1"/>
    </row>
    <row r="58">
      <c r="A58" s="1"/>
      <c r="B58" s="12" t="s">
        <v>279</v>
      </c>
      <c r="C58" s="34">
        <v>14</v>
      </c>
      <c r="D58" s="34">
        <v>138</v>
      </c>
      <c r="E58" s="26">
        <f>IF(COUNT(F58,C58,D58)=3,F58-C58-D58,"n/a")</f>
        <v>566</v>
      </c>
      <c r="F58" s="34">
        <v>718</v>
      </c>
      <c r="G58" s="34">
        <v>6</v>
      </c>
      <c r="H58" s="34">
        <v>23</v>
      </c>
      <c r="I58" s="52">
        <v>200</v>
      </c>
      <c r="J58" s="11" t="s">
        <v>280</v>
      </c>
      <c r="K58" s="1"/>
    </row>
    <row r="59">
      <c r="A59" s="1"/>
      <c r="B59" s="18" t="s">
        <v>61</v>
      </c>
      <c r="C59" s="39" t="s">
        <v>37</v>
      </c>
      <c r="D59" s="39" t="s">
        <v>37</v>
      </c>
      <c r="E59" s="39" t="s">
        <v>37</v>
      </c>
      <c r="F59" s="39" t="s">
        <v>37</v>
      </c>
      <c r="G59" s="17">
        <f>IF(AND(ISNUMBER(G58),ISNUMBER(C58)),IF(OR(C58&lt;=0,G58&lt;0),"n/m",G58/C58-1),"n/a")</f>
        <v>-0.5714285714285714</v>
      </c>
      <c r="H59" s="17">
        <f>IF(AND(ISNUMBER(H58),ISNUMBER(D58)),IF(OR(D58&lt;=0,H58&lt;0),"n/m",H58/D58-1),"n/a")</f>
        <v>-0.8333333333333334</v>
      </c>
      <c r="I59" s="49" t="s">
        <v>37</v>
      </c>
      <c r="J59" s="1"/>
      <c r="K59" s="1"/>
    </row>
    <row r="60">
      <c r="A60" s="1"/>
      <c r="B60" s="51" t="s">
        <v>103</v>
      </c>
      <c r="C60" s="34" t="s">
        <v>37</v>
      </c>
      <c r="D60" s="26">
        <f>IF(AND(ISNUMBER(D58),ISNUMBER(C58)),D58-C58,"n/a")</f>
        <v>124</v>
      </c>
      <c r="E60" s="34" t="s">
        <v>37</v>
      </c>
      <c r="F60" s="34" t="s">
        <v>37</v>
      </c>
      <c r="G60" s="34" t="s">
        <v>37</v>
      </c>
      <c r="H60" s="26">
        <f>IF(AND(ISNUMBER(H58),ISNUMBER(G58)),H58-G58,"n/a")</f>
        <v>17</v>
      </c>
      <c r="I60" s="32">
        <f>IF(AND(ISNUMBER(I58),ISNUMBER(H58)),I58-H58,"n/a")</f>
        <v>177</v>
      </c>
      <c r="J60" s="1"/>
      <c r="K60" s="1"/>
    </row>
    <row r="61">
      <c r="A61" s="1"/>
      <c r="B61" s="18" t="s">
        <v>281</v>
      </c>
      <c r="C61" s="17">
        <f>IF(AND(ISNUMBER(C58),ISNUMBER(C57)),IF(C57=0,"n/a",C58/C57),"n/a")</f>
        <v>-0.027237354085603113</v>
      </c>
      <c r="D61" s="17">
        <f>IF(AND(ISNUMBER(D58),ISNUMBER(D57)),IF(D57=0,"n/a",D58/D57),"n/a")</f>
        <v>-0.15862068965517243</v>
      </c>
      <c r="E61" s="17">
        <f>IF(AND(ISNUMBER(E58),ISNUMBER(E57)),IF(E57=0,"n/a",E58/E57),"n/a")</f>
        <v>-0.19964726631393298</v>
      </c>
      <c r="F61" s="17">
        <f>IF(AND(ISNUMBER(F58),ISNUMBER(F57)),IF(F57=0,"n/a",F58/F57),"n/a")</f>
        <v>-0.17018250770324722</v>
      </c>
      <c r="G61" s="17">
        <f>IF(AND(ISNUMBER(G58),ISNUMBER(G57)),IF(G57=0,"n/a",G58/G57),"n/a")</f>
        <v>-0.001405152224824356</v>
      </c>
      <c r="H61" s="17">
        <f>IF(AND(ISNUMBER(H58),ISNUMBER(H57)),IF(H57=0,"n/a",H58/H57),"n/a")</f>
        <v>-0.0444015444015444</v>
      </c>
      <c r="I61" s="55">
        <f>IF(AND(ISNUMBER(I58),ISNUMBER(I57)),IF(I57=0,"n/a",I58/I57),"n/a")</f>
        <v>0.06779938501662511</v>
      </c>
      <c r="J61" s="1"/>
      <c r="K61" s="1"/>
    </row>
    <row r="62">
      <c r="A62" s="1"/>
      <c r="B62" s="18" t="s">
        <v>98</v>
      </c>
      <c r="C62" s="37" t="s">
        <v>37</v>
      </c>
      <c r="D62" s="37" t="s">
        <v>37</v>
      </c>
      <c r="E62" s="37" t="s">
        <v>37</v>
      </c>
      <c r="F62" s="37" t="s">
        <v>37</v>
      </c>
      <c r="G62" s="43">
        <f>IF(AND(ISNUMBER(G61),ISNUMBER(C61)),(G61-C61)*10000,"n/a")</f>
        <v>258.3220186077876</v>
      </c>
      <c r="H62" s="43">
        <f>IF(AND(ISNUMBER(H61),ISNUMBER(D61)),(H61-D61)*10000,"n/a")</f>
        <v>1142.1914525362804</v>
      </c>
      <c r="I62" s="54" t="s">
        <v>37</v>
      </c>
      <c r="J62" s="1"/>
      <c r="K62" s="1"/>
    </row>
    <row r="63">
      <c r="A63" s="1"/>
      <c r="B63" s="18" t="s">
        <v>99</v>
      </c>
      <c r="C63" s="37" t="s">
        <v>37</v>
      </c>
      <c r="D63" s="43">
        <f>IF(AND(ISNUMBER(D61),ISNUMBER(C61)),(D61-C61)*10000,"n/a")</f>
        <v>-1313.8333556956932</v>
      </c>
      <c r="E63" s="37" t="s">
        <v>37</v>
      </c>
      <c r="F63" s="37" t="s">
        <v>37</v>
      </c>
      <c r="G63" s="37" t="s">
        <v>37</v>
      </c>
      <c r="H63" s="43">
        <f>IF(AND(ISNUMBER(H61),ISNUMBER(G61)),(H61-G61)*10000,"n/a")</f>
        <v>-429.9639217672005</v>
      </c>
      <c r="I63" s="50">
        <f>IF(AND(ISNUMBER(I61),ISNUMBER(H61)),(I61-H61)*10000,"n/a")</f>
        <v>1122.009294181695</v>
      </c>
      <c r="J63" s="1"/>
      <c r="K63" s="1"/>
    </row>
    <row r="64">
      <c r="A64" s="1"/>
      <c r="B64" s="13" t="s">
        <v>282</v>
      </c>
      <c r="C64" s="41">
        <f>IF(COUNT(C57,C58)=2,C57-C58,"n/a")</f>
        <v>-528</v>
      </c>
      <c r="D64" s="41">
        <f>IF(COUNT(D57,D58)=2,D57-D58,"n/a")</f>
        <v>-1008</v>
      </c>
      <c r="E64" s="41">
        <f>IF(COUNT(E57,E58)=2,E57-E58,"n/a")</f>
        <v>-3401</v>
      </c>
      <c r="F64" s="41">
        <f>IF(COUNT(F57,F58)=2,F57-F58,"n/a")</f>
        <v>-4937</v>
      </c>
      <c r="G64" s="41">
        <f>IF(COUNT(G57,G58)=2,G57-G58,"n/a")</f>
        <v>-4276</v>
      </c>
      <c r="H64" s="41">
        <f>IF(COUNT(H57,H58)=2,H57-H58,"n/a")</f>
        <v>-541</v>
      </c>
      <c r="I64" s="36">
        <f>IF(COUNT(I57,I58)=2,I57-I58,"n/a")</f>
        <v>2749.8792644056866</v>
      </c>
      <c r="J64" s="1"/>
      <c r="K64" s="1"/>
    </row>
    <row r="65">
      <c r="A65" s="1"/>
      <c r="B65" s="33" t="s">
        <v>283</v>
      </c>
      <c r="C65" s="17">
        <f>IF(AND(ISNUMBER(C64),ISNUMBER(C12)),IF(C12=0,"n/a",C64/C12),"n/a")</f>
        <v>-0.12982542414556184</v>
      </c>
      <c r="D65" s="17">
        <f>IF(AND(ISNUMBER(D64),ISNUMBER(D12)),IF(D12=0,"n/a",D64/D12),"n/a")</f>
        <v>-0.24760501105379515</v>
      </c>
      <c r="E65" s="17">
        <f>IF(AND(ISNUMBER(E64),ISNUMBER(E12)),IF(E12=0,"n/a",E64/E12),"n/a")</f>
        <v>-0.32279802581624906</v>
      </c>
      <c r="F65" s="17">
        <f>IF(AND(ISNUMBER(F64),ISNUMBER(F12)),IF(F12=0,"n/a",F64/F12),"n/a")</f>
        <v>-0.2643782799614437</v>
      </c>
      <c r="G65" s="17">
        <f>IF(AND(ISNUMBER(G64),ISNUMBER(G12)),IF(G12=0,"n/a",G64/G12),"n/a")</f>
        <v>-0.9109501491265445</v>
      </c>
      <c r="H65" s="17">
        <f>IF(AND(ISNUMBER(H64),ISNUMBER(H12)),IF(H12=0,"n/a",H64/H12),"n/a")</f>
        <v>-0.06923470693626824</v>
      </c>
      <c r="I65" s="55">
        <f>IF(AND(ISNUMBER(I64),ISNUMBER(I12)),IF(I12=0,"n/a",I64/I12),"n/a")</f>
        <v>0.21386771488261777</v>
      </c>
      <c r="J65" s="1"/>
      <c r="K65" s="1"/>
    </row>
    <row r="66">
      <c r="A66" s="1"/>
      <c r="B66" s="18" t="s">
        <v>98</v>
      </c>
      <c r="C66" s="37" t="s">
        <v>37</v>
      </c>
      <c r="D66" s="37" t="s">
        <v>37</v>
      </c>
      <c r="E66" s="37" t="s">
        <v>37</v>
      </c>
      <c r="F66" s="37" t="s">
        <v>37</v>
      </c>
      <c r="G66" s="43">
        <f>IF(AND(ISNUMBER(G65),ISNUMBER(C65)),(G65-C65)*10000,"n/a")</f>
        <v>-7811.247249809826</v>
      </c>
      <c r="H66" s="43">
        <f>IF(AND(ISNUMBER(H65),ISNUMBER(D65)),(H65-D65)*10000,"n/a")</f>
        <v>1783.7030411752692</v>
      </c>
      <c r="I66" s="54" t="s">
        <v>37</v>
      </c>
      <c r="J66" s="1"/>
      <c r="K66" s="1"/>
    </row>
    <row r="67">
      <c r="A67" s="1"/>
      <c r="B67" s="18" t="s">
        <v>99</v>
      </c>
      <c r="C67" s="37" t="s">
        <v>37</v>
      </c>
      <c r="D67" s="43">
        <f>IF(AND(ISNUMBER(D65),ISNUMBER(C65)),(D65-C65)*10000,"n/a")</f>
        <v>-1177.7958690823332</v>
      </c>
      <c r="E67" s="37" t="s">
        <v>37</v>
      </c>
      <c r="F67" s="37" t="s">
        <v>37</v>
      </c>
      <c r="G67" s="37" t="s">
        <v>37</v>
      </c>
      <c r="H67" s="43">
        <f>IF(AND(ISNUMBER(H65),ISNUMBER(G65)),(H65-G65)*10000,"n/a")</f>
        <v>8417.154421902762</v>
      </c>
      <c r="I67" s="50">
        <f>IF(AND(ISNUMBER(I65),ISNUMBER(H65)),(I65-H65)*10000,"n/a")</f>
        <v>2831.0242181888602</v>
      </c>
      <c r="J67" s="1"/>
      <c r="K67" s="1"/>
    </row>
    <row r="68">
      <c r="A68" s="1"/>
      <c r="B68" s="12" t="s">
        <v>284</v>
      </c>
      <c r="C68" s="34">
        <v>-528</v>
      </c>
      <c r="D68" s="34">
        <v>-1008</v>
      </c>
      <c r="E68" s="26">
        <f>IF(COUNT(F68,C68,D68)=3,F68-C68-D68,"n/a")</f>
        <v>-3401</v>
      </c>
      <c r="F68" s="34">
        <v>-4937</v>
      </c>
      <c r="G68" s="34">
        <v>-4276</v>
      </c>
      <c r="H68" s="34">
        <v>-541</v>
      </c>
      <c r="I68" s="52" t="s">
        <v>37</v>
      </c>
      <c r="J68" s="1"/>
      <c r="K68" s="1"/>
    </row>
    <row r="69">
      <c r="A69" s="1"/>
      <c r="B69" s="12" t="s">
        <v>285</v>
      </c>
      <c r="C69" s="26">
        <f>IF(ISNUMBER(C68),C64-C68,"n/a")</f>
        <v>0</v>
      </c>
      <c r="D69" s="26">
        <f>IF(ISNUMBER(D68),D64-D68,"n/a")</f>
        <v>0</v>
      </c>
      <c r="E69" s="26">
        <f>IF(ISNUMBER(E68),E64-E68,"n/a")</f>
        <v>0</v>
      </c>
      <c r="F69" s="26">
        <f>IF(ISNUMBER(F68),F64-F68,"n/a")</f>
        <v>0</v>
      </c>
      <c r="G69" s="26">
        <f>IF(ISNUMBER(G68),G64-G68,"n/a")</f>
        <v>0</v>
      </c>
      <c r="H69" s="26">
        <f>IF(ISNUMBER(H68),H64-H68,"n/a")</f>
        <v>0</v>
      </c>
      <c r="I69" s="32" t="str">
        <f>IF(ISNUMBER(I68),I64-I68,"n/a")</f>
        <v>n/a</v>
      </c>
      <c r="J69" s="11" t="s">
        <v>286</v>
      </c>
      <c r="K69" s="1"/>
    </row>
    <row r="70">
      <c r="A70" s="1"/>
      <c r="B70" s="12" t="s">
        <v>287</v>
      </c>
      <c r="C70" s="34">
        <v>0</v>
      </c>
      <c r="D70" s="34">
        <v>0</v>
      </c>
      <c r="E70" s="26">
        <f>IF(COUNT(F70,C70,D70)=3,F70-C70-D70,"n/a")</f>
        <v>0</v>
      </c>
      <c r="F70" s="34">
        <v>0</v>
      </c>
      <c r="G70" s="34">
        <v>671</v>
      </c>
      <c r="H70" s="34">
        <v>0</v>
      </c>
      <c r="I70" s="52">
        <v>0</v>
      </c>
      <c r="J70" s="11" t="s">
        <v>288</v>
      </c>
      <c r="K70" s="1"/>
    </row>
    <row r="71">
      <c r="A71" s="1"/>
      <c r="B71" s="13" t="s">
        <v>289</v>
      </c>
      <c r="C71" s="41">
        <f>IF(COUNT(C64,C70)=2,C64-C70,"n/a")</f>
        <v>-528</v>
      </c>
      <c r="D71" s="41">
        <f>IF(COUNT(D64,D70)=2,D64-D70,"n/a")</f>
        <v>-1008</v>
      </c>
      <c r="E71" s="41">
        <f>IF(COUNT(E64,E70)=2,E64-E70,"n/a")</f>
        <v>-3401</v>
      </c>
      <c r="F71" s="41">
        <f>IF(COUNT(F64,F70)=2,F64-F70,"n/a")</f>
        <v>-4937</v>
      </c>
      <c r="G71" s="41">
        <f>IF(COUNT(G64,G70)=2,G64-G70,"n/a")</f>
        <v>-4947</v>
      </c>
      <c r="H71" s="41">
        <f>IF(COUNT(H64,H70)=2,H64-H70,"n/a")</f>
        <v>-541</v>
      </c>
      <c r="I71" s="36">
        <f>IF(COUNT(I64,I70)=2,I64-I70,"n/a")</f>
        <v>2749.8792644056866</v>
      </c>
      <c r="J71" s="11" t="s">
        <v>290</v>
      </c>
      <c r="K71" s="1"/>
    </row>
    <row r="72">
      <c r="A72" s="1"/>
      <c r="B72" s="23" t="s">
        <v>291</v>
      </c>
      <c r="C72" s="1"/>
      <c r="D72" s="1"/>
      <c r="E72" s="1"/>
      <c r="F72" s="1"/>
      <c r="G72" s="1"/>
      <c r="H72" s="1"/>
      <c r="I72" s="53"/>
      <c r="J72" s="1"/>
      <c r="K72" s="1"/>
    </row>
    <row r="73">
      <c r="A73" s="1"/>
      <c r="B73" s="12" t="s">
        <v>292</v>
      </c>
      <c r="C73" s="22">
        <f>'Share Count'!C38</f>
        <v>2875</v>
      </c>
      <c r="D73" s="22">
        <f>'Share Count'!D38</f>
        <v>2929</v>
      </c>
      <c r="E73" s="22" t="str">
        <f>'Share Count'!E38</f>
        <v>n/a</v>
      </c>
      <c r="F73" s="22">
        <f>'Share Count'!F38</f>
        <v>2926</v>
      </c>
      <c r="G73" s="22">
        <f>'Share Count'!G38</f>
        <v>3884</v>
      </c>
      <c r="H73" s="22">
        <f>'Share Count'!H38</f>
        <v>5864</v>
      </c>
      <c r="I73" s="42">
        <f>'Share Count'!I38</f>
        <v>12093.801746086958</v>
      </c>
      <c r="J73" s="11" t="s">
        <v>293</v>
      </c>
      <c r="K73" s="1"/>
    </row>
    <row r="74">
      <c r="A74" s="1"/>
      <c r="B74" s="12" t="s">
        <v>294</v>
      </c>
      <c r="C74" s="22">
        <f>'Share Count'!C53</f>
        <v>2875</v>
      </c>
      <c r="D74" s="22">
        <f>'Share Count'!D53</f>
        <v>2929</v>
      </c>
      <c r="E74" s="22" t="str">
        <f>'Share Count'!E53</f>
        <v>n/a</v>
      </c>
      <c r="F74" s="22">
        <f>'Share Count'!F53</f>
        <v>2926</v>
      </c>
      <c r="G74" s="22">
        <f>'Share Count'!G53</f>
        <v>3884</v>
      </c>
      <c r="H74" s="22">
        <f>'Share Count'!H53</f>
        <v>5864</v>
      </c>
      <c r="I74" s="42">
        <f>'Share Count'!I53</f>
        <v>12557.14783304348</v>
      </c>
      <c r="J74" s="11" t="s">
        <v>295</v>
      </c>
      <c r="K74" s="1"/>
    </row>
    <row r="75">
      <c r="A75" s="1"/>
      <c r="B75" s="12" t="s">
        <v>296</v>
      </c>
      <c r="C75" s="38">
        <f>IF(AND(ISNUMBER(C71),ISNUMBER(C73)),IF(C73=0,"n/a",C71/C73),"n/a")</f>
        <v>-0.18365217391304348</v>
      </c>
      <c r="D75" s="38">
        <f>IF(AND(ISNUMBER(D71),ISNUMBER(D73)),IF(D73=0,"n/a",D71/D73),"n/a")</f>
        <v>-0.34414475930351657</v>
      </c>
      <c r="E75" s="38" t="str">
        <f>IF(AND(ISNUMBER(E71),ISNUMBER(E73)),IF(E73=0,"n/a",E71/E73),"n/a")</f>
        <v>n/a</v>
      </c>
      <c r="F75" s="38">
        <f>IF(AND(ISNUMBER(F71),ISNUMBER(F73)),IF(F73=0,"n/a",F71/F73),"n/a")</f>
        <v>-1.6872863978127135</v>
      </c>
      <c r="G75" s="38">
        <f>IF(AND(ISNUMBER(G71),ISNUMBER(G73)),IF(G73=0,"n/a",G71/G73),"n/a")</f>
        <v>-1.273686920700309</v>
      </c>
      <c r="H75" s="38">
        <f>IF(AND(ISNUMBER(H71),ISNUMBER(H73)),IF(H73=0,"n/a",H71/H73),"n/a")</f>
        <v>-0.09225784447476125</v>
      </c>
      <c r="I75" s="71">
        <f>IF(AND(ISNUMBER(I71),ISNUMBER(I73)),IF(I73=0,"n/a",I71/I73),"n/a")</f>
        <v>0.22737922467560137</v>
      </c>
      <c r="J75" s="1"/>
      <c r="K75" s="1"/>
    </row>
    <row r="76">
      <c r="A76" s="1"/>
      <c r="B76" s="29" t="s">
        <v>297</v>
      </c>
      <c r="C76" s="68">
        <f>IF(AND(ISNUMBER(C71),ISNUMBER(C74)),IF(C74=0,"n/a",C71/C74),"n/a")</f>
        <v>-0.18365217391304348</v>
      </c>
      <c r="D76" s="68">
        <f>IF(AND(ISNUMBER(D71),ISNUMBER(D74)),IF(D74=0,"n/a",D71/D74),"n/a")</f>
        <v>-0.34414475930351657</v>
      </c>
      <c r="E76" s="68" t="str">
        <f>IF(AND(ISNUMBER(E71),ISNUMBER(E74)),IF(E74=0,"n/a",E71/E74),"n/a")</f>
        <v>n/a</v>
      </c>
      <c r="F76" s="68">
        <f>IF(AND(ISNUMBER(F71),ISNUMBER(F74)),IF(F74=0,"n/a",F71/F74),"n/a")</f>
        <v>-1.6872863978127135</v>
      </c>
      <c r="G76" s="68">
        <f>IF(AND(ISNUMBER(G71),ISNUMBER(G74)),IF(G74=0,"n/a",G71/G74),"n/a")</f>
        <v>-1.273686920700309</v>
      </c>
      <c r="H76" s="68">
        <f>IF(AND(ISNUMBER(H71),ISNUMBER(H74)),IF(H74=0,"n/a",H71/H74),"n/a")</f>
        <v>-0.09225784447476125</v>
      </c>
      <c r="I76" s="69">
        <f>IF(AND(ISNUMBER(I71),ISNUMBER(I74)),IF(I74=0,"n/a",I71/I74),"n/a")</f>
        <v>0.21898916067305688</v>
      </c>
      <c r="J76" s="1"/>
      <c r="K76" s="1"/>
    </row>
    <row r="77">
      <c r="A77" s="1"/>
      <c r="B77" s="12" t="s">
        <v>298</v>
      </c>
      <c r="C77" s="30">
        <v>-0.18</v>
      </c>
      <c r="D77" s="30">
        <v>-0.34</v>
      </c>
      <c r="E77" s="30" t="s">
        <v>37</v>
      </c>
      <c r="F77" s="30">
        <v>-1.69</v>
      </c>
      <c r="G77" s="30">
        <v>-1.27</v>
      </c>
      <c r="H77" s="30">
        <v>-0.09</v>
      </c>
      <c r="I77" s="74" t="s">
        <v>37</v>
      </c>
      <c r="J77" s="1"/>
      <c r="K77" s="1"/>
    </row>
    <row r="78">
      <c r="A78" s="1"/>
      <c r="B78" s="12" t="s">
        <v>299</v>
      </c>
      <c r="C78" s="16" t="b">
        <f>IF(ISNUMBER(C77),ABS(C76-C77)&lt;=0.01,"n/a")</f>
        <v>1</v>
      </c>
      <c r="D78" s="16" t="b">
        <f>IF(ISNUMBER(D77),ABS(D76-D77)&lt;=0.01,"n/a")</f>
        <v>1</v>
      </c>
      <c r="E78" s="16" t="str">
        <f>IF(ISNUMBER(E77),ABS(E76-E77)&lt;=0.01,"n/a")</f>
        <v>n/a</v>
      </c>
      <c r="F78" s="16" t="b">
        <f>IF(ISNUMBER(F77),ABS(F76-F77)&lt;=0.01,"n/a")</f>
        <v>1</v>
      </c>
      <c r="G78" s="16" t="b">
        <f>IF(ISNUMBER(G77),ABS(G76-G77)&lt;=0.01,"n/a")</f>
        <v>1</v>
      </c>
      <c r="H78" s="16" t="b">
        <f>IF(ISNUMBER(H77),ABS(H76-H77)&lt;=0.01,"n/a")</f>
        <v>1</v>
      </c>
      <c r="I78" s="65" t="b">
        <f>IF(ABS(I76-I71/I74)&lt;0.0001,TRUE,FALSE)</f>
        <v>1</v>
      </c>
      <c r="J78" s="11" t="s">
        <v>300</v>
      </c>
      <c r="K78" s="1"/>
    </row>
    <row r="79">
      <c r="A79" s="1"/>
      <c r="B79" s="23" t="s">
        <v>301</v>
      </c>
      <c r="C79" s="1"/>
      <c r="D79" s="1"/>
      <c r="E79" s="1"/>
      <c r="F79" s="1"/>
      <c r="G79" s="1"/>
      <c r="H79" s="1"/>
      <c r="I79" s="53"/>
      <c r="J79" s="1"/>
      <c r="K79" s="1"/>
    </row>
    <row r="80">
      <c r="A80" s="1"/>
      <c r="B80" s="12" t="s">
        <v>302</v>
      </c>
      <c r="C80" s="26">
        <f>C71</f>
        <v>-528</v>
      </c>
      <c r="D80" s="26">
        <f>D71</f>
        <v>-1008</v>
      </c>
      <c r="E80" s="26">
        <f>E71</f>
        <v>-3401</v>
      </c>
      <c r="F80" s="26">
        <f>F71</f>
        <v>-4937</v>
      </c>
      <c r="G80" s="26">
        <f>G71</f>
        <v>-4947</v>
      </c>
      <c r="H80" s="26">
        <f>H71</f>
        <v>-541</v>
      </c>
      <c r="I80" s="32">
        <f>I71</f>
        <v>2749.8792644056866</v>
      </c>
      <c r="J80" s="11" t="s">
        <v>303</v>
      </c>
      <c r="K80" s="1"/>
    </row>
    <row r="81">
      <c r="A81" s="1"/>
      <c r="B81" s="12" t="s">
        <v>304</v>
      </c>
      <c r="C81" s="26">
        <f>C35</f>
        <v>4</v>
      </c>
      <c r="D81" s="26">
        <f>D35</f>
        <v>190</v>
      </c>
      <c r="E81" s="26">
        <f>E35</f>
        <v>293</v>
      </c>
      <c r="F81" s="26">
        <f>F35</f>
        <v>487</v>
      </c>
      <c r="G81" s="26">
        <f>G35</f>
        <v>-11</v>
      </c>
      <c r="H81" s="26">
        <f>H35</f>
        <v>2</v>
      </c>
      <c r="I81" s="32">
        <f>I35</f>
        <v>0</v>
      </c>
      <c r="J81" s="1"/>
      <c r="K81" s="1"/>
    </row>
    <row r="82">
      <c r="A82" s="1"/>
      <c r="B82" s="12" t="s">
        <v>305</v>
      </c>
      <c r="C82" s="26">
        <f>C38</f>
        <v>24</v>
      </c>
      <c r="D82" s="26">
        <f>D38</f>
        <v>5</v>
      </c>
      <c r="E82" s="26">
        <f>E38</f>
        <v>9</v>
      </c>
      <c r="F82" s="26">
        <f>F38</f>
        <v>38</v>
      </c>
      <c r="G82" s="26">
        <f>G38</f>
        <v>0</v>
      </c>
      <c r="H82" s="26">
        <f>H38</f>
        <v>0</v>
      </c>
      <c r="I82" s="32">
        <f>I38</f>
        <v>0</v>
      </c>
      <c r="J82" s="1"/>
      <c r="K82" s="1"/>
    </row>
    <row r="83">
      <c r="A83" s="1"/>
      <c r="B83" s="12" t="s">
        <v>306</v>
      </c>
      <c r="C83" s="34">
        <v>0</v>
      </c>
      <c r="D83" s="34">
        <v>0</v>
      </c>
      <c r="E83" s="34" t="s">
        <v>37</v>
      </c>
      <c r="F83" s="34" t="s">
        <v>37</v>
      </c>
      <c r="G83" s="34">
        <v>1527</v>
      </c>
      <c r="H83" s="34">
        <v>18</v>
      </c>
      <c r="I83" s="52">
        <v>0</v>
      </c>
      <c r="J83" s="11" t="s">
        <v>307</v>
      </c>
      <c r="K83" s="1"/>
    </row>
    <row r="84">
      <c r="A84" s="1"/>
      <c r="B84" s="12" t="s">
        <v>308</v>
      </c>
      <c r="C84" s="34">
        <v>0</v>
      </c>
      <c r="D84" s="34">
        <v>0</v>
      </c>
      <c r="E84" s="34" t="s">
        <v>37</v>
      </c>
      <c r="F84" s="34" t="s">
        <v>37</v>
      </c>
      <c r="G84" s="34">
        <v>0</v>
      </c>
      <c r="H84" s="34">
        <v>0</v>
      </c>
      <c r="I84" s="52">
        <v>0</v>
      </c>
      <c r="J84" s="11" t="s">
        <v>309</v>
      </c>
      <c r="K84" s="1"/>
    </row>
    <row r="85">
      <c r="A85" s="1"/>
      <c r="B85" s="12" t="s">
        <v>310</v>
      </c>
      <c r="C85" s="26">
        <f>C70</f>
        <v>0</v>
      </c>
      <c r="D85" s="26">
        <f>D70</f>
        <v>0</v>
      </c>
      <c r="E85" s="26">
        <f>E70</f>
        <v>0</v>
      </c>
      <c r="F85" s="26">
        <f>F70</f>
        <v>0</v>
      </c>
      <c r="G85" s="26">
        <f>G70</f>
        <v>671</v>
      </c>
      <c r="H85" s="26">
        <f>H70</f>
        <v>0</v>
      </c>
      <c r="I85" s="32">
        <f>I70</f>
        <v>0</v>
      </c>
      <c r="J85" s="1"/>
      <c r="K85" s="1"/>
    </row>
    <row r="86">
      <c r="A86" s="1"/>
      <c r="B86" s="18" t="s">
        <v>311</v>
      </c>
      <c r="C86" s="39">
        <v>0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49">
        <v>0</v>
      </c>
      <c r="J86" s="11" t="s">
        <v>312</v>
      </c>
      <c r="K86" s="1"/>
    </row>
    <row r="87">
      <c r="A87" s="1"/>
      <c r="B87" s="18" t="s">
        <v>98</v>
      </c>
      <c r="C87" s="37" t="s">
        <v>37</v>
      </c>
      <c r="D87" s="37" t="s">
        <v>37</v>
      </c>
      <c r="E87" s="37" t="s">
        <v>37</v>
      </c>
      <c r="F87" s="37" t="s">
        <v>37</v>
      </c>
      <c r="G87" s="43">
        <f>IF(AND(ISNUMBER(G86),ISNUMBER(C86)),(G86-C86)*10000,"n/a")</f>
        <v>0</v>
      </c>
      <c r="H87" s="43">
        <f>IF(AND(ISNUMBER(H86),ISNUMBER(D86)),(H86-D86)*10000,"n/a")</f>
        <v>0</v>
      </c>
      <c r="I87" s="54" t="s">
        <v>37</v>
      </c>
      <c r="J87" s="1"/>
      <c r="K87" s="1"/>
    </row>
    <row r="88">
      <c r="A88" s="1"/>
      <c r="B88" s="18" t="s">
        <v>99</v>
      </c>
      <c r="C88" s="37" t="s">
        <v>37</v>
      </c>
      <c r="D88" s="43">
        <f>IF(AND(ISNUMBER(D86),ISNUMBER(C86)),(D86-C86)*10000,"n/a")</f>
        <v>0</v>
      </c>
      <c r="E88" s="37" t="s">
        <v>37</v>
      </c>
      <c r="F88" s="37" t="s">
        <v>37</v>
      </c>
      <c r="G88" s="37" t="s">
        <v>37</v>
      </c>
      <c r="H88" s="43">
        <f>IF(AND(ISNUMBER(H86),ISNUMBER(G86)),(H86-G86)*10000,"n/a")</f>
        <v>0</v>
      </c>
      <c r="I88" s="50">
        <f>IF(AND(ISNUMBER(I86),ISNUMBER(H86)),(I86-H86)*10000,"n/a")</f>
        <v>0</v>
      </c>
      <c r="J88" s="1"/>
      <c r="K88" s="1"/>
    </row>
    <row r="89">
      <c r="A89" s="1"/>
      <c r="B89" s="12" t="s">
        <v>313</v>
      </c>
      <c r="C89" s="26">
        <f>IF(COUNT(C81,C82,C83,C84,C86)=5,C86*(C81+C82+C83+C84),"n/a")</f>
        <v>0</v>
      </c>
      <c r="D89" s="26">
        <f>IF(COUNT(D81,D82,D83,D84,D86)=5,D86*(D81+D82+D83+D84),"n/a")</f>
        <v>0</v>
      </c>
      <c r="E89" s="26" t="str">
        <f>IF(COUNT(E81,E82,E83,E84,E86)=5,E86*(E81+E82+E83+E84),"n/a")</f>
        <v>n/a</v>
      </c>
      <c r="F89" s="26" t="str">
        <f>IF(COUNT(F81,F82,F83,F84,F86)=5,F86*(F81+F82+F83+F84),"n/a")</f>
        <v>n/a</v>
      </c>
      <c r="G89" s="26">
        <f>IF(COUNT(G81,G82,G83,G84,G86)=5,G86*(G81+G82+G83+G84),"n/a")</f>
        <v>0</v>
      </c>
      <c r="H89" s="26">
        <f>IF(COUNT(H81,H82,H83,H84,H86)=5,H86*(H81+H82+H83+H84),"n/a")</f>
        <v>0</v>
      </c>
      <c r="I89" s="32">
        <f>IF(COUNT(I81,I82,I83,I84,I86)=5,I86*(I81+I82+I83+I84),"n/a")</f>
        <v>0</v>
      </c>
      <c r="J89" s="11" t="s">
        <v>314</v>
      </c>
      <c r="K89" s="1"/>
    </row>
    <row r="90">
      <c r="A90" s="1"/>
      <c r="B90" s="13" t="s">
        <v>315</v>
      </c>
      <c r="C90" s="41">
        <f>IF(COUNT(C80,C81,C82,C83,C84,C85,C89)=7,C80+C81+C82+C83+C84+C85-C89,"n/a")</f>
        <v>-500</v>
      </c>
      <c r="D90" s="41">
        <f>IF(COUNT(D80,D81,D82,D83,D84,D85,D89)=7,D80+D81+D82+D83+D84+D85-D89,"n/a")</f>
        <v>-813</v>
      </c>
      <c r="E90" s="41" t="str">
        <f>IF(COUNT(E80,E81,E82,E83,E84,E85,E89)=7,E80+E81+E82+E83+E84+E85-E89,"n/a")</f>
        <v>n/a</v>
      </c>
      <c r="F90" s="41" t="str">
        <f>IF(COUNT(F80,F81,F82,F83,F84,F85,F89)=7,F80+F81+F82+F83+F84+F85-F89,"n/a")</f>
        <v>n/a</v>
      </c>
      <c r="G90" s="41">
        <f>IF(COUNT(G80,G81,G82,G83,G84,G85,G89)=7,G80+G81+G82+G83+G84+G85-G89,"n/a")</f>
        <v>-2760</v>
      </c>
      <c r="H90" s="41">
        <f>IF(COUNT(H80,H81,H82,H83,H84,H85,H89)=7,H80+H81+H82+H83+H84+H85-H89,"n/a")</f>
        <v>-521</v>
      </c>
      <c r="I90" s="36">
        <f>IF(COUNT(I80,I81,I82,I83,I84,I85,I89)=7,I80+I81+I82+I83+I84+I85-I89,"n/a")</f>
        <v>2749.8792644056866</v>
      </c>
      <c r="J90" s="11" t="s">
        <v>316</v>
      </c>
      <c r="K90" s="1"/>
    </row>
    <row r="91">
      <c r="A91" s="1"/>
      <c r="B91" s="29" t="s">
        <v>317</v>
      </c>
      <c r="C91" s="68">
        <f>IF(AND(ISNUMBER(C90),ISNUMBER(C74)),IF(C74=0,"n/a",C90/C74),"n/a")</f>
        <v>-0.17391304347826086</v>
      </c>
      <c r="D91" s="68">
        <f>IF(AND(ISNUMBER(D90),ISNUMBER(D74)),IF(D74=0,"n/a",D90/D74),"n/a")</f>
        <v>-0.2775691362239672</v>
      </c>
      <c r="E91" s="68" t="str">
        <f>IF(AND(ISNUMBER(E90),ISNUMBER(E74)),IF(E74=0,"n/a",E90/E74),"n/a")</f>
        <v>n/a</v>
      </c>
      <c r="F91" s="68" t="str">
        <f>IF(AND(ISNUMBER(F90),ISNUMBER(F74)),IF(F74=0,"n/a",F90/F74),"n/a")</f>
        <v>n/a</v>
      </c>
      <c r="G91" s="68">
        <f>IF(AND(ISNUMBER(G90),ISNUMBER(G74)),IF(G74=0,"n/a",G90/G74),"n/a")</f>
        <v>-0.7106076210092688</v>
      </c>
      <c r="H91" s="68">
        <f>IF(AND(ISNUMBER(H90),ISNUMBER(H74)),IF(H74=0,"n/a",H90/H74),"n/a")</f>
        <v>-0.08884720327421555</v>
      </c>
      <c r="I91" s="69">
        <f>IF(AND(ISNUMBER(I90),ISNUMBER(I74)),IF(I74=0,"n/a",I90/I74),"n/a")</f>
        <v>0.21898916067305688</v>
      </c>
      <c r="J91" s="11" t="s">
        <v>318</v>
      </c>
      <c r="K91" s="1"/>
    </row>
    <row r="92">
      <c r="A92" s="1"/>
      <c r="B92" s="12" t="s">
        <v>319</v>
      </c>
      <c r="C92" s="30" t="s">
        <v>37</v>
      </c>
      <c r="D92" s="30" t="s">
        <v>37</v>
      </c>
      <c r="E92" s="30" t="s">
        <v>37</v>
      </c>
      <c r="F92" s="30" t="s">
        <v>37</v>
      </c>
      <c r="G92" s="30" t="s">
        <v>37</v>
      </c>
      <c r="H92" s="19">
        <f>Inputs!C91</f>
        <v>-0.09</v>
      </c>
      <c r="I92" s="74" t="s">
        <v>37</v>
      </c>
      <c r="J92" s="11" t="s">
        <v>320</v>
      </c>
      <c r="K92" s="1"/>
    </row>
    <row r="93">
      <c r="A93" s="1"/>
      <c r="B93" s="12" t="s">
        <v>321</v>
      </c>
      <c r="C93" s="30" t="s">
        <v>37</v>
      </c>
      <c r="D93" s="30" t="s">
        <v>37</v>
      </c>
      <c r="E93" s="30" t="s">
        <v>37</v>
      </c>
      <c r="F93" s="30" t="s">
        <v>37</v>
      </c>
      <c r="G93" s="30" t="s">
        <v>37</v>
      </c>
      <c r="H93" s="30" t="s">
        <v>37</v>
      </c>
      <c r="I93" s="71">
        <f>(I90-I54)/I74</f>
        <v>0.18174294368982954</v>
      </c>
      <c r="J93" s="11" t="s">
        <v>322</v>
      </c>
      <c r="K93" s="1"/>
    </row>
    <row r="94">
      <c r="A94" s="1"/>
      <c r="B94" s="23" t="s">
        <v>323</v>
      </c>
      <c r="C94" s="1"/>
      <c r="D94" s="1"/>
      <c r="E94" s="1"/>
      <c r="F94" s="1"/>
      <c r="G94" s="1"/>
      <c r="H94" s="1"/>
      <c r="I94" s="53"/>
      <c r="J94" s="1"/>
      <c r="K94" s="1"/>
    </row>
    <row r="95">
      <c r="A95" s="1"/>
      <c r="B95" s="12" t="s">
        <v>145</v>
      </c>
      <c r="C95" s="22">
        <f>'Segment - Space'!C87+'Segment - Connectivity'!C108+'Segment - AI'!C156</f>
        <v>1444</v>
      </c>
      <c r="D95" s="22">
        <f>'Segment - Space'!D87+'Segment - Connectivity'!D108+'Segment - AI'!D156</f>
        <v>1526</v>
      </c>
      <c r="E95" s="34" t="s">
        <v>37</v>
      </c>
      <c r="F95" s="34" t="s">
        <v>37</v>
      </c>
      <c r="G95" s="22">
        <f>'Segment - Space'!G87+'Segment - Connectivity'!G108+'Segment - AI'!G156</f>
        <v>2442</v>
      </c>
      <c r="H95" s="22">
        <f>'Segment - Space'!H87+'Segment - Connectivity'!H108+'Segment - AI'!H156</f>
        <v>2848</v>
      </c>
      <c r="I95" s="42">
        <f>'Segment - Space'!I87+'Segment - Connectivity'!I108+'Segment - AI'!I156</f>
        <v>3615</v>
      </c>
      <c r="J95" s="11" t="s">
        <v>324</v>
      </c>
      <c r="K95" s="1"/>
    </row>
    <row r="96">
      <c r="A96" s="1"/>
      <c r="B96" s="18" t="s">
        <v>61</v>
      </c>
      <c r="C96" s="39" t="s">
        <v>37</v>
      </c>
      <c r="D96" s="39" t="s">
        <v>37</v>
      </c>
      <c r="E96" s="39" t="s">
        <v>37</v>
      </c>
      <c r="F96" s="39" t="s">
        <v>37</v>
      </c>
      <c r="G96" s="17">
        <f>IF(AND(ISNUMBER(G95),ISNUMBER(C95)),IF(OR(C95&lt;=0,G95&lt;0),"n/m",G95/C95-1),"n/a")</f>
        <v>0.6911357340720221</v>
      </c>
      <c r="H96" s="17">
        <f>IF(AND(ISNUMBER(H95),ISNUMBER(D95)),IF(OR(D95&lt;=0,H95&lt;0),"n/m",H95/D95-1),"n/a")</f>
        <v>0.8663171690694627</v>
      </c>
      <c r="I96" s="49" t="s">
        <v>37</v>
      </c>
      <c r="J96" s="1"/>
      <c r="K96" s="1"/>
    </row>
    <row r="97">
      <c r="A97" s="1"/>
      <c r="B97" s="51" t="s">
        <v>103</v>
      </c>
      <c r="C97" s="34" t="s">
        <v>37</v>
      </c>
      <c r="D97" s="26">
        <f>IF(AND(ISNUMBER(D95),ISNUMBER(C95)),D95-C95,"n/a")</f>
        <v>82</v>
      </c>
      <c r="E97" s="34" t="s">
        <v>37</v>
      </c>
      <c r="F97" s="34" t="s">
        <v>37</v>
      </c>
      <c r="G97" s="34" t="s">
        <v>37</v>
      </c>
      <c r="H97" s="26">
        <f>IF(AND(ISNUMBER(H95),ISNUMBER(G95)),H95-G95,"n/a")</f>
        <v>406</v>
      </c>
      <c r="I97" s="32">
        <f>IF(AND(ISNUMBER(I95),ISNUMBER(H95)),I95-H95,"n/a")</f>
        <v>767</v>
      </c>
      <c r="J97" s="1"/>
      <c r="K97" s="1"/>
    </row>
    <row r="98">
      <c r="A98" s="1"/>
      <c r="B98" s="12" t="s">
        <v>146</v>
      </c>
      <c r="C98" s="22">
        <f>'Segment - Space'!C90+'Segment - Connectivity'!C111+'Segment - AI'!C159</f>
        <v>231</v>
      </c>
      <c r="D98" s="22">
        <f>'Segment - Space'!D90+'Segment - Connectivity'!D111+'Segment - AI'!D159</f>
        <v>463</v>
      </c>
      <c r="E98" s="34" t="s">
        <v>37</v>
      </c>
      <c r="F98" s="34" t="s">
        <v>37</v>
      </c>
      <c r="G98" s="22">
        <f>'Segment - Space'!G90+'Segment - Connectivity'!G111+'Segment - AI'!G159</f>
        <v>639</v>
      </c>
      <c r="H98" s="22">
        <f>'Segment - Space'!H90+'Segment - Connectivity'!H111+'Segment - AI'!H159</f>
        <v>831</v>
      </c>
      <c r="I98" s="42">
        <f>'Segment - Space'!I90+'Segment - Connectivity'!I111+'Segment - AI'!I159</f>
        <v>1025</v>
      </c>
      <c r="J98" s="11" t="s">
        <v>325</v>
      </c>
      <c r="K98" s="1"/>
    </row>
    <row r="99">
      <c r="A99" s="1"/>
      <c r="B99" s="18" t="s">
        <v>61</v>
      </c>
      <c r="C99" s="39" t="s">
        <v>37</v>
      </c>
      <c r="D99" s="39" t="s">
        <v>37</v>
      </c>
      <c r="E99" s="39" t="s">
        <v>37</v>
      </c>
      <c r="F99" s="39" t="s">
        <v>37</v>
      </c>
      <c r="G99" s="17">
        <f>IF(AND(ISNUMBER(G98),ISNUMBER(C98)),IF(OR(C98&lt;=0,G98&lt;0),"n/m",G98/C98-1),"n/a")</f>
        <v>1.7662337662337664</v>
      </c>
      <c r="H99" s="17">
        <f>IF(AND(ISNUMBER(H98),ISNUMBER(D98)),IF(OR(D98&lt;=0,H98&lt;0),"n/m",H98/D98-1),"n/a")</f>
        <v>0.7948164146868251</v>
      </c>
      <c r="I99" s="49" t="s">
        <v>37</v>
      </c>
      <c r="J99" s="1"/>
      <c r="K99" s="1"/>
    </row>
    <row r="100">
      <c r="A100" s="1"/>
      <c r="B100" s="51" t="s">
        <v>103</v>
      </c>
      <c r="C100" s="34" t="s">
        <v>37</v>
      </c>
      <c r="D100" s="26">
        <f>IF(AND(ISNUMBER(D98),ISNUMBER(C98)),D98-C98,"n/a")</f>
        <v>232</v>
      </c>
      <c r="E100" s="34" t="s">
        <v>37</v>
      </c>
      <c r="F100" s="34" t="s">
        <v>37</v>
      </c>
      <c r="G100" s="34" t="s">
        <v>37</v>
      </c>
      <c r="H100" s="26">
        <f>IF(AND(ISNUMBER(H98),ISNUMBER(G98)),H98-G98,"n/a")</f>
        <v>192</v>
      </c>
      <c r="I100" s="32">
        <f>IF(AND(ISNUMBER(I98),ISNUMBER(H98)),I98-H98,"n/a")</f>
        <v>194</v>
      </c>
      <c r="J100" s="1"/>
      <c r="K100" s="1"/>
    </row>
    <row r="101">
      <c r="A101" s="1"/>
      <c r="B101" s="13" t="s">
        <v>326</v>
      </c>
      <c r="C101" s="41">
        <f>IF(COUNT(C42,C95,C98,C35,C38)=5,C42+C95+C98+C35+C38,"n/a")</f>
        <v>1730</v>
      </c>
      <c r="D101" s="41">
        <f>IF(COUNT(D42,D95,D98,D35,D38)=5,D42+D95+D98+D35+D38,"n/a")</f>
        <v>1214</v>
      </c>
      <c r="E101" s="41">
        <f>IF(COUNT(F101,C101,D101)=3,F101-C101-D101,"n/a")</f>
        <v>3640</v>
      </c>
      <c r="F101" s="47">
        <v>6584</v>
      </c>
      <c r="G101" s="41">
        <f>IF(COUNT(G42,G95,G98,G35,G38)=5,G42+G95+G98+G35+G38,"n/a")</f>
        <v>1127</v>
      </c>
      <c r="H101" s="41">
        <f>IF(COUNT(H42,H95,H98,H35,H38)=5,H42+H95+H98+H35+H38,"n/a")</f>
        <v>3538</v>
      </c>
      <c r="I101" s="36">
        <f>IF(COUNT(I42,I95,I98,I35,I38)=5,I42+I95+I98+I35+I38,"n/a")</f>
        <v>6840.807584657534</v>
      </c>
      <c r="J101" s="1"/>
      <c r="K101" s="1"/>
    </row>
    <row r="102">
      <c r="A102" s="1"/>
      <c r="B102" s="33" t="s">
        <v>327</v>
      </c>
      <c r="C102" s="17">
        <f>IF(AND(ISNUMBER(C101),ISNUMBER(C12)),IF(C12=0,"n/a",C101/C12),"n/a")</f>
        <v>0.4253749692648144</v>
      </c>
      <c r="D102" s="17">
        <f>IF(AND(ISNUMBER(D101),ISNUMBER(D12)),IF(D12=0,"n/a",D101/D12),"n/a")</f>
        <v>0.29820682878899535</v>
      </c>
      <c r="E102" s="17">
        <f>IF(AND(ISNUMBER(E101),ISNUMBER(E12)),IF(E12=0,"n/a",E101/E12),"n/a")</f>
        <v>0.3454821564160972</v>
      </c>
      <c r="F102" s="17">
        <f>IF(AND(ISNUMBER(F101),ISNUMBER(F12)),IF(F12=0,"n/a",F101/F12),"n/a")</f>
        <v>0.35257577380314875</v>
      </c>
      <c r="G102" s="17">
        <f>IF(AND(ISNUMBER(G101),ISNUMBER(G12)),IF(G12=0,"n/a",G101/G12),"n/a")</f>
        <v>0.24009373668512995</v>
      </c>
      <c r="H102" s="17">
        <f>IF(AND(ISNUMBER(H101),ISNUMBER(H12)),IF(H12=0,"n/a",H101/H12),"n/a")</f>
        <v>0.4527770668031738</v>
      </c>
      <c r="I102" s="55">
        <f>IF(AND(ISNUMBER(I101),ISNUMBER(I12)),IF(I12=0,"n/a",I101/I12),"n/a")</f>
        <v>0.5320334987138358</v>
      </c>
      <c r="J102" s="1"/>
      <c r="K102" s="1"/>
    </row>
    <row r="103">
      <c r="A103" s="1"/>
      <c r="B103" s="18" t="s">
        <v>98</v>
      </c>
      <c r="C103" s="37" t="s">
        <v>37</v>
      </c>
      <c r="D103" s="37" t="s">
        <v>37</v>
      </c>
      <c r="E103" s="37" t="s">
        <v>37</v>
      </c>
      <c r="F103" s="37" t="s">
        <v>37</v>
      </c>
      <c r="G103" s="43">
        <f>IF(AND(ISNUMBER(G102),ISNUMBER(C102)),(G102-C102)*10000,"n/a")</f>
        <v>-1852.8123257968443</v>
      </c>
      <c r="H103" s="43">
        <f>IF(AND(ISNUMBER(H102),ISNUMBER(D102)),(H102-D102)*10000,"n/a")</f>
        <v>1545.7023801417847</v>
      </c>
      <c r="I103" s="54" t="s">
        <v>37</v>
      </c>
      <c r="J103" s="1"/>
      <c r="K103" s="1"/>
    </row>
    <row r="104">
      <c r="A104" s="1"/>
      <c r="B104" s="18" t="s">
        <v>99</v>
      </c>
      <c r="C104" s="37" t="s">
        <v>37</v>
      </c>
      <c r="D104" s="43">
        <f>IF(AND(ISNUMBER(D102),ISNUMBER(C102)),(D102-C102)*10000,"n/a")</f>
        <v>-1271.6814047581904</v>
      </c>
      <c r="E104" s="37" t="s">
        <v>37</v>
      </c>
      <c r="F104" s="37" t="s">
        <v>37</v>
      </c>
      <c r="G104" s="37" t="s">
        <v>37</v>
      </c>
      <c r="H104" s="43">
        <f>IF(AND(ISNUMBER(H102),ISNUMBER(G102)),(H102-G102)*10000,"n/a")</f>
        <v>2126.8333011804384</v>
      </c>
      <c r="I104" s="50">
        <f>IF(AND(ISNUMBER(I102),ISNUMBER(H102)),(I102-H102)*10000,"n/a")</f>
        <v>792.5643191066196</v>
      </c>
      <c r="J104" s="1"/>
      <c r="K104" s="1"/>
    </row>
    <row r="105">
      <c r="A105" s="1"/>
      <c r="B105" s="12" t="s">
        <v>328</v>
      </c>
      <c r="C105" s="22">
        <f>IF(ISNUMBER(C101),'Segment - Space'!C93+'Segment - Connectivity'!C114+'Segment - AI'!C162-C101,"n/a")</f>
        <v>0</v>
      </c>
      <c r="D105" s="22">
        <f>IF(ISNUMBER(D101),'Segment - Space'!D93+'Segment - Connectivity'!D114+'Segment - AI'!D162-D101,"n/a")</f>
        <v>0</v>
      </c>
      <c r="E105" s="22">
        <f>IF(ISNUMBER(E101),'Segment - Space'!E93+'Segment - Connectivity'!E114+'Segment - AI'!E162-E101,"n/a")</f>
        <v>0</v>
      </c>
      <c r="F105" s="22">
        <f>IF(ISNUMBER(F101),'Segment - Space'!F93+'Segment - Connectivity'!F114+'Segment - AI'!F162-F101,"n/a")</f>
        <v>0</v>
      </c>
      <c r="G105" s="22">
        <f>IF(ISNUMBER(G101),'Segment - Space'!G93+'Segment - Connectivity'!G114+'Segment - AI'!G162-G101,"n/a")</f>
        <v>0</v>
      </c>
      <c r="H105" s="22">
        <f>IF(ISNUMBER(H101),'Segment - Space'!H93+'Segment - Connectivity'!H114+'Segment - AI'!H162-H101,"n/a")</f>
        <v>0</v>
      </c>
      <c r="I105" s="42">
        <f>IF(ISNUMBER(I101),'Segment - Space'!I93+'Segment - Connectivity'!I114+'Segment - AI'!I162-I101,"n/a")</f>
        <v>0</v>
      </c>
      <c r="J105" s="11" t="s">
        <v>329</v>
      </c>
      <c r="K105" s="1"/>
    </row>
    <row r="106">
      <c r="A106" s="1"/>
      <c r="B106" s="23" t="s">
        <v>330</v>
      </c>
      <c r="C106" s="1"/>
      <c r="D106" s="1"/>
      <c r="E106" s="1"/>
      <c r="F106" s="1"/>
      <c r="G106" s="1"/>
      <c r="H106" s="1"/>
      <c r="I106" s="53"/>
      <c r="J106" s="1"/>
      <c r="K106" s="1"/>
    </row>
    <row r="107">
      <c r="A107" s="1"/>
      <c r="B107" s="12" t="s">
        <v>331</v>
      </c>
      <c r="C107" s="34" t="s">
        <v>37</v>
      </c>
      <c r="D107" s="34" t="s">
        <v>37</v>
      </c>
      <c r="E107" s="34" t="s">
        <v>37</v>
      </c>
      <c r="F107" s="34" t="s">
        <v>37</v>
      </c>
      <c r="G107" s="34" t="s">
        <v>37</v>
      </c>
      <c r="H107" s="34" t="s">
        <v>37</v>
      </c>
      <c r="I107" s="42">
        <f>('Balance Sheet'!H49+'Balance Sheet'!I49)/2</f>
        <v>39364</v>
      </c>
      <c r="J107" s="11" t="s">
        <v>332</v>
      </c>
      <c r="K107" s="1"/>
    </row>
    <row r="108">
      <c r="A108" s="1"/>
      <c r="B108" s="18" t="s">
        <v>61</v>
      </c>
      <c r="C108" s="39" t="s">
        <v>37</v>
      </c>
      <c r="D108" s="39" t="s">
        <v>37</v>
      </c>
      <c r="E108" s="39" t="s">
        <v>37</v>
      </c>
      <c r="F108" s="39" t="s">
        <v>37</v>
      </c>
      <c r="G108" s="17" t="str">
        <f>IF(AND(ISNUMBER(G107),ISNUMBER(C107)),IF(OR(C107&lt;=0,G107&lt;0),"n/m",G107/C107-1),"n/a")</f>
        <v>n/a</v>
      </c>
      <c r="H108" s="17" t="str">
        <f>IF(AND(ISNUMBER(H107),ISNUMBER(D107)),IF(OR(D107&lt;=0,H107&lt;0),"n/m",H107/D107-1),"n/a")</f>
        <v>n/a</v>
      </c>
      <c r="I108" s="49" t="s">
        <v>37</v>
      </c>
      <c r="J108" s="1"/>
      <c r="K108" s="1"/>
    </row>
    <row r="109">
      <c r="A109" s="1"/>
      <c r="B109" s="51" t="s">
        <v>103</v>
      </c>
      <c r="C109" s="34" t="s">
        <v>37</v>
      </c>
      <c r="D109" s="26" t="str">
        <f>IF(AND(ISNUMBER(D107),ISNUMBER(C107)),D107-C107,"n/a")</f>
        <v>n/a</v>
      </c>
      <c r="E109" s="34" t="s">
        <v>37</v>
      </c>
      <c r="F109" s="34" t="s">
        <v>37</v>
      </c>
      <c r="G109" s="34" t="s">
        <v>37</v>
      </c>
      <c r="H109" s="26" t="str">
        <f>IF(AND(ISNUMBER(H107),ISNUMBER(G107)),H107-G107,"n/a")</f>
        <v>n/a</v>
      </c>
      <c r="I109" s="32" t="str">
        <f>IF(AND(ISNUMBER(I107),ISNUMBER(H107)),I107-H107,"n/a")</f>
        <v>n/a</v>
      </c>
      <c r="J109" s="1"/>
      <c r="K109" s="1"/>
    </row>
    <row r="110">
      <c r="A110" s="1"/>
      <c r="B110" s="33" t="s">
        <v>333</v>
      </c>
      <c r="C110" s="39" t="s">
        <v>37</v>
      </c>
      <c r="D110" s="39" t="s">
        <v>37</v>
      </c>
      <c r="E110" s="39" t="s">
        <v>37</v>
      </c>
      <c r="F110" s="39" t="s">
        <v>37</v>
      </c>
      <c r="G110" s="39" t="s">
        <v>37</v>
      </c>
      <c r="H110" s="39" t="s">
        <v>37</v>
      </c>
      <c r="I110" s="49">
        <v>0.065</v>
      </c>
      <c r="J110" s="11" t="s">
        <v>334</v>
      </c>
      <c r="K110" s="1"/>
    </row>
    <row r="111">
      <c r="A111" s="1"/>
      <c r="B111" s="18" t="s">
        <v>98</v>
      </c>
      <c r="C111" s="37" t="s">
        <v>37</v>
      </c>
      <c r="D111" s="37" t="s">
        <v>37</v>
      </c>
      <c r="E111" s="37" t="s">
        <v>37</v>
      </c>
      <c r="F111" s="37" t="s">
        <v>37</v>
      </c>
      <c r="G111" s="43" t="str">
        <f>IF(AND(ISNUMBER(G110),ISNUMBER(C110)),(G110-C110)*10000,"n/a")</f>
        <v>n/a</v>
      </c>
      <c r="H111" s="43" t="str">
        <f>IF(AND(ISNUMBER(H110),ISNUMBER(D110)),(H110-D110)*10000,"n/a")</f>
        <v>n/a</v>
      </c>
      <c r="I111" s="54" t="s">
        <v>37</v>
      </c>
      <c r="J111" s="1"/>
      <c r="K111" s="1"/>
    </row>
    <row r="112">
      <c r="A112" s="1"/>
      <c r="B112" s="18" t="s">
        <v>99</v>
      </c>
      <c r="C112" s="37" t="s">
        <v>37</v>
      </c>
      <c r="D112" s="43" t="str">
        <f>IF(AND(ISNUMBER(D110),ISNUMBER(C110)),(D110-C110)*10000,"n/a")</f>
        <v>n/a</v>
      </c>
      <c r="E112" s="37" t="s">
        <v>37</v>
      </c>
      <c r="F112" s="37" t="s">
        <v>37</v>
      </c>
      <c r="G112" s="37" t="s">
        <v>37</v>
      </c>
      <c r="H112" s="43" t="str">
        <f>IF(AND(ISNUMBER(H110),ISNUMBER(G110)),(H110-G110)*10000,"n/a")</f>
        <v>n/a</v>
      </c>
      <c r="I112" s="50" t="str">
        <f>IF(AND(ISNUMBER(I110),ISNUMBER(H110)),(I110-H110)*10000,"n/a")</f>
        <v>n/a</v>
      </c>
      <c r="J112" s="1"/>
      <c r="K112" s="1"/>
    </row>
    <row r="113">
      <c r="A113" s="1"/>
      <c r="B113" s="12" t="s">
        <v>335</v>
      </c>
      <c r="C113" s="34" t="s">
        <v>37</v>
      </c>
      <c r="D113" s="34" t="s">
        <v>37</v>
      </c>
      <c r="E113" s="34" t="s">
        <v>37</v>
      </c>
      <c r="F113" s="34" t="s">
        <v>37</v>
      </c>
      <c r="G113" s="34" t="s">
        <v>37</v>
      </c>
      <c r="H113" s="34" t="s">
        <v>37</v>
      </c>
      <c r="I113" s="42">
        <f>'Balance Sheet'!H9+'Balance Sheet'!H10+0.5*(I101+'Cash Flow Statement'!I19)</f>
        <v>94229.40379232877</v>
      </c>
      <c r="J113" s="11" t="s">
        <v>336</v>
      </c>
      <c r="K113" s="1"/>
    </row>
    <row r="114">
      <c r="A114" s="1"/>
      <c r="B114" s="18" t="s">
        <v>61</v>
      </c>
      <c r="C114" s="39" t="s">
        <v>37</v>
      </c>
      <c r="D114" s="39" t="s">
        <v>37</v>
      </c>
      <c r="E114" s="39" t="s">
        <v>37</v>
      </c>
      <c r="F114" s="39" t="s">
        <v>37</v>
      </c>
      <c r="G114" s="17" t="str">
        <f>IF(AND(ISNUMBER(G113),ISNUMBER(C113)),IF(OR(C113&lt;=0,G113&lt;0),"n/m",G113/C113-1),"n/a")</f>
        <v>n/a</v>
      </c>
      <c r="H114" s="17" t="str">
        <f>IF(AND(ISNUMBER(H113),ISNUMBER(D113)),IF(OR(D113&lt;=0,H113&lt;0),"n/m",H113/D113-1),"n/a")</f>
        <v>n/a</v>
      </c>
      <c r="I114" s="49" t="s">
        <v>37</v>
      </c>
      <c r="J114" s="1"/>
      <c r="K114" s="1"/>
    </row>
    <row r="115">
      <c r="A115" s="1"/>
      <c r="B115" s="51" t="s">
        <v>103</v>
      </c>
      <c r="C115" s="34" t="s">
        <v>37</v>
      </c>
      <c r="D115" s="26" t="str">
        <f>IF(AND(ISNUMBER(D113),ISNUMBER(C113)),D113-C113,"n/a")</f>
        <v>n/a</v>
      </c>
      <c r="E115" s="34" t="s">
        <v>37</v>
      </c>
      <c r="F115" s="34" t="s">
        <v>37</v>
      </c>
      <c r="G115" s="34" t="s">
        <v>37</v>
      </c>
      <c r="H115" s="26" t="str">
        <f>IF(AND(ISNUMBER(H113),ISNUMBER(G113)),H113-G113,"n/a")</f>
        <v>n/a</v>
      </c>
      <c r="I115" s="32" t="str">
        <f>IF(AND(ISNUMBER(I113),ISNUMBER(H113)),I113-H113,"n/a")</f>
        <v>n/a</v>
      </c>
      <c r="J115" s="1"/>
      <c r="K115" s="1"/>
    </row>
    <row r="116">
      <c r="A116" s="1"/>
      <c r="B116" s="33" t="s">
        <v>337</v>
      </c>
      <c r="C116" s="39" t="s">
        <v>37</v>
      </c>
      <c r="D116" s="39" t="s">
        <v>37</v>
      </c>
      <c r="E116" s="39" t="s">
        <v>37</v>
      </c>
      <c r="F116" s="39" t="s">
        <v>37</v>
      </c>
      <c r="G116" s="39" t="s">
        <v>37</v>
      </c>
      <c r="H116" s="39" t="s">
        <v>37</v>
      </c>
      <c r="I116" s="49">
        <v>0.039</v>
      </c>
      <c r="J116" s="11" t="s">
        <v>338</v>
      </c>
      <c r="K116" s="1"/>
    </row>
    <row r="117">
      <c r="A117" s="1"/>
      <c r="B117" s="18" t="s">
        <v>98</v>
      </c>
      <c r="C117" s="37" t="s">
        <v>37</v>
      </c>
      <c r="D117" s="37" t="s">
        <v>37</v>
      </c>
      <c r="E117" s="37" t="s">
        <v>37</v>
      </c>
      <c r="F117" s="37" t="s">
        <v>37</v>
      </c>
      <c r="G117" s="43" t="str">
        <f>IF(AND(ISNUMBER(G116),ISNUMBER(C116)),(G116-C116)*10000,"n/a")</f>
        <v>n/a</v>
      </c>
      <c r="H117" s="43" t="str">
        <f>IF(AND(ISNUMBER(H116),ISNUMBER(D116)),(H116-D116)*10000,"n/a")</f>
        <v>n/a</v>
      </c>
      <c r="I117" s="54" t="s">
        <v>37</v>
      </c>
      <c r="J117" s="1"/>
      <c r="K117" s="1"/>
    </row>
    <row r="118">
      <c r="A118" s="1"/>
      <c r="B118" s="18" t="s">
        <v>99</v>
      </c>
      <c r="C118" s="37" t="s">
        <v>37</v>
      </c>
      <c r="D118" s="43" t="str">
        <f>IF(AND(ISNUMBER(D116),ISNUMBER(C116)),(D116-C116)*10000,"n/a")</f>
        <v>n/a</v>
      </c>
      <c r="E118" s="37" t="s">
        <v>37</v>
      </c>
      <c r="F118" s="37" t="s">
        <v>37</v>
      </c>
      <c r="G118" s="37" t="s">
        <v>37</v>
      </c>
      <c r="H118" s="43" t="str">
        <f>IF(AND(ISNUMBER(H116),ISNUMBER(G116)),(H116-G116)*10000,"n/a")</f>
        <v>n/a</v>
      </c>
      <c r="I118" s="50" t="str">
        <f>IF(AND(ISNUMBER(I116),ISNUMBER(H116)),(I116-H116)*10000,"n/a")</f>
        <v>n/a</v>
      </c>
      <c r="J118" s="1"/>
      <c r="K118" s="1"/>
    </row>
    <row r="119">
      <c r="A119" s="1"/>
      <c r="B119" s="12" t="s">
        <v>339</v>
      </c>
      <c r="C119" s="56" t="s">
        <v>37</v>
      </c>
      <c r="D119" s="56" t="s">
        <v>37</v>
      </c>
      <c r="E119" s="56" t="s">
        <v>37</v>
      </c>
      <c r="F119" s="56" t="s">
        <v>37</v>
      </c>
      <c r="G119" s="56" t="s">
        <v>37</v>
      </c>
      <c r="H119" s="56">
        <v>18712</v>
      </c>
      <c r="I119" s="64">
        <f>H119</f>
        <v>18712</v>
      </c>
      <c r="J119" s="1"/>
      <c r="K119" s="1"/>
    </row>
    <row r="120">
      <c r="A120" s="1"/>
      <c r="B120" s="18" t="s">
        <v>61</v>
      </c>
      <c r="C120" s="39" t="s">
        <v>37</v>
      </c>
      <c r="D120" s="39" t="s">
        <v>37</v>
      </c>
      <c r="E120" s="39" t="s">
        <v>37</v>
      </c>
      <c r="F120" s="39" t="s">
        <v>37</v>
      </c>
      <c r="G120" s="17" t="str">
        <f>IF(AND(ISNUMBER(G119),ISNUMBER(C119)),IF(OR(C119&lt;=0,G119&lt;0),"n/m",G119/C119-1),"n/a")</f>
        <v>n/a</v>
      </c>
      <c r="H120" s="17" t="str">
        <f>IF(AND(ISNUMBER(H119),ISNUMBER(D119)),IF(OR(D119&lt;=0,H119&lt;0),"n/m",H119/D119-1),"n/a")</f>
        <v>n/a</v>
      </c>
      <c r="I120" s="49" t="s">
        <v>37</v>
      </c>
      <c r="J120" s="1"/>
      <c r="K120" s="1"/>
    </row>
    <row r="121">
      <c r="A121" s="1"/>
      <c r="B121" s="51" t="s">
        <v>103</v>
      </c>
      <c r="C121" s="34" t="s">
        <v>37</v>
      </c>
      <c r="D121" s="26" t="str">
        <f>IF(AND(ISNUMBER(D119),ISNUMBER(C119)),D119-C119,"n/a")</f>
        <v>n/a</v>
      </c>
      <c r="E121" s="34" t="s">
        <v>37</v>
      </c>
      <c r="F121" s="34" t="s">
        <v>37</v>
      </c>
      <c r="G121" s="34" t="s">
        <v>37</v>
      </c>
      <c r="H121" s="26" t="str">
        <f>IF(AND(ISNUMBER(H119),ISNUMBER(G119)),H119-G119,"n/a")</f>
        <v>n/a</v>
      </c>
      <c r="I121" s="32">
        <f>IF(AND(ISNUMBER(I119),ISNUMBER(H119)),I119-H119,"n/a")</f>
        <v>0</v>
      </c>
      <c r="J121" s="1"/>
      <c r="K121" s="1"/>
    </row>
    <row r="122">
      <c r="A122" s="1"/>
      <c r="B122" s="12" t="s">
        <v>340</v>
      </c>
      <c r="C122" s="62" t="s">
        <v>37</v>
      </c>
      <c r="D122" s="62" t="s">
        <v>37</v>
      </c>
      <c r="E122" s="62" t="s">
        <v>37</v>
      </c>
      <c r="F122" s="62" t="s">
        <v>37</v>
      </c>
      <c r="G122" s="62" t="s">
        <v>37</v>
      </c>
      <c r="H122" s="62" t="s">
        <v>37</v>
      </c>
      <c r="I122" s="67">
        <v>58558.86</v>
      </c>
      <c r="J122" s="1"/>
      <c r="K122" s="1"/>
    </row>
    <row r="123">
      <c r="A123" s="1"/>
      <c r="B123" s="18" t="s">
        <v>61</v>
      </c>
      <c r="C123" s="39" t="s">
        <v>37</v>
      </c>
      <c r="D123" s="39" t="s">
        <v>37</v>
      </c>
      <c r="E123" s="39" t="s">
        <v>37</v>
      </c>
      <c r="F123" s="39" t="s">
        <v>37</v>
      </c>
      <c r="G123" s="17" t="str">
        <f>IF(AND(ISNUMBER(G122),ISNUMBER(C122)),IF(OR(C122&lt;=0,G122&lt;0),"n/m",G122/C122-1),"n/a")</f>
        <v>n/a</v>
      </c>
      <c r="H123" s="17" t="str">
        <f>IF(AND(ISNUMBER(H122),ISNUMBER(D122)),IF(OR(D122&lt;=0,H122&lt;0),"n/m",H122/D122-1),"n/a")</f>
        <v>n/a</v>
      </c>
      <c r="I123" s="49" t="s">
        <v>37</v>
      </c>
      <c r="J123" s="1"/>
      <c r="K123" s="1"/>
    </row>
    <row r="124">
      <c r="A124" s="1"/>
      <c r="B124" s="51" t="s">
        <v>103</v>
      </c>
      <c r="C124" s="34" t="s">
        <v>37</v>
      </c>
      <c r="D124" s="26" t="str">
        <f>IF(AND(ISNUMBER(D122),ISNUMBER(C122)),D122-C122,"n/a")</f>
        <v>n/a</v>
      </c>
      <c r="E124" s="34" t="s">
        <v>37</v>
      </c>
      <c r="F124" s="34" t="s">
        <v>37</v>
      </c>
      <c r="G124" s="34" t="s">
        <v>37</v>
      </c>
      <c r="H124" s="26" t="str">
        <f>IF(AND(ISNUMBER(H122),ISNUMBER(G122)),H122-G122,"n/a")</f>
        <v>n/a</v>
      </c>
      <c r="I124" s="32" t="str">
        <f>IF(AND(ISNUMBER(I122),ISNUMBER(H122)),I122-H122,"n/a")</f>
        <v>n/a</v>
      </c>
      <c r="J124" s="1"/>
      <c r="K124" s="1"/>
    </row>
    <row r="125">
      <c r="A125" s="1"/>
      <c r="B125" s="12" t="s">
        <v>341</v>
      </c>
      <c r="C125" s="62" t="s">
        <v>37</v>
      </c>
      <c r="D125" s="62" t="s">
        <v>37</v>
      </c>
      <c r="E125" s="62" t="s">
        <v>37</v>
      </c>
      <c r="F125" s="62" t="s">
        <v>37</v>
      </c>
      <c r="G125" s="62" t="s">
        <v>37</v>
      </c>
      <c r="H125" s="62" t="s">
        <v>37</v>
      </c>
      <c r="I125" s="67">
        <v>83553.85</v>
      </c>
      <c r="J125" s="1"/>
      <c r="K125" s="1"/>
    </row>
    <row r="126">
      <c r="A126" s="1"/>
      <c r="B126" s="18" t="s">
        <v>61</v>
      </c>
      <c r="C126" s="39" t="s">
        <v>37</v>
      </c>
      <c r="D126" s="39" t="s">
        <v>37</v>
      </c>
      <c r="E126" s="39" t="s">
        <v>37</v>
      </c>
      <c r="F126" s="39" t="s">
        <v>37</v>
      </c>
      <c r="G126" s="17" t="str">
        <f>IF(AND(ISNUMBER(G125),ISNUMBER(C125)),IF(OR(C125&lt;=0,G125&lt;0),"n/m",G125/C125-1),"n/a")</f>
        <v>n/a</v>
      </c>
      <c r="H126" s="17" t="str">
        <f>IF(AND(ISNUMBER(H125),ISNUMBER(D125)),IF(OR(D125&lt;=0,H125&lt;0),"n/m",H125/D125-1),"n/a")</f>
        <v>n/a</v>
      </c>
      <c r="I126" s="49" t="s">
        <v>37</v>
      </c>
      <c r="J126" s="1"/>
      <c r="K126" s="1"/>
    </row>
    <row r="127">
      <c r="A127" s="1"/>
      <c r="B127" s="51" t="s">
        <v>103</v>
      </c>
      <c r="C127" s="34" t="s">
        <v>37</v>
      </c>
      <c r="D127" s="26" t="str">
        <f>IF(AND(ISNUMBER(D125),ISNUMBER(C125)),D125-C125,"n/a")</f>
        <v>n/a</v>
      </c>
      <c r="E127" s="34" t="s">
        <v>37</v>
      </c>
      <c r="F127" s="34" t="s">
        <v>37</v>
      </c>
      <c r="G127" s="34" t="s">
        <v>37</v>
      </c>
      <c r="H127" s="26" t="str">
        <f>IF(AND(ISNUMBER(H125),ISNUMBER(G125)),H125-G125,"n/a")</f>
        <v>n/a</v>
      </c>
      <c r="I127" s="32" t="str">
        <f>IF(AND(ISNUMBER(I125),ISNUMBER(H125)),I125-H125,"n/a")</f>
        <v>n/a</v>
      </c>
      <c r="J127" s="1"/>
      <c r="K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64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342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56</v>
      </c>
      <c r="J4" s="79" t="s">
        <v>4</v>
      </c>
      <c r="K4" s="1"/>
    </row>
    <row r="5">
      <c r="A5" s="1"/>
      <c r="B5" s="14" t="s">
        <v>57</v>
      </c>
      <c r="C5" s="5">
        <v>45747</v>
      </c>
      <c r="D5" s="5">
        <v>45838</v>
      </c>
      <c r="E5" s="5">
        <v>46022</v>
      </c>
      <c r="F5" s="5">
        <v>46022</v>
      </c>
      <c r="G5" s="5">
        <v>46112</v>
      </c>
      <c r="H5" s="5">
        <v>46203</v>
      </c>
      <c r="I5" s="5">
        <v>46295</v>
      </c>
      <c r="J5" s="84"/>
      <c r="K5" s="1"/>
    </row>
    <row r="6">
      <c r="A6" s="1"/>
      <c r="B6" s="10" t="s">
        <v>58</v>
      </c>
      <c r="C6" s="6">
        <v>90</v>
      </c>
      <c r="D6" s="6">
        <v>91</v>
      </c>
      <c r="E6" s="6">
        <v>184</v>
      </c>
      <c r="F6" s="6">
        <v>365</v>
      </c>
      <c r="G6" s="6">
        <v>90</v>
      </c>
      <c r="H6" s="6">
        <v>91</v>
      </c>
      <c r="I6" s="6">
        <v>92</v>
      </c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343</v>
      </c>
      <c r="C8" s="1"/>
      <c r="D8" s="1"/>
      <c r="E8" s="1"/>
      <c r="F8" s="1"/>
      <c r="G8" s="1"/>
      <c r="H8" s="1"/>
      <c r="I8" s="53"/>
      <c r="J8" s="1"/>
      <c r="K8" s="1"/>
    </row>
    <row r="9">
      <c r="A9" s="1"/>
      <c r="B9" s="12" t="s">
        <v>344</v>
      </c>
      <c r="C9" s="34" t="s">
        <v>37</v>
      </c>
      <c r="D9" s="34" t="s">
        <v>37</v>
      </c>
      <c r="E9" s="26">
        <f>F9</f>
        <v>24747</v>
      </c>
      <c r="F9" s="34">
        <v>24747</v>
      </c>
      <c r="G9" s="34">
        <v>15852</v>
      </c>
      <c r="H9" s="34">
        <v>93522</v>
      </c>
      <c r="I9" s="42">
        <f>'Cash Flow Statement'!I32-'Cash Flow Statement'!I33</f>
        <v>79913.90290431902</v>
      </c>
      <c r="J9" s="1"/>
      <c r="K9" s="1"/>
    </row>
    <row r="10">
      <c r="A10" s="1"/>
      <c r="B10" s="12" t="s">
        <v>345</v>
      </c>
      <c r="C10" s="34" t="s">
        <v>37</v>
      </c>
      <c r="D10" s="34" t="s">
        <v>37</v>
      </c>
      <c r="E10" s="26">
        <f>F10</f>
        <v>0</v>
      </c>
      <c r="F10" s="34">
        <v>0</v>
      </c>
      <c r="G10" s="34">
        <v>7823</v>
      </c>
      <c r="H10" s="34">
        <v>6487</v>
      </c>
      <c r="I10" s="32">
        <f>H10</f>
        <v>6487</v>
      </c>
      <c r="J10" s="11" t="s">
        <v>346</v>
      </c>
      <c r="K10" s="1"/>
    </row>
    <row r="11">
      <c r="A11" s="1"/>
      <c r="B11" s="12" t="s">
        <v>347</v>
      </c>
      <c r="C11" s="34" t="s">
        <v>37</v>
      </c>
      <c r="D11" s="34" t="s">
        <v>37</v>
      </c>
      <c r="E11" s="26">
        <f>F11</f>
        <v>1579</v>
      </c>
      <c r="F11" s="34">
        <v>1579</v>
      </c>
      <c r="G11" s="34" t="s">
        <v>37</v>
      </c>
      <c r="H11" s="34">
        <v>3596</v>
      </c>
      <c r="I11" s="42">
        <f>'Income Statement'!I12*I51/I$6</f>
        <v>5590.370107206671</v>
      </c>
      <c r="J11" s="1"/>
      <c r="K11" s="1"/>
    </row>
    <row r="12">
      <c r="A12" s="1"/>
      <c r="B12" s="12" t="s">
        <v>348</v>
      </c>
      <c r="C12" s="34" t="s">
        <v>37</v>
      </c>
      <c r="D12" s="34" t="s">
        <v>37</v>
      </c>
      <c r="E12" s="26">
        <f>F12</f>
        <v>2416</v>
      </c>
      <c r="F12" s="34">
        <v>2416</v>
      </c>
      <c r="G12" s="34" t="s">
        <v>37</v>
      </c>
      <c r="H12" s="34">
        <v>2718</v>
      </c>
      <c r="I12" s="32">
        <f>H12*(1+I54)</f>
        <v>2853.9</v>
      </c>
      <c r="J12" s="1"/>
      <c r="K12" s="1"/>
    </row>
    <row r="13">
      <c r="A13" s="1"/>
      <c r="B13" s="12" t="s">
        <v>349</v>
      </c>
      <c r="C13" s="34" t="s">
        <v>37</v>
      </c>
      <c r="D13" s="34" t="s">
        <v>37</v>
      </c>
      <c r="E13" s="26">
        <f>F13</f>
        <v>2210</v>
      </c>
      <c r="F13" s="34">
        <v>2210</v>
      </c>
      <c r="G13" s="34" t="s">
        <v>37</v>
      </c>
      <c r="H13" s="34">
        <v>1724</v>
      </c>
      <c r="I13" s="32">
        <f>H13</f>
        <v>1724</v>
      </c>
      <c r="J13" s="11" t="s">
        <v>350</v>
      </c>
      <c r="K13" s="1"/>
    </row>
    <row r="14">
      <c r="A14" s="1"/>
      <c r="B14" s="12" t="s">
        <v>351</v>
      </c>
      <c r="C14" s="34" t="s">
        <v>37</v>
      </c>
      <c r="D14" s="34" t="s">
        <v>37</v>
      </c>
      <c r="E14" s="34">
        <v>0</v>
      </c>
      <c r="F14" s="34">
        <v>0</v>
      </c>
      <c r="G14" s="26">
        <f>G15-G9-G10</f>
        <v>6057</v>
      </c>
      <c r="H14" s="34">
        <v>0</v>
      </c>
      <c r="I14" s="52">
        <v>0</v>
      </c>
      <c r="J14" s="11" t="s">
        <v>352</v>
      </c>
      <c r="K14" s="1"/>
    </row>
    <row r="15">
      <c r="A15" s="1"/>
      <c r="B15" s="13" t="s">
        <v>353</v>
      </c>
      <c r="C15" s="47" t="s">
        <v>37</v>
      </c>
      <c r="D15" s="47" t="s">
        <v>37</v>
      </c>
      <c r="E15" s="41">
        <f>F15</f>
        <v>30952</v>
      </c>
      <c r="F15" s="41">
        <f>F9+F10+F11+F12+F13+F14</f>
        <v>30952</v>
      </c>
      <c r="G15" s="47">
        <v>29732</v>
      </c>
      <c r="H15" s="41">
        <f>H9+H10+H11+H12+H13+H14</f>
        <v>108047</v>
      </c>
      <c r="I15" s="36">
        <f>I9+I10+I11+I12+I13+I14</f>
        <v>96569.1730115257</v>
      </c>
      <c r="J15" s="1"/>
      <c r="K15" s="1"/>
    </row>
    <row r="16">
      <c r="A16" s="1"/>
      <c r="B16" s="12" t="s">
        <v>354</v>
      </c>
      <c r="C16" s="34" t="s">
        <v>37</v>
      </c>
      <c r="D16" s="34" t="s">
        <v>37</v>
      </c>
      <c r="E16" s="26">
        <f>F16</f>
        <v>42602</v>
      </c>
      <c r="F16" s="34">
        <v>42602</v>
      </c>
      <c r="G16" s="34">
        <v>53879</v>
      </c>
      <c r="H16" s="34">
        <v>65736</v>
      </c>
      <c r="I16" s="42">
        <f>H16-'Cash Flow Statement'!I19-('Income Statement'!I95-'Segment - AI'!I118)</f>
        <v>80721</v>
      </c>
      <c r="J16" s="11" t="s">
        <v>355</v>
      </c>
      <c r="K16" s="1"/>
    </row>
    <row r="17">
      <c r="A17" s="1"/>
      <c r="B17" s="12" t="s">
        <v>356</v>
      </c>
      <c r="C17" s="34" t="s">
        <v>37</v>
      </c>
      <c r="D17" s="34" t="s">
        <v>37</v>
      </c>
      <c r="E17" s="26">
        <f>F17</f>
        <v>1260</v>
      </c>
      <c r="F17" s="34">
        <v>1260</v>
      </c>
      <c r="G17" s="34" t="s">
        <v>37</v>
      </c>
      <c r="H17" s="34">
        <v>1118</v>
      </c>
      <c r="I17" s="32">
        <f>H17</f>
        <v>1118</v>
      </c>
      <c r="J17" s="11" t="s">
        <v>357</v>
      </c>
      <c r="K17" s="1"/>
    </row>
    <row r="18">
      <c r="A18" s="1"/>
      <c r="B18" s="12" t="s">
        <v>358</v>
      </c>
      <c r="C18" s="34" t="s">
        <v>37</v>
      </c>
      <c r="D18" s="34" t="s">
        <v>37</v>
      </c>
      <c r="E18" s="26">
        <f>F18</f>
        <v>1548</v>
      </c>
      <c r="F18" s="34">
        <v>1548</v>
      </c>
      <c r="G18" s="34" t="s">
        <v>37</v>
      </c>
      <c r="H18" s="34">
        <v>1318</v>
      </c>
      <c r="I18" s="42">
        <f>H18+I60-'Segment - AI'!I118</f>
        <v>9118</v>
      </c>
      <c r="J18" s="1"/>
      <c r="K18" s="1"/>
    </row>
    <row r="19">
      <c r="A19" s="1"/>
      <c r="B19" s="12" t="s">
        <v>359</v>
      </c>
      <c r="C19" s="34" t="s">
        <v>37</v>
      </c>
      <c r="D19" s="34" t="s">
        <v>37</v>
      </c>
      <c r="E19" s="26">
        <f>F19</f>
        <v>1637</v>
      </c>
      <c r="F19" s="34">
        <v>1637</v>
      </c>
      <c r="G19" s="34" t="s">
        <v>37</v>
      </c>
      <c r="H19" s="34">
        <v>1098</v>
      </c>
      <c r="I19" s="42">
        <f>H19+'Income Statement'!I54</f>
        <v>1565.7062528800002</v>
      </c>
      <c r="J19" s="1" t="s">
        <v>360</v>
      </c>
      <c r="K19" s="1"/>
    </row>
    <row r="20">
      <c r="A20" s="1"/>
      <c r="B20" s="12" t="s">
        <v>361</v>
      </c>
      <c r="C20" s="34" t="s">
        <v>37</v>
      </c>
      <c r="D20" s="34" t="s">
        <v>37</v>
      </c>
      <c r="E20" s="26">
        <f>F20</f>
        <v>11809</v>
      </c>
      <c r="F20" s="34">
        <v>11809</v>
      </c>
      <c r="G20" s="34" t="s">
        <v>37</v>
      </c>
      <c r="H20" s="34">
        <v>11645</v>
      </c>
      <c r="I20" s="32">
        <f>H20+I57-I60</f>
        <v>63645</v>
      </c>
      <c r="J20" s="1"/>
      <c r="K20" s="1"/>
    </row>
    <row r="21">
      <c r="A21" s="1"/>
      <c r="B21" s="12" t="s">
        <v>362</v>
      </c>
      <c r="C21" s="34" t="s">
        <v>37</v>
      </c>
      <c r="D21" s="34" t="s">
        <v>37</v>
      </c>
      <c r="E21" s="26">
        <f>F21</f>
        <v>141</v>
      </c>
      <c r="F21" s="34">
        <v>141</v>
      </c>
      <c r="G21" s="34" t="s">
        <v>37</v>
      </c>
      <c r="H21" s="34">
        <v>354</v>
      </c>
      <c r="I21" s="32">
        <f>H21</f>
        <v>354</v>
      </c>
      <c r="J21" s="1"/>
      <c r="K21" s="1"/>
    </row>
    <row r="22">
      <c r="A22" s="1"/>
      <c r="B22" s="12" t="s">
        <v>363</v>
      </c>
      <c r="C22" s="34" t="s">
        <v>37</v>
      </c>
      <c r="D22" s="34" t="s">
        <v>37</v>
      </c>
      <c r="E22" s="26">
        <f>F22</f>
        <v>2130</v>
      </c>
      <c r="F22" s="34">
        <v>2130</v>
      </c>
      <c r="G22" s="34" t="s">
        <v>37</v>
      </c>
      <c r="H22" s="34">
        <v>3454</v>
      </c>
      <c r="I22" s="32">
        <f>H22</f>
        <v>3454</v>
      </c>
      <c r="J22" s="1"/>
      <c r="K22" s="1"/>
    </row>
    <row r="23">
      <c r="A23" s="1"/>
      <c r="B23" s="12" t="s">
        <v>364</v>
      </c>
      <c r="C23" s="34" t="s">
        <v>37</v>
      </c>
      <c r="D23" s="34" t="s">
        <v>37</v>
      </c>
      <c r="E23" s="34">
        <v>0</v>
      </c>
      <c r="F23" s="34">
        <v>0</v>
      </c>
      <c r="G23" s="26">
        <f>G24-G15-G16</f>
        <v>18483</v>
      </c>
      <c r="H23" s="34">
        <v>0</v>
      </c>
      <c r="I23" s="52">
        <v>0</v>
      </c>
      <c r="J23" s="11" t="s">
        <v>365</v>
      </c>
      <c r="K23" s="1"/>
    </row>
    <row r="24">
      <c r="A24" s="1"/>
      <c r="B24" s="13" t="s">
        <v>366</v>
      </c>
      <c r="C24" s="47" t="s">
        <v>37</v>
      </c>
      <c r="D24" s="47" t="s">
        <v>37</v>
      </c>
      <c r="E24" s="41">
        <f>F24</f>
        <v>92079</v>
      </c>
      <c r="F24" s="41">
        <f>F15+F16+F17+F18+F19+F20+F21+F22+F23</f>
        <v>92079</v>
      </c>
      <c r="G24" s="47">
        <v>102094</v>
      </c>
      <c r="H24" s="41">
        <f>H15+H16+H17+H18+H19+H20+H21+H22+H23</f>
        <v>192770</v>
      </c>
      <c r="I24" s="36">
        <f>I15+I16+I17+I18+I19+I20+I21+I22+I23</f>
        <v>256544.8792644057</v>
      </c>
      <c r="J24" s="1"/>
      <c r="K24" s="1"/>
    </row>
    <row r="25">
      <c r="A25" s="1"/>
      <c r="B25" s="23" t="s">
        <v>367</v>
      </c>
      <c r="C25" s="1"/>
      <c r="D25" s="1"/>
      <c r="E25" s="1"/>
      <c r="F25" s="1"/>
      <c r="G25" s="1"/>
      <c r="H25" s="1"/>
      <c r="I25" s="53"/>
      <c r="J25" s="1"/>
      <c r="K25" s="1"/>
    </row>
    <row r="26">
      <c r="A26" s="1"/>
      <c r="B26" s="12" t="s">
        <v>368</v>
      </c>
      <c r="C26" s="34" t="s">
        <v>37</v>
      </c>
      <c r="D26" s="34" t="s">
        <v>37</v>
      </c>
      <c r="E26" s="26">
        <f>F26</f>
        <v>11792</v>
      </c>
      <c r="F26" s="34">
        <v>11792</v>
      </c>
      <c r="G26" s="34" t="s">
        <v>37</v>
      </c>
      <c r="H26" s="34">
        <v>8243</v>
      </c>
      <c r="I26" s="32">
        <f>H26</f>
        <v>8243</v>
      </c>
      <c r="J26" s="1"/>
      <c r="K26" s="1"/>
    </row>
    <row r="27">
      <c r="A27" s="1"/>
      <c r="B27" s="12" t="s">
        <v>369</v>
      </c>
      <c r="C27" s="34" t="s">
        <v>37</v>
      </c>
      <c r="D27" s="34" t="s">
        <v>37</v>
      </c>
      <c r="E27" s="26">
        <f>F27</f>
        <v>6111</v>
      </c>
      <c r="F27" s="34">
        <v>6111</v>
      </c>
      <c r="G27" s="34" t="s">
        <v>37</v>
      </c>
      <c r="H27" s="34">
        <v>7977</v>
      </c>
      <c r="I27" s="32">
        <f>H27</f>
        <v>7977</v>
      </c>
      <c r="J27" s="1"/>
      <c r="K27" s="1"/>
    </row>
    <row r="28">
      <c r="A28" s="1"/>
      <c r="B28" s="12" t="s">
        <v>370</v>
      </c>
      <c r="C28" s="34" t="s">
        <v>37</v>
      </c>
      <c r="D28" s="34" t="s">
        <v>37</v>
      </c>
      <c r="E28" s="26">
        <f>F28</f>
        <v>928</v>
      </c>
      <c r="F28" s="34">
        <v>928</v>
      </c>
      <c r="G28" s="34">
        <v>1538</v>
      </c>
      <c r="H28" s="34">
        <v>2525</v>
      </c>
      <c r="I28" s="32">
        <f>H28</f>
        <v>2525</v>
      </c>
      <c r="J28" s="11" t="s">
        <v>371</v>
      </c>
      <c r="K28" s="1"/>
    </row>
    <row r="29">
      <c r="A29" s="1"/>
      <c r="B29" s="12" t="s">
        <v>372</v>
      </c>
      <c r="C29" s="34" t="s">
        <v>37</v>
      </c>
      <c r="D29" s="34" t="s">
        <v>37</v>
      </c>
      <c r="E29" s="26">
        <f>F29</f>
        <v>2569</v>
      </c>
      <c r="F29" s="34">
        <v>2569</v>
      </c>
      <c r="G29" s="34" t="s">
        <v>37</v>
      </c>
      <c r="H29" s="34">
        <v>2377</v>
      </c>
      <c r="I29" s="32">
        <f>H29</f>
        <v>2377</v>
      </c>
      <c r="J29" s="11" t="s">
        <v>373</v>
      </c>
      <c r="K29" s="1"/>
    </row>
    <row r="30">
      <c r="A30" s="1"/>
      <c r="B30" s="12" t="s">
        <v>374</v>
      </c>
      <c r="C30" s="34" t="s">
        <v>37</v>
      </c>
      <c r="D30" s="34" t="s">
        <v>37</v>
      </c>
      <c r="E30" s="34">
        <v>0</v>
      </c>
      <c r="F30" s="34">
        <v>0</v>
      </c>
      <c r="G30" s="26">
        <f>G31-G28</f>
        <v>22898</v>
      </c>
      <c r="H30" s="34">
        <v>0</v>
      </c>
      <c r="I30" s="52">
        <v>0</v>
      </c>
      <c r="J30" s="11" t="s">
        <v>375</v>
      </c>
      <c r="K30" s="1"/>
    </row>
    <row r="31">
      <c r="A31" s="1"/>
      <c r="B31" s="13" t="s">
        <v>376</v>
      </c>
      <c r="C31" s="47" t="s">
        <v>37</v>
      </c>
      <c r="D31" s="47" t="s">
        <v>37</v>
      </c>
      <c r="E31" s="41">
        <f>F31</f>
        <v>21400</v>
      </c>
      <c r="F31" s="41">
        <f>F26+F27+F28+F29+F30</f>
        <v>21400</v>
      </c>
      <c r="G31" s="47">
        <v>24436</v>
      </c>
      <c r="H31" s="41">
        <f>H26+H27+H28+H29+H30</f>
        <v>21122</v>
      </c>
      <c r="I31" s="36">
        <f>I26+I27+I28+I29+I30</f>
        <v>21122</v>
      </c>
      <c r="J31" s="1"/>
      <c r="K31" s="1"/>
    </row>
    <row r="32">
      <c r="A32" s="1"/>
      <c r="B32" s="12" t="s">
        <v>377</v>
      </c>
      <c r="C32" s="34" t="s">
        <v>37</v>
      </c>
      <c r="D32" s="34" t="s">
        <v>37</v>
      </c>
      <c r="E32" s="26">
        <f>F32</f>
        <v>6005</v>
      </c>
      <c r="F32" s="34">
        <v>6005</v>
      </c>
      <c r="G32" s="34" t="s">
        <v>37</v>
      </c>
      <c r="H32" s="34">
        <v>6309</v>
      </c>
      <c r="I32" s="32">
        <f>H32</f>
        <v>6309</v>
      </c>
      <c r="J32" s="11" t="s">
        <v>378</v>
      </c>
      <c r="K32" s="1"/>
    </row>
    <row r="33">
      <c r="A33" s="1"/>
      <c r="B33" s="12" t="s">
        <v>379</v>
      </c>
      <c r="C33" s="34" t="s">
        <v>37</v>
      </c>
      <c r="D33" s="34" t="s">
        <v>37</v>
      </c>
      <c r="E33" s="26">
        <f>F33</f>
        <v>21968</v>
      </c>
      <c r="F33" s="34">
        <v>21968</v>
      </c>
      <c r="G33" s="34" t="s">
        <v>37</v>
      </c>
      <c r="H33" s="34">
        <v>36839</v>
      </c>
      <c r="I33" s="32">
        <f>H33</f>
        <v>36839</v>
      </c>
      <c r="J33" s="11" t="s">
        <v>380</v>
      </c>
      <c r="K33" s="1"/>
    </row>
    <row r="34">
      <c r="A34" s="1"/>
      <c r="B34" s="12" t="s">
        <v>381</v>
      </c>
      <c r="C34" s="34" t="s">
        <v>37</v>
      </c>
      <c r="D34" s="34" t="s">
        <v>37</v>
      </c>
      <c r="E34" s="26">
        <f>F34</f>
        <v>1381</v>
      </c>
      <c r="F34" s="34">
        <v>1381</v>
      </c>
      <c r="G34" s="34" t="s">
        <v>37</v>
      </c>
      <c r="H34" s="34">
        <v>1276</v>
      </c>
      <c r="I34" s="32">
        <f>H34</f>
        <v>1276</v>
      </c>
      <c r="J34" s="1"/>
      <c r="K34" s="1"/>
    </row>
    <row r="35">
      <c r="A35" s="1"/>
      <c r="B35" s="12" t="s">
        <v>382</v>
      </c>
      <c r="C35" s="34" t="s">
        <v>37</v>
      </c>
      <c r="D35" s="34" t="s">
        <v>37</v>
      </c>
      <c r="E35" s="34">
        <v>0</v>
      </c>
      <c r="F35" s="34">
        <v>0</v>
      </c>
      <c r="G35" s="26">
        <f>G36-G31</f>
        <v>36076</v>
      </c>
      <c r="H35" s="34">
        <v>0</v>
      </c>
      <c r="I35" s="52">
        <v>0</v>
      </c>
      <c r="J35" s="11" t="s">
        <v>383</v>
      </c>
      <c r="K35" s="1"/>
    </row>
    <row r="36">
      <c r="A36" s="1"/>
      <c r="B36" s="13" t="s">
        <v>384</v>
      </c>
      <c r="C36" s="47" t="s">
        <v>37</v>
      </c>
      <c r="D36" s="47" t="s">
        <v>37</v>
      </c>
      <c r="E36" s="41">
        <f>F36</f>
        <v>50754</v>
      </c>
      <c r="F36" s="41">
        <f>F31+F32+F33+F34+F35</f>
        <v>50754</v>
      </c>
      <c r="G36" s="47">
        <v>60512</v>
      </c>
      <c r="H36" s="41">
        <f>H31+H32+H33+H34+H35</f>
        <v>65546</v>
      </c>
      <c r="I36" s="36">
        <f>I31+I32+I33+I34+I35</f>
        <v>65546</v>
      </c>
      <c r="J36" s="1"/>
      <c r="K36" s="1"/>
    </row>
    <row r="37">
      <c r="A37" s="1"/>
      <c r="B37" s="12" t="s">
        <v>385</v>
      </c>
      <c r="C37" s="34" t="s">
        <v>37</v>
      </c>
      <c r="D37" s="34" t="s">
        <v>37</v>
      </c>
      <c r="E37" s="26">
        <f>F37</f>
        <v>38752</v>
      </c>
      <c r="F37" s="34">
        <v>38752</v>
      </c>
      <c r="G37" s="34">
        <v>7049</v>
      </c>
      <c r="H37" s="34">
        <v>0</v>
      </c>
      <c r="I37" s="32">
        <f>H37</f>
        <v>0</v>
      </c>
      <c r="J37" s="11" t="s">
        <v>386</v>
      </c>
      <c r="K37" s="1"/>
    </row>
    <row r="38">
      <c r="A38" s="1"/>
      <c r="B38" s="23" t="s">
        <v>387</v>
      </c>
      <c r="C38" s="1"/>
      <c r="D38" s="1"/>
      <c r="E38" s="1"/>
      <c r="F38" s="1"/>
      <c r="G38" s="1"/>
      <c r="H38" s="1"/>
      <c r="I38" s="53"/>
      <c r="J38" s="1"/>
      <c r="K38" s="1"/>
    </row>
    <row r="39">
      <c r="A39" s="1"/>
      <c r="B39" s="51" t="s">
        <v>388</v>
      </c>
      <c r="C39" s="34" t="s">
        <v>37</v>
      </c>
      <c r="D39" s="34" t="s">
        <v>37</v>
      </c>
      <c r="E39" s="26">
        <f>F39</f>
        <v>3</v>
      </c>
      <c r="F39" s="34">
        <v>3</v>
      </c>
      <c r="G39" s="34" t="s">
        <v>37</v>
      </c>
      <c r="H39" s="34">
        <v>7</v>
      </c>
      <c r="I39" s="32">
        <f>H39</f>
        <v>7</v>
      </c>
      <c r="J39" s="1"/>
      <c r="K39" s="1"/>
    </row>
    <row r="40">
      <c r="A40" s="1"/>
      <c r="B40" s="51" t="s">
        <v>389</v>
      </c>
      <c r="C40" s="34" t="s">
        <v>37</v>
      </c>
      <c r="D40" s="34" t="s">
        <v>37</v>
      </c>
      <c r="E40" s="26">
        <f>F40</f>
        <v>1</v>
      </c>
      <c r="F40" s="34">
        <v>1</v>
      </c>
      <c r="G40" s="34" t="s">
        <v>37</v>
      </c>
      <c r="H40" s="34">
        <v>6</v>
      </c>
      <c r="I40" s="32">
        <f>H40</f>
        <v>6</v>
      </c>
      <c r="J40" s="11" t="s">
        <v>390</v>
      </c>
      <c r="K40" s="1"/>
    </row>
    <row r="41">
      <c r="A41" s="1"/>
      <c r="B41" s="29" t="s">
        <v>391</v>
      </c>
      <c r="C41" s="47" t="s">
        <v>37</v>
      </c>
      <c r="D41" s="47" t="s">
        <v>37</v>
      </c>
      <c r="E41" s="41">
        <f>F41</f>
        <v>4</v>
      </c>
      <c r="F41" s="41">
        <f>F39+F40</f>
        <v>4</v>
      </c>
      <c r="G41" s="47">
        <v>6</v>
      </c>
      <c r="H41" s="41">
        <f>H39+H40</f>
        <v>13</v>
      </c>
      <c r="I41" s="36">
        <f>I39+I40</f>
        <v>13</v>
      </c>
      <c r="J41" s="1"/>
      <c r="K41" s="1"/>
    </row>
    <row r="42">
      <c r="A42" s="1"/>
      <c r="B42" s="12" t="s">
        <v>392</v>
      </c>
      <c r="C42" s="34" t="s">
        <v>37</v>
      </c>
      <c r="D42" s="34" t="s">
        <v>37</v>
      </c>
      <c r="E42" s="26">
        <f>F42</f>
        <v>37706</v>
      </c>
      <c r="F42" s="34">
        <v>37706</v>
      </c>
      <c r="G42" s="34">
        <v>74083</v>
      </c>
      <c r="H42" s="34">
        <v>167344</v>
      </c>
      <c r="I42" s="42">
        <f>H42+I57+'Income Statement'!I98</f>
        <v>228369</v>
      </c>
      <c r="J42" s="11" t="s">
        <v>393</v>
      </c>
      <c r="K42" s="1"/>
    </row>
    <row r="43">
      <c r="A43" s="1"/>
      <c r="B43" s="12" t="s">
        <v>394</v>
      </c>
      <c r="C43" s="34" t="s">
        <v>37</v>
      </c>
      <c r="D43" s="34" t="s">
        <v>37</v>
      </c>
      <c r="E43" s="26">
        <f>F43</f>
        <v>-37035</v>
      </c>
      <c r="F43" s="34">
        <v>-37035</v>
      </c>
      <c r="G43" s="34">
        <v>-41311</v>
      </c>
      <c r="H43" s="34">
        <v>-41852</v>
      </c>
      <c r="I43" s="42">
        <f>H43+'Income Statement'!I64</f>
        <v>-39102.12073559431</v>
      </c>
      <c r="J43" s="1"/>
      <c r="K43" s="1"/>
    </row>
    <row r="44">
      <c r="A44" s="1"/>
      <c r="B44" s="12" t="s">
        <v>395</v>
      </c>
      <c r="C44" s="34" t="s">
        <v>37</v>
      </c>
      <c r="D44" s="34" t="s">
        <v>37</v>
      </c>
      <c r="E44" s="26">
        <f>F44</f>
        <v>1898</v>
      </c>
      <c r="F44" s="34">
        <v>1898</v>
      </c>
      <c r="G44" s="34">
        <v>1755</v>
      </c>
      <c r="H44" s="34">
        <v>1719</v>
      </c>
      <c r="I44" s="32">
        <f>H44</f>
        <v>1719</v>
      </c>
      <c r="J44" s="11" t="s">
        <v>396</v>
      </c>
      <c r="K44" s="1"/>
    </row>
    <row r="45">
      <c r="A45" s="1"/>
      <c r="B45" s="13" t="s">
        <v>397</v>
      </c>
      <c r="C45" s="47" t="s">
        <v>37</v>
      </c>
      <c r="D45" s="47" t="s">
        <v>37</v>
      </c>
      <c r="E45" s="41">
        <f>F45</f>
        <v>2573</v>
      </c>
      <c r="F45" s="41">
        <f>F41+F42+F43+F44</f>
        <v>2573</v>
      </c>
      <c r="G45" s="41">
        <f>G41+G42+G43+G44</f>
        <v>34533</v>
      </c>
      <c r="H45" s="41">
        <f>H41+H42+H43+H44</f>
        <v>127224</v>
      </c>
      <c r="I45" s="36">
        <f>I41+I42+I43+I44</f>
        <v>190998.8792644057</v>
      </c>
      <c r="J45" s="1"/>
      <c r="K45" s="1"/>
    </row>
    <row r="46">
      <c r="A46" s="1"/>
      <c r="B46" s="13" t="s">
        <v>398</v>
      </c>
      <c r="C46" s="47" t="s">
        <v>37</v>
      </c>
      <c r="D46" s="47" t="s">
        <v>37</v>
      </c>
      <c r="E46" s="41">
        <f>E36+E37+E45</f>
        <v>92079</v>
      </c>
      <c r="F46" s="41">
        <f>F36+F37+F45</f>
        <v>92079</v>
      </c>
      <c r="G46" s="41">
        <f>G36+G37+G45</f>
        <v>102094</v>
      </c>
      <c r="H46" s="41">
        <f>H36+H37+H45</f>
        <v>192770</v>
      </c>
      <c r="I46" s="36">
        <f>I36+I37+I45</f>
        <v>256544.8792644057</v>
      </c>
      <c r="J46" s="11" t="s">
        <v>399</v>
      </c>
      <c r="K46" s="1"/>
    </row>
    <row r="47">
      <c r="A47" s="1"/>
      <c r="B47" s="12" t="s">
        <v>400</v>
      </c>
      <c r="C47" s="34" t="s">
        <v>37</v>
      </c>
      <c r="D47" s="34" t="s">
        <v>37</v>
      </c>
      <c r="E47" s="26">
        <f>E24-E36-E37-E45</f>
        <v>0</v>
      </c>
      <c r="F47" s="26">
        <f>F24-F36-F37-F45</f>
        <v>0</v>
      </c>
      <c r="G47" s="26">
        <f>G24-G36-G37-G45</f>
        <v>0</v>
      </c>
      <c r="H47" s="26">
        <f>H24-H36-H37-H45</f>
        <v>0</v>
      </c>
      <c r="I47" s="32">
        <f>I24-I36-I37-I45</f>
        <v>0</v>
      </c>
      <c r="J47" s="11" t="s">
        <v>401</v>
      </c>
      <c r="K47" s="1"/>
    </row>
    <row r="48">
      <c r="A48" s="1"/>
      <c r="B48" s="23" t="s">
        <v>402</v>
      </c>
      <c r="C48" s="1"/>
      <c r="D48" s="1"/>
      <c r="E48" s="1"/>
      <c r="F48" s="1"/>
      <c r="G48" s="1"/>
      <c r="H48" s="1"/>
      <c r="I48" s="53"/>
      <c r="J48" s="1"/>
      <c r="K48" s="1"/>
    </row>
    <row r="49">
      <c r="A49" s="1"/>
      <c r="B49" s="29" t="s">
        <v>403</v>
      </c>
      <c r="C49" s="47" t="s">
        <v>37</v>
      </c>
      <c r="D49" s="47" t="s">
        <v>37</v>
      </c>
      <c r="E49" s="41">
        <f>E28+E33</f>
        <v>22896</v>
      </c>
      <c r="F49" s="41">
        <f>F28+F33</f>
        <v>22896</v>
      </c>
      <c r="G49" s="47" t="s">
        <v>37</v>
      </c>
      <c r="H49" s="41">
        <f>H28+H33</f>
        <v>39364</v>
      </c>
      <c r="I49" s="36">
        <f>I28+I33</f>
        <v>39364</v>
      </c>
      <c r="J49" s="11" t="s">
        <v>404</v>
      </c>
      <c r="K49" s="1"/>
    </row>
    <row r="50">
      <c r="A50" s="1"/>
      <c r="B50" s="12" t="s">
        <v>405</v>
      </c>
      <c r="C50" s="34" t="s">
        <v>37</v>
      </c>
      <c r="D50" s="34" t="s">
        <v>37</v>
      </c>
      <c r="E50" s="26">
        <f>E9+E10-E49</f>
        <v>1851</v>
      </c>
      <c r="F50" s="26">
        <f>F9+F10-F49</f>
        <v>1851</v>
      </c>
      <c r="G50" s="34" t="s">
        <v>37</v>
      </c>
      <c r="H50" s="26">
        <f>H9+H10-H49</f>
        <v>60645</v>
      </c>
      <c r="I50" s="32">
        <f>I9+I10-I49</f>
        <v>47036.902904319024</v>
      </c>
      <c r="J50" s="11" t="s">
        <v>406</v>
      </c>
      <c r="K50" s="1"/>
    </row>
    <row r="51">
      <c r="A51" s="1"/>
      <c r="B51" s="12" t="s">
        <v>407</v>
      </c>
      <c r="C51" s="34" t="s">
        <v>37</v>
      </c>
      <c r="D51" s="34" t="s">
        <v>37</v>
      </c>
      <c r="E51" s="34" t="s">
        <v>37</v>
      </c>
      <c r="F51" s="34" t="s">
        <v>37</v>
      </c>
      <c r="G51" s="34" t="s">
        <v>37</v>
      </c>
      <c r="H51" s="22">
        <f>IF(ISNUMBER(H11),H11/'Income Statement'!H12*H$6,"n/a")</f>
        <v>41.878167391860764</v>
      </c>
      <c r="I51" s="52">
        <v>40</v>
      </c>
      <c r="J51" s="11" t="s">
        <v>408</v>
      </c>
      <c r="K51" s="1"/>
    </row>
    <row r="52">
      <c r="A52" s="1"/>
      <c r="B52" s="18" t="s">
        <v>61</v>
      </c>
      <c r="C52" s="39" t="s">
        <v>37</v>
      </c>
      <c r="D52" s="39" t="s">
        <v>37</v>
      </c>
      <c r="E52" s="39" t="s">
        <v>37</v>
      </c>
      <c r="F52" s="39" t="s">
        <v>37</v>
      </c>
      <c r="G52" s="17" t="str">
        <f>IF(AND(ISNUMBER(G51),ISNUMBER(C51)),IF(OR(C51&lt;=0,G51&lt;0),"n/m",G51/C51-1),"n/a")</f>
        <v>n/a</v>
      </c>
      <c r="H52" s="17" t="str">
        <f>IF(AND(ISNUMBER(H51),ISNUMBER(D51)),IF(OR(D51&lt;=0,H51&lt;0),"n/m",H51/D51-1),"n/a")</f>
        <v>n/a</v>
      </c>
      <c r="I52" s="49" t="s">
        <v>37</v>
      </c>
      <c r="J52" s="1"/>
      <c r="K52" s="1"/>
    </row>
    <row r="53">
      <c r="A53" s="1"/>
      <c r="B53" s="51" t="s">
        <v>103</v>
      </c>
      <c r="C53" s="34" t="s">
        <v>37</v>
      </c>
      <c r="D53" s="26" t="str">
        <f>IF(AND(ISNUMBER(D51),ISNUMBER(C51)),D51-C51,"n/a")</f>
        <v>n/a</v>
      </c>
      <c r="E53" s="34" t="s">
        <v>37</v>
      </c>
      <c r="F53" s="34" t="s">
        <v>37</v>
      </c>
      <c r="G53" s="34" t="s">
        <v>37</v>
      </c>
      <c r="H53" s="26" t="str">
        <f>IF(AND(ISNUMBER(H51),ISNUMBER(G51)),H51-G51,"n/a")</f>
        <v>n/a</v>
      </c>
      <c r="I53" s="32">
        <f>IF(AND(ISNUMBER(I51),ISNUMBER(H51)),I51-H51,"n/a")</f>
        <v>-1.8781673918607638</v>
      </c>
      <c r="J53" s="1"/>
      <c r="K53" s="1"/>
    </row>
    <row r="54">
      <c r="A54" s="1"/>
      <c r="B54" s="33" t="s">
        <v>409</v>
      </c>
      <c r="C54" s="39" t="s">
        <v>37</v>
      </c>
      <c r="D54" s="39" t="s">
        <v>37</v>
      </c>
      <c r="E54" s="39" t="s">
        <v>37</v>
      </c>
      <c r="F54" s="39" t="s">
        <v>37</v>
      </c>
      <c r="G54" s="39" t="s">
        <v>37</v>
      </c>
      <c r="H54" s="39" t="s">
        <v>37</v>
      </c>
      <c r="I54" s="49">
        <v>0.05</v>
      </c>
      <c r="J54" s="11" t="s">
        <v>410</v>
      </c>
      <c r="K54" s="1"/>
    </row>
    <row r="55">
      <c r="A55" s="1"/>
      <c r="B55" s="18" t="s">
        <v>98</v>
      </c>
      <c r="C55" s="37" t="s">
        <v>37</v>
      </c>
      <c r="D55" s="37" t="s">
        <v>37</v>
      </c>
      <c r="E55" s="37" t="s">
        <v>37</v>
      </c>
      <c r="F55" s="37" t="s">
        <v>37</v>
      </c>
      <c r="G55" s="43" t="str">
        <f>IF(AND(ISNUMBER(G54),ISNUMBER(C54)),(G54-C54)*10000,"n/a")</f>
        <v>n/a</v>
      </c>
      <c r="H55" s="43" t="str">
        <f>IF(AND(ISNUMBER(H54),ISNUMBER(D54)),(H54-D54)*10000,"n/a")</f>
        <v>n/a</v>
      </c>
      <c r="I55" s="54" t="s">
        <v>37</v>
      </c>
      <c r="J55" s="1"/>
      <c r="K55" s="1"/>
    </row>
    <row r="56">
      <c r="A56" s="1"/>
      <c r="B56" s="18" t="s">
        <v>99</v>
      </c>
      <c r="C56" s="37" t="s">
        <v>37</v>
      </c>
      <c r="D56" s="43" t="str">
        <f>IF(AND(ISNUMBER(D54),ISNUMBER(C54)),(D54-C54)*10000,"n/a")</f>
        <v>n/a</v>
      </c>
      <c r="E56" s="37" t="s">
        <v>37</v>
      </c>
      <c r="F56" s="37" t="s">
        <v>37</v>
      </c>
      <c r="G56" s="37" t="s">
        <v>37</v>
      </c>
      <c r="H56" s="43" t="str">
        <f>IF(AND(ISNUMBER(H54),ISNUMBER(G54)),(H54-G54)*10000,"n/a")</f>
        <v>n/a</v>
      </c>
      <c r="I56" s="50" t="str">
        <f>IF(AND(ISNUMBER(I54),ISNUMBER(H54)),(I54-H54)*10000,"n/a")</f>
        <v>n/a</v>
      </c>
      <c r="J56" s="1"/>
      <c r="K56" s="1"/>
    </row>
    <row r="57">
      <c r="A57" s="1"/>
      <c r="B57" s="12" t="s">
        <v>411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52">
        <v>60000</v>
      </c>
      <c r="J57" s="11" t="s">
        <v>412</v>
      </c>
      <c r="K57" s="1"/>
    </row>
    <row r="58">
      <c r="A58" s="1"/>
      <c r="B58" s="18" t="s">
        <v>61</v>
      </c>
      <c r="C58" s="39" t="s">
        <v>37</v>
      </c>
      <c r="D58" s="39" t="s">
        <v>37</v>
      </c>
      <c r="E58" s="39" t="s">
        <v>37</v>
      </c>
      <c r="F58" s="39" t="s">
        <v>37</v>
      </c>
      <c r="G58" s="17" t="str">
        <f>IF(AND(ISNUMBER(G57),ISNUMBER(C57)),IF(OR(C57&lt;=0,G57&lt;0),"n/m",G57/C57-1),"n/a")</f>
        <v>n/m</v>
      </c>
      <c r="H58" s="17" t="str">
        <f>IF(AND(ISNUMBER(H57),ISNUMBER(D57)),IF(OR(D57&lt;=0,H57&lt;0),"n/m",H57/D57-1),"n/a")</f>
        <v>n/m</v>
      </c>
      <c r="I58" s="49" t="s">
        <v>37</v>
      </c>
      <c r="J58" s="1"/>
      <c r="K58" s="1"/>
    </row>
    <row r="59">
      <c r="A59" s="1"/>
      <c r="B59" s="51" t="s">
        <v>103</v>
      </c>
      <c r="C59" s="34" t="s">
        <v>37</v>
      </c>
      <c r="D59" s="26">
        <f>IF(AND(ISNUMBER(D57),ISNUMBER(C57)),D57-C57,"n/a")</f>
        <v>0</v>
      </c>
      <c r="E59" s="34" t="s">
        <v>37</v>
      </c>
      <c r="F59" s="34" t="s">
        <v>37</v>
      </c>
      <c r="G59" s="34" t="s">
        <v>37</v>
      </c>
      <c r="H59" s="26">
        <f>IF(AND(ISNUMBER(H57),ISNUMBER(G57)),H57-G57,"n/a")</f>
        <v>0</v>
      </c>
      <c r="I59" s="32">
        <f>IF(AND(ISNUMBER(I57),ISNUMBER(H57)),I57-H57,"n/a")</f>
        <v>60000</v>
      </c>
      <c r="J59" s="1"/>
      <c r="K59" s="1"/>
    </row>
    <row r="60">
      <c r="A60" s="1"/>
      <c r="B60" s="12" t="s">
        <v>413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52">
        <v>8000</v>
      </c>
      <c r="J60" s="11" t="s">
        <v>414</v>
      </c>
      <c r="K60" s="1"/>
    </row>
    <row r="61">
      <c r="A61" s="1"/>
      <c r="B61" s="18" t="s">
        <v>61</v>
      </c>
      <c r="C61" s="39" t="s">
        <v>37</v>
      </c>
      <c r="D61" s="39" t="s">
        <v>37</v>
      </c>
      <c r="E61" s="39" t="s">
        <v>37</v>
      </c>
      <c r="F61" s="39" t="s">
        <v>37</v>
      </c>
      <c r="G61" s="17" t="str">
        <f>IF(AND(ISNUMBER(G60),ISNUMBER(C60)),IF(OR(C60&lt;=0,G60&lt;0),"n/m",G60/C60-1),"n/a")</f>
        <v>n/m</v>
      </c>
      <c r="H61" s="17" t="str">
        <f>IF(AND(ISNUMBER(H60),ISNUMBER(D60)),IF(OR(D60&lt;=0,H60&lt;0),"n/m",H60/D60-1),"n/a")</f>
        <v>n/m</v>
      </c>
      <c r="I61" s="49" t="s">
        <v>37</v>
      </c>
      <c r="J61" s="1"/>
      <c r="K61" s="1"/>
    </row>
    <row r="62">
      <c r="A62" s="1"/>
      <c r="B62" s="51" t="s">
        <v>103</v>
      </c>
      <c r="C62" s="34" t="s">
        <v>37</v>
      </c>
      <c r="D62" s="26">
        <f>IF(AND(ISNUMBER(D60),ISNUMBER(C60)),D60-C60,"n/a")</f>
        <v>0</v>
      </c>
      <c r="E62" s="34" t="s">
        <v>37</v>
      </c>
      <c r="F62" s="34" t="s">
        <v>37</v>
      </c>
      <c r="G62" s="34" t="s">
        <v>37</v>
      </c>
      <c r="H62" s="26">
        <f>IF(AND(ISNUMBER(H60),ISNUMBER(G60)),H60-G60,"n/a")</f>
        <v>0</v>
      </c>
      <c r="I62" s="32">
        <f>IF(AND(ISNUMBER(I60),ISNUMBER(H60)),I60-H60,"n/a")</f>
        <v>8000</v>
      </c>
      <c r="J62" s="1"/>
      <c r="K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415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56</v>
      </c>
      <c r="J4" s="79" t="s">
        <v>4</v>
      </c>
      <c r="K4" s="1"/>
    </row>
    <row r="5">
      <c r="A5" s="1"/>
      <c r="B5" s="14" t="s">
        <v>57</v>
      </c>
      <c r="C5" s="5">
        <v>45747</v>
      </c>
      <c r="D5" s="5">
        <v>45838</v>
      </c>
      <c r="E5" s="5">
        <v>46022</v>
      </c>
      <c r="F5" s="5">
        <v>46022</v>
      </c>
      <c r="G5" s="5">
        <v>46112</v>
      </c>
      <c r="H5" s="5">
        <v>46203</v>
      </c>
      <c r="I5" s="5">
        <v>46295</v>
      </c>
      <c r="J5" s="84"/>
      <c r="K5" s="1"/>
    </row>
    <row r="6">
      <c r="A6" s="1"/>
      <c r="B6" s="10" t="s">
        <v>58</v>
      </c>
      <c r="C6" s="6">
        <v>90</v>
      </c>
      <c r="D6" s="6">
        <v>91</v>
      </c>
      <c r="E6" s="6">
        <v>184</v>
      </c>
      <c r="F6" s="6">
        <v>365</v>
      </c>
      <c r="G6" s="6">
        <v>90</v>
      </c>
      <c r="H6" s="6">
        <v>91</v>
      </c>
      <c r="I6" s="6">
        <v>92</v>
      </c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416</v>
      </c>
      <c r="C8" s="1"/>
      <c r="D8" s="1"/>
      <c r="E8" s="1"/>
      <c r="F8" s="1"/>
      <c r="G8" s="1"/>
      <c r="H8" s="1"/>
      <c r="I8" s="53"/>
      <c r="J8" s="1"/>
      <c r="K8" s="1"/>
    </row>
    <row r="9">
      <c r="A9" s="1"/>
      <c r="B9" s="12" t="s">
        <v>282</v>
      </c>
      <c r="C9" s="22">
        <f>'Income Statement'!C64</f>
        <v>-528</v>
      </c>
      <c r="D9" s="22">
        <f>'Income Statement'!D64</f>
        <v>-1008</v>
      </c>
      <c r="E9" s="22">
        <f>'Income Statement'!E64</f>
        <v>-3401</v>
      </c>
      <c r="F9" s="22">
        <f>'Income Statement'!F64</f>
        <v>-4937</v>
      </c>
      <c r="G9" s="22">
        <f>'Income Statement'!G64</f>
        <v>-4276</v>
      </c>
      <c r="H9" s="22">
        <f>'Income Statement'!H64</f>
        <v>-541</v>
      </c>
      <c r="I9" s="42">
        <f>'Income Statement'!I64</f>
        <v>2749.8792644056866</v>
      </c>
      <c r="J9" s="1"/>
      <c r="K9" s="1"/>
    </row>
    <row r="10">
      <c r="A10" s="1"/>
      <c r="B10" s="12" t="s">
        <v>145</v>
      </c>
      <c r="C10" s="22">
        <f>'Income Statement'!C95</f>
        <v>1444</v>
      </c>
      <c r="D10" s="22">
        <f>'Income Statement'!D95</f>
        <v>1526</v>
      </c>
      <c r="E10" s="22" t="str">
        <f>'Income Statement'!E95</f>
        <v>n/a</v>
      </c>
      <c r="F10" s="22" t="str">
        <f>'Income Statement'!F95</f>
        <v>n/a</v>
      </c>
      <c r="G10" s="22">
        <f>'Income Statement'!G95</f>
        <v>2442</v>
      </c>
      <c r="H10" s="22">
        <f>'Income Statement'!H95</f>
        <v>2848</v>
      </c>
      <c r="I10" s="42">
        <f>'Income Statement'!I95</f>
        <v>3615</v>
      </c>
      <c r="J10" s="1"/>
      <c r="K10" s="1"/>
    </row>
    <row r="11">
      <c r="A11" s="1"/>
      <c r="B11" s="12" t="s">
        <v>146</v>
      </c>
      <c r="C11" s="22">
        <f>'Income Statement'!C98</f>
        <v>231</v>
      </c>
      <c r="D11" s="22">
        <f>'Income Statement'!D98</f>
        <v>463</v>
      </c>
      <c r="E11" s="22" t="str">
        <f>'Income Statement'!E98</f>
        <v>n/a</v>
      </c>
      <c r="F11" s="22" t="str">
        <f>'Income Statement'!F98</f>
        <v>n/a</v>
      </c>
      <c r="G11" s="22">
        <f>'Income Statement'!G98</f>
        <v>639</v>
      </c>
      <c r="H11" s="22">
        <f>'Income Statement'!H98</f>
        <v>831</v>
      </c>
      <c r="I11" s="42">
        <f>'Income Statement'!I98</f>
        <v>1025</v>
      </c>
      <c r="J11" s="1"/>
      <c r="K11" s="1"/>
    </row>
    <row r="12">
      <c r="A12" s="1"/>
      <c r="B12" s="12" t="s">
        <v>417</v>
      </c>
      <c r="C12" s="34" t="s">
        <v>37</v>
      </c>
      <c r="D12" s="34" t="s">
        <v>37</v>
      </c>
      <c r="E12" s="34" t="s">
        <v>37</v>
      </c>
      <c r="F12" s="34" t="s">
        <v>37</v>
      </c>
      <c r="G12" s="34" t="s">
        <v>37</v>
      </c>
      <c r="H12" s="34" t="s">
        <v>37</v>
      </c>
      <c r="I12" s="42">
        <f>-'Income Statement'!I54</f>
        <v>-467.70625288000014</v>
      </c>
      <c r="J12" s="11" t="s">
        <v>418</v>
      </c>
      <c r="K12" s="1"/>
    </row>
    <row r="13">
      <c r="A13" s="1"/>
      <c r="B13" s="12" t="s">
        <v>419</v>
      </c>
      <c r="C13" s="34" t="s">
        <v>37</v>
      </c>
      <c r="D13" s="34" t="s">
        <v>37</v>
      </c>
      <c r="E13" s="34" t="s">
        <v>37</v>
      </c>
      <c r="F13" s="34" t="s">
        <v>37</v>
      </c>
      <c r="G13" s="34" t="s">
        <v>37</v>
      </c>
      <c r="H13" s="34" t="s">
        <v>37</v>
      </c>
      <c r="I13" s="42">
        <f>-('Balance Sheet'!I11-'Balance Sheet'!H11)</f>
        <v>-1994.3701072066706</v>
      </c>
      <c r="J13" s="1"/>
      <c r="K13" s="1"/>
    </row>
    <row r="14">
      <c r="A14" s="1"/>
      <c r="B14" s="12" t="s">
        <v>420</v>
      </c>
      <c r="C14" s="34" t="s">
        <v>37</v>
      </c>
      <c r="D14" s="34" t="s">
        <v>37</v>
      </c>
      <c r="E14" s="34" t="s">
        <v>37</v>
      </c>
      <c r="F14" s="34" t="s">
        <v>37</v>
      </c>
      <c r="G14" s="34" t="s">
        <v>37</v>
      </c>
      <c r="H14" s="34" t="s">
        <v>37</v>
      </c>
      <c r="I14" s="42">
        <f>-('Balance Sheet'!I12-'Balance Sheet'!H12)</f>
        <v>-135.9000000000001</v>
      </c>
      <c r="J14" s="1"/>
      <c r="K14" s="1"/>
    </row>
    <row r="15">
      <c r="A15" s="1"/>
      <c r="B15" s="12" t="s">
        <v>421</v>
      </c>
      <c r="C15" s="26">
        <f>IF(COUNT(C17,C9,C10,C11)=4,C17-C9-C10-C11,"n/a")</f>
        <v>-420</v>
      </c>
      <c r="D15" s="26">
        <f>IF(COUNT(D17,D9,D10,D11)=4,D17-D9-D10-D11,"n/a")</f>
        <v>-1357</v>
      </c>
      <c r="E15" s="26" t="str">
        <f>IF(COUNT(E17,E9,E10,E11)=4,E17-E9-E10-E11,"n/a")</f>
        <v>n/a</v>
      </c>
      <c r="F15" s="26" t="str">
        <f>IF(COUNT(F17,F9,F10,F11)=4,F17-F9-F10-F11,"n/a")</f>
        <v>n/a</v>
      </c>
      <c r="G15" s="26">
        <f>IF(COUNT(G17,G9,G10,G11)=4,G17-G9-G10-G11,"n/a")</f>
        <v>2242</v>
      </c>
      <c r="H15" s="26">
        <f>IF(COUNT(H17,H9,H10,H11)=4,H17-H9-H10-H11,"n/a")</f>
        <v>-719</v>
      </c>
      <c r="I15" s="52">
        <v>0</v>
      </c>
      <c r="J15" s="11" t="s">
        <v>422</v>
      </c>
      <c r="K15" s="1"/>
    </row>
    <row r="16">
      <c r="A16" s="1"/>
      <c r="B16" s="51" t="s">
        <v>423</v>
      </c>
      <c r="C16" s="34" t="s">
        <v>37</v>
      </c>
      <c r="D16" s="34">
        <v>351</v>
      </c>
      <c r="E16" s="34" t="s">
        <v>37</v>
      </c>
      <c r="F16" s="34" t="s">
        <v>37</v>
      </c>
      <c r="G16" s="34" t="s">
        <v>37</v>
      </c>
      <c r="H16" s="34">
        <v>3466</v>
      </c>
      <c r="I16" s="52" t="s">
        <v>37</v>
      </c>
      <c r="J16" s="11" t="s">
        <v>424</v>
      </c>
      <c r="K16" s="1"/>
    </row>
    <row r="17">
      <c r="A17" s="1"/>
      <c r="B17" s="13" t="s">
        <v>425</v>
      </c>
      <c r="C17" s="47">
        <v>727</v>
      </c>
      <c r="D17" s="41">
        <f>D16-C17</f>
        <v>-376</v>
      </c>
      <c r="E17" s="41">
        <f>IF(COUNT(F17,C17,D17)=3,F17-C17-D17,"n/a")</f>
        <v>6434</v>
      </c>
      <c r="F17" s="47">
        <v>6785</v>
      </c>
      <c r="G17" s="47">
        <v>1047</v>
      </c>
      <c r="H17" s="41">
        <f>H16-G17</f>
        <v>2419</v>
      </c>
      <c r="I17" s="36">
        <f>I9+I10+I11+I12+I13+I14+I15</f>
        <v>4791.902904319017</v>
      </c>
      <c r="J17" s="11" t="s">
        <v>426</v>
      </c>
      <c r="K17" s="1"/>
    </row>
    <row r="18">
      <c r="A18" s="1"/>
      <c r="B18" s="23" t="s">
        <v>427</v>
      </c>
      <c r="C18" s="1"/>
      <c r="D18" s="1"/>
      <c r="E18" s="1"/>
      <c r="F18" s="1"/>
      <c r="G18" s="1"/>
      <c r="H18" s="1"/>
      <c r="I18" s="53"/>
      <c r="J18" s="1"/>
      <c r="K18" s="1"/>
    </row>
    <row r="19">
      <c r="A19" s="1"/>
      <c r="B19" s="12" t="s">
        <v>428</v>
      </c>
      <c r="C19" s="22">
        <f>-('Segment - Space'!C97+'Segment - Connectivity'!C118+'Segment - AI'!C166)</f>
        <v>-4140</v>
      </c>
      <c r="D19" s="22">
        <f>-('Segment - Space'!D97+'Segment - Connectivity'!D118+'Segment - AI'!D166)</f>
        <v>-2825</v>
      </c>
      <c r="E19" s="22">
        <f>-('Segment - Space'!E97+'Segment - Connectivity'!E118+'Segment - AI'!E166)</f>
        <v>-13772</v>
      </c>
      <c r="F19" s="22">
        <f>-('Segment - Space'!F97+'Segment - Connectivity'!F118+'Segment - AI'!F166)</f>
        <v>-20737</v>
      </c>
      <c r="G19" s="22">
        <f>-('Segment - Space'!G97+'Segment - Connectivity'!G118+'Segment - AI'!G166)</f>
        <v>-10107</v>
      </c>
      <c r="H19" s="22">
        <f>-('Segment - Space'!H97+'Segment - Connectivity'!H118+'Segment - AI'!H166)</f>
        <v>-18369</v>
      </c>
      <c r="I19" s="42">
        <f>-('Segment - Space'!I97+'Segment - Connectivity'!I118+'Segment - AI'!I166)</f>
        <v>-18400</v>
      </c>
      <c r="J19" s="11" t="s">
        <v>429</v>
      </c>
      <c r="K19" s="1"/>
    </row>
    <row r="20">
      <c r="A20" s="1"/>
      <c r="B20" s="18" t="s">
        <v>61</v>
      </c>
      <c r="C20" s="39" t="s">
        <v>37</v>
      </c>
      <c r="D20" s="39" t="s">
        <v>37</v>
      </c>
      <c r="E20" s="39" t="s">
        <v>37</v>
      </c>
      <c r="F20" s="39" t="s">
        <v>37</v>
      </c>
      <c r="G20" s="17">
        <f>IF(AND(ISNUMBER(G19),ISNUMBER(C19)),IF(OR(C19&gt;=0,G19&gt;0),"n/m",G19/C19-1),"n/a")</f>
        <v>1.4413043478260867</v>
      </c>
      <c r="H20" s="17">
        <f>IF(AND(ISNUMBER(H19),ISNUMBER(D19)),IF(OR(D19&gt;=0,H19&gt;0),"n/m",H19/D19-1),"n/a")</f>
        <v>5.502300884955752</v>
      </c>
      <c r="I20" s="49" t="s">
        <v>37</v>
      </c>
      <c r="J20" s="1"/>
      <c r="K20" s="1"/>
    </row>
    <row r="21">
      <c r="A21" s="1"/>
      <c r="B21" s="51" t="s">
        <v>103</v>
      </c>
      <c r="C21" s="34" t="s">
        <v>37</v>
      </c>
      <c r="D21" s="26">
        <f>IF(AND(ISNUMBER(D19),ISNUMBER(C19)),D19-C19,"n/a")</f>
        <v>1315</v>
      </c>
      <c r="E21" s="34" t="s">
        <v>37</v>
      </c>
      <c r="F21" s="34" t="s">
        <v>37</v>
      </c>
      <c r="G21" s="34" t="s">
        <v>37</v>
      </c>
      <c r="H21" s="26">
        <f>IF(AND(ISNUMBER(H19),ISNUMBER(G19)),H19-G19,"n/a")</f>
        <v>-8262</v>
      </c>
      <c r="I21" s="32">
        <f>IF(AND(ISNUMBER(I19),ISNUMBER(H19)),I19-H19,"n/a")</f>
        <v>-31</v>
      </c>
      <c r="J21" s="1"/>
      <c r="K21" s="1"/>
    </row>
    <row r="22">
      <c r="A22" s="1"/>
      <c r="B22" s="12" t="s">
        <v>430</v>
      </c>
      <c r="C22" s="26">
        <f>IF(COUNT(C24,C19)=2,C24-C19,"n/a")</f>
        <v>-30</v>
      </c>
      <c r="D22" s="26">
        <f>IF(COUNT(D24,D19)=2,D24-D19,"n/a")</f>
        <v>963</v>
      </c>
      <c r="E22" s="26">
        <f>IF(COUNT(E24,E19)=2,E24-E19,"n/a")</f>
        <v>229</v>
      </c>
      <c r="F22" s="26">
        <f>IF(COUNT(F24,F19)=2,F24-F19,"n/a")</f>
        <v>1162</v>
      </c>
      <c r="G22" s="26">
        <f>IF(COUNT(G24,G19)=2,G24-G19,"n/a")</f>
        <v>-6617</v>
      </c>
      <c r="H22" s="26">
        <f>IF(COUNT(H24,H19)=2,H24-H19,"n/a")</f>
        <v>606</v>
      </c>
      <c r="I22" s="52">
        <v>0</v>
      </c>
      <c r="J22" s="11" t="s">
        <v>431</v>
      </c>
      <c r="K22" s="1"/>
    </row>
    <row r="23">
      <c r="A23" s="1"/>
      <c r="B23" s="51" t="s">
        <v>432</v>
      </c>
      <c r="C23" s="34" t="s">
        <v>37</v>
      </c>
      <c r="D23" s="34">
        <v>-6032</v>
      </c>
      <c r="E23" s="34" t="s">
        <v>37</v>
      </c>
      <c r="F23" s="34" t="s">
        <v>37</v>
      </c>
      <c r="G23" s="34" t="s">
        <v>37</v>
      </c>
      <c r="H23" s="34">
        <v>-34487</v>
      </c>
      <c r="I23" s="52" t="s">
        <v>37</v>
      </c>
      <c r="J23" s="11" t="s">
        <v>433</v>
      </c>
      <c r="K23" s="1"/>
    </row>
    <row r="24">
      <c r="A24" s="1"/>
      <c r="B24" s="13" t="s">
        <v>434</v>
      </c>
      <c r="C24" s="47">
        <v>-4170</v>
      </c>
      <c r="D24" s="41">
        <f>D23-C24</f>
        <v>-1862</v>
      </c>
      <c r="E24" s="41">
        <f>IF(COUNT(F24,C24,D24)=3,F24-C24-D24,"n/a")</f>
        <v>-13543</v>
      </c>
      <c r="F24" s="47">
        <v>-19575</v>
      </c>
      <c r="G24" s="47">
        <v>-16724</v>
      </c>
      <c r="H24" s="41">
        <f>H23-G24</f>
        <v>-17763</v>
      </c>
      <c r="I24" s="36">
        <f>I19+I22</f>
        <v>-18400</v>
      </c>
      <c r="J24" s="11" t="s">
        <v>435</v>
      </c>
      <c r="K24" s="1"/>
    </row>
    <row r="25">
      <c r="A25" s="1"/>
      <c r="B25" s="23" t="s">
        <v>436</v>
      </c>
      <c r="C25" s="1"/>
      <c r="D25" s="1"/>
      <c r="E25" s="1"/>
      <c r="F25" s="1"/>
      <c r="G25" s="1"/>
      <c r="H25" s="1"/>
      <c r="I25" s="53"/>
      <c r="J25" s="1"/>
      <c r="K25" s="1"/>
    </row>
    <row r="26">
      <c r="A26" s="1"/>
      <c r="B26" s="51" t="s">
        <v>437</v>
      </c>
      <c r="C26" s="34" t="s">
        <v>37</v>
      </c>
      <c r="D26" s="34">
        <v>9199</v>
      </c>
      <c r="E26" s="34" t="s">
        <v>37</v>
      </c>
      <c r="F26" s="34" t="s">
        <v>37</v>
      </c>
      <c r="G26" s="34" t="s">
        <v>37</v>
      </c>
      <c r="H26" s="34">
        <v>100291</v>
      </c>
      <c r="I26" s="52" t="s">
        <v>37</v>
      </c>
      <c r="J26" s="11" t="s">
        <v>438</v>
      </c>
      <c r="K26" s="1"/>
    </row>
    <row r="27">
      <c r="A27" s="1"/>
      <c r="B27" s="13" t="s">
        <v>439</v>
      </c>
      <c r="C27" s="47">
        <v>354</v>
      </c>
      <c r="D27" s="41">
        <f>D26-C27</f>
        <v>8845</v>
      </c>
      <c r="E27" s="41">
        <f>IF(COUNT(F27,C27,D27)=3,F27-C27-D27,"n/a")</f>
        <v>17151</v>
      </c>
      <c r="F27" s="47">
        <v>26350</v>
      </c>
      <c r="G27" s="47">
        <v>7125</v>
      </c>
      <c r="H27" s="41">
        <f>H26-G27</f>
        <v>93166</v>
      </c>
      <c r="I27" s="31">
        <v>0</v>
      </c>
      <c r="J27" s="11" t="s">
        <v>440</v>
      </c>
      <c r="K27" s="1"/>
    </row>
    <row r="28">
      <c r="A28" s="1"/>
      <c r="B28" s="23" t="s">
        <v>441</v>
      </c>
      <c r="C28" s="1"/>
      <c r="D28" s="1"/>
      <c r="E28" s="1"/>
      <c r="F28" s="1"/>
      <c r="G28" s="1"/>
      <c r="H28" s="1"/>
      <c r="I28" s="53"/>
      <c r="J28" s="1"/>
      <c r="K28" s="1"/>
    </row>
    <row r="29">
      <c r="A29" s="1"/>
      <c r="B29" s="12" t="s">
        <v>442</v>
      </c>
      <c r="C29" s="34" t="s">
        <v>37</v>
      </c>
      <c r="D29" s="34" t="s">
        <v>37</v>
      </c>
      <c r="E29" s="34" t="s">
        <v>37</v>
      </c>
      <c r="F29" s="26">
        <f>F32-F31-F17-F24-F27</f>
        <v>63</v>
      </c>
      <c r="G29" s="34" t="s">
        <v>37</v>
      </c>
      <c r="H29" s="34" t="s">
        <v>37</v>
      </c>
      <c r="I29" s="52">
        <v>0</v>
      </c>
      <c r="J29" s="11" t="s">
        <v>443</v>
      </c>
      <c r="K29" s="1"/>
    </row>
    <row r="30">
      <c r="A30" s="1"/>
      <c r="B30" s="13" t="s">
        <v>444</v>
      </c>
      <c r="C30" s="41" t="str">
        <f>IF(COUNT(C17,C24,C27,C29)=4,C17+C24+C27+C29,"n/a")</f>
        <v>n/a</v>
      </c>
      <c r="D30" s="41" t="str">
        <f>IF(COUNT(D17,D24,D27,D29)=4,D17+D24+D27+D29,"n/a")</f>
        <v>n/a</v>
      </c>
      <c r="E30" s="41" t="str">
        <f>IF(COUNT(E17,E24,E27,E29)=4,E17+E24+E27+E29,"n/a")</f>
        <v>n/a</v>
      </c>
      <c r="F30" s="41">
        <f>IF(COUNT(F17,F24,F27,F29)=4,F17+F24+F27+F29,"n/a")</f>
        <v>13623</v>
      </c>
      <c r="G30" s="41" t="str">
        <f>IF(COUNT(G17,G24,G27,G29)=4,G17+G24+G27+G29,"n/a")</f>
        <v>n/a</v>
      </c>
      <c r="H30" s="41" t="str">
        <f>IF(COUNT(H17,H24,H27,H29)=4,H17+H24+H27+H29,"n/a")</f>
        <v>n/a</v>
      </c>
      <c r="I30" s="36">
        <f>IF(COUNT(I17,I24,I27,I29)=4,I17+I24+I27+I29,"n/a")</f>
        <v>-13608.097095680983</v>
      </c>
      <c r="J30" s="11" t="s">
        <v>445</v>
      </c>
      <c r="K30" s="1"/>
    </row>
    <row r="31">
      <c r="A31" s="1"/>
      <c r="B31" s="12" t="s">
        <v>446</v>
      </c>
      <c r="C31" s="34">
        <v>11501</v>
      </c>
      <c r="D31" s="34" t="s">
        <v>37</v>
      </c>
      <c r="E31" s="34" t="s">
        <v>37</v>
      </c>
      <c r="F31" s="34">
        <v>11501</v>
      </c>
      <c r="G31" s="34">
        <v>25124</v>
      </c>
      <c r="H31" s="34" t="s">
        <v>37</v>
      </c>
      <c r="I31" s="32">
        <f>H32</f>
        <v>94352</v>
      </c>
      <c r="J31" s="11" t="s">
        <v>447</v>
      </c>
      <c r="K31" s="1"/>
    </row>
    <row r="32">
      <c r="A32" s="1"/>
      <c r="B32" s="29" t="s">
        <v>448</v>
      </c>
      <c r="C32" s="47" t="s">
        <v>37</v>
      </c>
      <c r="D32" s="47">
        <v>15094</v>
      </c>
      <c r="E32" s="47" t="s">
        <v>37</v>
      </c>
      <c r="F32" s="47">
        <v>25124</v>
      </c>
      <c r="G32" s="47" t="s">
        <v>37</v>
      </c>
      <c r="H32" s="47">
        <v>94352</v>
      </c>
      <c r="I32" s="36">
        <f>I31+I30</f>
        <v>80743.90290431902</v>
      </c>
      <c r="J32" s="11" t="s">
        <v>449</v>
      </c>
      <c r="K32" s="1"/>
    </row>
    <row r="33">
      <c r="A33" s="1"/>
      <c r="B33" s="12" t="s">
        <v>450</v>
      </c>
      <c r="C33" s="34" t="s">
        <v>37</v>
      </c>
      <c r="D33" s="34" t="s">
        <v>37</v>
      </c>
      <c r="E33" s="34" t="s">
        <v>37</v>
      </c>
      <c r="F33" s="34">
        <v>377</v>
      </c>
      <c r="G33" s="34" t="s">
        <v>37</v>
      </c>
      <c r="H33" s="34">
        <v>830</v>
      </c>
      <c r="I33" s="32">
        <f>H33</f>
        <v>830</v>
      </c>
      <c r="J33" s="11" t="s">
        <v>451</v>
      </c>
      <c r="K33" s="1"/>
    </row>
    <row r="34">
      <c r="A34" s="1"/>
      <c r="B34" s="12" t="s">
        <v>452</v>
      </c>
      <c r="C34" s="22" t="str">
        <f>'Balance Sheet'!C9</f>
        <v>n/a</v>
      </c>
      <c r="D34" s="22" t="str">
        <f>'Balance Sheet'!D9</f>
        <v>n/a</v>
      </c>
      <c r="E34" s="22">
        <f>'Balance Sheet'!E9</f>
        <v>24747</v>
      </c>
      <c r="F34" s="22">
        <f>'Balance Sheet'!F9</f>
        <v>24747</v>
      </c>
      <c r="G34" s="22">
        <f>'Balance Sheet'!G9</f>
        <v>15852</v>
      </c>
      <c r="H34" s="22">
        <f>'Balance Sheet'!H9</f>
        <v>93522</v>
      </c>
      <c r="I34" s="42">
        <f>'Balance Sheet'!I9</f>
        <v>79913.90290431902</v>
      </c>
      <c r="J34" s="11" t="s">
        <v>453</v>
      </c>
      <c r="K34" s="1"/>
    </row>
    <row r="35">
      <c r="A35" s="1"/>
      <c r="B35" s="12" t="s">
        <v>454</v>
      </c>
      <c r="C35" s="26" t="str">
        <f>IF(COUNT(C32,C33,C34)=3,C32-C33-C34,"n/a")</f>
        <v>n/a</v>
      </c>
      <c r="D35" s="26" t="str">
        <f>IF(COUNT(D32,D33,D34)=3,D32-D33-D34,"n/a")</f>
        <v>n/a</v>
      </c>
      <c r="E35" s="26" t="str">
        <f>IF(COUNT(E32,E33,E34)=3,E32-E33-E34,"n/a")</f>
        <v>n/a</v>
      </c>
      <c r="F35" s="26">
        <f>IF(COUNT(F32,F33,F34)=3,F32-F33-F34,"n/a")</f>
        <v>0</v>
      </c>
      <c r="G35" s="26" t="str">
        <f>IF(COUNT(G32,G33,G34)=3,G32-G33-G34,"n/a")</f>
        <v>n/a</v>
      </c>
      <c r="H35" s="26">
        <f>IF(COUNT(H32,H33,H34)=3,H32-H33-H34,"n/a")</f>
        <v>0</v>
      </c>
      <c r="I35" s="32">
        <f>IF(COUNT(I32,I33,I34)=3,I32-I33-I34,"n/a")</f>
        <v>0</v>
      </c>
      <c r="J35" s="11" t="s">
        <v>455</v>
      </c>
      <c r="K35" s="1"/>
    </row>
    <row r="36">
      <c r="A36" s="1"/>
      <c r="B36" s="12" t="s">
        <v>456</v>
      </c>
      <c r="C36" s="26" t="str">
        <f>IF(COUNT(C31,C30,C32)=3,C31+C30-C32,"n/a")</f>
        <v>n/a</v>
      </c>
      <c r="D36" s="26" t="str">
        <f>IF(COUNT(D31,D30,D32)=3,D31+D30-D32,"n/a")</f>
        <v>n/a</v>
      </c>
      <c r="E36" s="26" t="str">
        <f>IF(COUNT(E31,E30,E32)=3,E31+E30-E32,"n/a")</f>
        <v>n/a</v>
      </c>
      <c r="F36" s="26" t="s">
        <v>37</v>
      </c>
      <c r="G36" s="26" t="str">
        <f>IF(COUNT(G31,G30,G32)=3,G31+G30-G32,"n/a")</f>
        <v>n/a</v>
      </c>
      <c r="H36" s="26" t="str">
        <f>IF(COUNT(H31,H30,H32)=3,H31+H30-H32,"n/a")</f>
        <v>n/a</v>
      </c>
      <c r="I36" s="32">
        <f>IF(COUNT(I31,I30,I32)=3,I31+I30-I32,"n/a")</f>
        <v>0</v>
      </c>
      <c r="J36" s="11" t="s">
        <v>457</v>
      </c>
      <c r="K36" s="1"/>
    </row>
    <row r="37">
      <c r="A37" s="1"/>
      <c r="B37" s="23" t="s">
        <v>458</v>
      </c>
      <c r="C37" s="1"/>
      <c r="D37" s="1"/>
      <c r="E37" s="1"/>
      <c r="F37" s="1"/>
      <c r="G37" s="1"/>
      <c r="H37" s="1"/>
      <c r="I37" s="53"/>
      <c r="J37" s="1"/>
      <c r="K37" s="1"/>
    </row>
    <row r="38">
      <c r="A38" s="1"/>
      <c r="B38" s="13" t="s">
        <v>459</v>
      </c>
      <c r="C38" s="41">
        <f>IF(COUNT(C17,C19)=2,C17+C19,"n/a")</f>
        <v>-3413</v>
      </c>
      <c r="D38" s="41">
        <f>IF(COUNT(D17,D19)=2,D17+D19,"n/a")</f>
        <v>-3201</v>
      </c>
      <c r="E38" s="41">
        <f>IF(COUNT(E17,E19)=2,E17+E19,"n/a")</f>
        <v>-7338</v>
      </c>
      <c r="F38" s="41">
        <f>IF(COUNT(F17,F19)=2,F17+F19,"n/a")</f>
        <v>-13952</v>
      </c>
      <c r="G38" s="41">
        <f>IF(COUNT(G17,G19)=2,G17+G19,"n/a")</f>
        <v>-9060</v>
      </c>
      <c r="H38" s="41">
        <f>IF(COUNT(H17,H19)=2,H17+H19,"n/a")</f>
        <v>-15950</v>
      </c>
      <c r="I38" s="36">
        <f>IF(COUNT(I17,I19)=2,I17+I19,"n/a")</f>
        <v>-13608.097095680983</v>
      </c>
      <c r="J38" s="1"/>
      <c r="K38" s="1"/>
    </row>
    <row r="39">
      <c r="A39" s="1"/>
      <c r="B39" s="18" t="s">
        <v>61</v>
      </c>
      <c r="C39" s="39" t="s">
        <v>37</v>
      </c>
      <c r="D39" s="39" t="s">
        <v>37</v>
      </c>
      <c r="E39" s="39" t="s">
        <v>37</v>
      </c>
      <c r="F39" s="39" t="s">
        <v>37</v>
      </c>
      <c r="G39" s="17" t="str">
        <f>IF(AND(ISNUMBER(G38),ISNUMBER(C38)),IF(OR(C38&lt;=0,G38&lt;0),"n/m",G38/C38-1),"n/a")</f>
        <v>n/m</v>
      </c>
      <c r="H39" s="17" t="str">
        <f>IF(AND(ISNUMBER(H38),ISNUMBER(D38)),IF(OR(D38&lt;=0,H38&lt;0),"n/m",H38/D38-1),"n/a")</f>
        <v>n/m</v>
      </c>
      <c r="I39" s="49" t="s">
        <v>37</v>
      </c>
      <c r="J39" s="1"/>
      <c r="K39" s="1"/>
    </row>
    <row r="40">
      <c r="A40" s="1"/>
      <c r="B40" s="51" t="s">
        <v>103</v>
      </c>
      <c r="C40" s="34" t="s">
        <v>37</v>
      </c>
      <c r="D40" s="26">
        <f>IF(AND(ISNUMBER(D38),ISNUMBER(C38)),D38-C38,"n/a")</f>
        <v>212</v>
      </c>
      <c r="E40" s="34" t="s">
        <v>37</v>
      </c>
      <c r="F40" s="34" t="s">
        <v>37</v>
      </c>
      <c r="G40" s="34" t="s">
        <v>37</v>
      </c>
      <c r="H40" s="26">
        <f>IF(AND(ISNUMBER(H38),ISNUMBER(G38)),H38-G38,"n/a")</f>
        <v>-6890</v>
      </c>
      <c r="I40" s="32">
        <f>IF(AND(ISNUMBER(I38),ISNUMBER(H38)),I38-H38,"n/a")</f>
        <v>2341.9029043190167</v>
      </c>
      <c r="J40" s="1"/>
      <c r="K40" s="1"/>
    </row>
    <row r="41">
      <c r="A41" s="1"/>
      <c r="B41" s="33" t="s">
        <v>460</v>
      </c>
      <c r="C41" s="45">
        <f>IF(AND(ISNUMBER(C38),ISNUMBER('Income Statement'!C12)),C38/'Income Statement'!C12,"n/a")</f>
        <v>-0.8391935087287927</v>
      </c>
      <c r="D41" s="45">
        <f>IF(AND(ISNUMBER(D38),ISNUMBER('Income Statement'!D12)),D38/'Income Statement'!D12,"n/a")</f>
        <v>-0.7862932940309506</v>
      </c>
      <c r="E41" s="45">
        <f>IF(AND(ISNUMBER(E38),ISNUMBER('Income Statement'!E12)),E38/'Income Statement'!E12,"n/a")</f>
        <v>-0.6964692482915718</v>
      </c>
      <c r="F41" s="45">
        <f>IF(AND(ISNUMBER(F38),ISNUMBER('Income Statement'!F12)),F38/'Income Statement'!F12,"n/a")</f>
        <v>-0.7471350540858949</v>
      </c>
      <c r="G41" s="45">
        <f>IF(AND(ISNUMBER(G38),ISNUMBER('Income Statement'!G12)),G38/'Income Statement'!G12,"n/a")</f>
        <v>-1.930123561994035</v>
      </c>
      <c r="H41" s="45">
        <f>IF(AND(ISNUMBER(H38),ISNUMBER('Income Statement'!H12)),H38/'Income Statement'!H12,"n/a")</f>
        <v>-2.041208088047095</v>
      </c>
      <c r="I41" s="46">
        <f>IF(AND(ISNUMBER(I38),ISNUMBER('Income Statement'!I12)),I38/'Income Statement'!I12,"n/a")</f>
        <v>-1.0583492400649346</v>
      </c>
      <c r="J41" s="1"/>
      <c r="K41" s="1"/>
    </row>
    <row r="42">
      <c r="A42" s="1"/>
      <c r="B42" s="18" t="s">
        <v>98</v>
      </c>
      <c r="C42" s="37" t="s">
        <v>37</v>
      </c>
      <c r="D42" s="37" t="s">
        <v>37</v>
      </c>
      <c r="E42" s="37" t="s">
        <v>37</v>
      </c>
      <c r="F42" s="37" t="s">
        <v>37</v>
      </c>
      <c r="G42" s="43">
        <f>IF(AND(ISNUMBER(G41),ISNUMBER(C41)),(G41-C41)*10000,"n/a")</f>
        <v>-10909.300532652422</v>
      </c>
      <c r="H42" s="43">
        <f>IF(AND(ISNUMBER(H41),ISNUMBER(D41)),(H41-D41)*10000,"n/a")</f>
        <v>-12549.147940161445</v>
      </c>
      <c r="I42" s="54" t="s">
        <v>37</v>
      </c>
      <c r="J42" s="1"/>
      <c r="K42" s="1"/>
    </row>
    <row r="43">
      <c r="A43" s="1"/>
      <c r="B43" s="18" t="s">
        <v>99</v>
      </c>
      <c r="C43" s="37" t="s">
        <v>37</v>
      </c>
      <c r="D43" s="43">
        <f>IF(AND(ISNUMBER(D41),ISNUMBER(C41)),(D41-C41)*10000,"n/a")</f>
        <v>529.0021469784211</v>
      </c>
      <c r="E43" s="37" t="s">
        <v>37</v>
      </c>
      <c r="F43" s="37" t="s">
        <v>37</v>
      </c>
      <c r="G43" s="37" t="s">
        <v>37</v>
      </c>
      <c r="H43" s="43">
        <f>IF(AND(ISNUMBER(H41),ISNUMBER(G41)),(H41-G41)*10000,"n/a")</f>
        <v>-1110.8452605306018</v>
      </c>
      <c r="I43" s="50">
        <f>IF(AND(ISNUMBER(I41),ISNUMBER(H41)),(I41-H41)*10000,"n/a")</f>
        <v>9828.588479821605</v>
      </c>
      <c r="J43" s="1"/>
      <c r="K43" s="1"/>
    </row>
    <row r="44">
      <c r="A44" s="1"/>
      <c r="B44" s="33" t="s">
        <v>461</v>
      </c>
      <c r="C44" s="45">
        <f>IF(AND(ISNUMBER(C19),ISNUMBER('Income Statement'!C12)),-C19/'Income Statement'!C12,"n/a")</f>
        <v>1.0179493484140645</v>
      </c>
      <c r="D44" s="45">
        <f>IF(AND(ISNUMBER(D19),ISNUMBER('Income Statement'!D12)),-D19/'Income Statement'!D12,"n/a")</f>
        <v>0.6939326946696144</v>
      </c>
      <c r="E44" s="45">
        <f>IF(AND(ISNUMBER(E19),ISNUMBER('Income Statement'!E12)),-E19/'Income Statement'!E12,"n/a")</f>
        <v>1.3071374335611237</v>
      </c>
      <c r="F44" s="45">
        <f>IF(AND(ISNUMBER(F19),ISNUMBER('Income Statement'!F12)),-F19/'Income Statement'!F12,"n/a")</f>
        <v>1.1104744564635323</v>
      </c>
      <c r="G44" s="45">
        <f>IF(AND(ISNUMBER(G19),ISNUMBER('Income Statement'!G12)),-G19/'Income Statement'!G12,"n/a")</f>
        <v>2.153174265019173</v>
      </c>
      <c r="H44" s="45">
        <f>IF(AND(ISNUMBER(H19),ISNUMBER('Income Statement'!H12)),-H19/'Income Statement'!H12,"n/a")</f>
        <v>2.350780650115178</v>
      </c>
      <c r="I44" s="46">
        <f>IF(AND(ISNUMBER(I19),ISNUMBER('Income Statement'!I12)),-I19/'Income Statement'!I12,"n/a")</f>
        <v>1.43103226558954</v>
      </c>
      <c r="J44" s="1"/>
      <c r="K44" s="1"/>
    </row>
    <row r="45">
      <c r="A45" s="1"/>
      <c r="B45" s="18" t="s">
        <v>98</v>
      </c>
      <c r="C45" s="37" t="s">
        <v>37</v>
      </c>
      <c r="D45" s="37" t="s">
        <v>37</v>
      </c>
      <c r="E45" s="37" t="s">
        <v>37</v>
      </c>
      <c r="F45" s="37" t="s">
        <v>37</v>
      </c>
      <c r="G45" s="43">
        <f>IF(AND(ISNUMBER(G44),ISNUMBER(C44)),(G44-C44)*10000,"n/a")</f>
        <v>11352.249166051088</v>
      </c>
      <c r="H45" s="43">
        <f>IF(AND(ISNUMBER(H44),ISNUMBER(D44)),(H44-D44)*10000,"n/a")</f>
        <v>16568.479554455636</v>
      </c>
      <c r="I45" s="54" t="s">
        <v>37</v>
      </c>
      <c r="J45" s="1"/>
      <c r="K45" s="1"/>
    </row>
    <row r="46">
      <c r="A46" s="1"/>
      <c r="B46" s="18" t="s">
        <v>99</v>
      </c>
      <c r="C46" s="37" t="s">
        <v>37</v>
      </c>
      <c r="D46" s="43">
        <f>IF(AND(ISNUMBER(D44),ISNUMBER(C44)),(D44-C44)*10000,"n/a")</f>
        <v>-3240.166537444501</v>
      </c>
      <c r="E46" s="37" t="s">
        <v>37</v>
      </c>
      <c r="F46" s="37" t="s">
        <v>37</v>
      </c>
      <c r="G46" s="37" t="s">
        <v>37</v>
      </c>
      <c r="H46" s="43">
        <f>IF(AND(ISNUMBER(H44),ISNUMBER(G44)),(H44-G44)*10000,"n/a")</f>
        <v>1976.063850960048</v>
      </c>
      <c r="I46" s="50">
        <f>IF(AND(ISNUMBER(I44),ISNUMBER(H44)),(I44-H44)*10000,"n/a")</f>
        <v>-9197.48384525638</v>
      </c>
      <c r="J46" s="1"/>
      <c r="K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6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462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49</v>
      </c>
      <c r="C4" s="8" t="s">
        <v>50</v>
      </c>
      <c r="D4" s="8" t="s">
        <v>51</v>
      </c>
      <c r="E4" s="8" t="s">
        <v>52</v>
      </c>
      <c r="F4" s="8" t="s">
        <v>53</v>
      </c>
      <c r="G4" s="8" t="s">
        <v>54</v>
      </c>
      <c r="H4" s="8" t="s">
        <v>55</v>
      </c>
      <c r="I4" s="8" t="s">
        <v>56</v>
      </c>
      <c r="J4" s="79" t="s">
        <v>4</v>
      </c>
      <c r="K4" s="1"/>
    </row>
    <row r="5">
      <c r="A5" s="1"/>
      <c r="B5" s="14" t="s">
        <v>57</v>
      </c>
      <c r="C5" s="5">
        <v>45747</v>
      </c>
      <c r="D5" s="5">
        <v>45838</v>
      </c>
      <c r="E5" s="5">
        <v>46022</v>
      </c>
      <c r="F5" s="5">
        <v>46022</v>
      </c>
      <c r="G5" s="5">
        <v>46112</v>
      </c>
      <c r="H5" s="5">
        <v>46203</v>
      </c>
      <c r="I5" s="5">
        <v>46295</v>
      </c>
      <c r="J5" s="84"/>
      <c r="K5" s="1"/>
    </row>
    <row r="6">
      <c r="A6" s="1"/>
      <c r="B6" s="10" t="s">
        <v>58</v>
      </c>
      <c r="C6" s="6">
        <v>90</v>
      </c>
      <c r="D6" s="6">
        <v>91</v>
      </c>
      <c r="E6" s="6">
        <v>184</v>
      </c>
      <c r="F6" s="6">
        <v>365</v>
      </c>
      <c r="G6" s="6">
        <v>90</v>
      </c>
      <c r="H6" s="6">
        <v>91</v>
      </c>
      <c r="I6" s="6">
        <v>92</v>
      </c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463</v>
      </c>
      <c r="C8" s="1"/>
      <c r="D8" s="1"/>
      <c r="E8" s="1"/>
      <c r="F8" s="1"/>
      <c r="G8" s="1"/>
      <c r="H8" s="1"/>
      <c r="I8" s="53"/>
      <c r="J8" s="1"/>
      <c r="K8" s="1"/>
    </row>
    <row r="9">
      <c r="A9" s="1"/>
      <c r="B9" s="12" t="s">
        <v>464</v>
      </c>
      <c r="C9" s="34">
        <v>3024</v>
      </c>
      <c r="D9" s="34">
        <v>3048</v>
      </c>
      <c r="E9" s="26">
        <f>F9</f>
        <v>3079</v>
      </c>
      <c r="F9" s="34">
        <v>3079</v>
      </c>
      <c r="G9" s="34">
        <v>5798</v>
      </c>
      <c r="H9" s="34">
        <v>13176</v>
      </c>
      <c r="I9" s="32">
        <f>I12+I24+I28</f>
        <v>13582.821680000001</v>
      </c>
      <c r="J9" s="11" t="s">
        <v>465</v>
      </c>
      <c r="K9" s="1"/>
    </row>
    <row r="10">
      <c r="A10" s="1"/>
      <c r="B10" s="18" t="s">
        <v>61</v>
      </c>
      <c r="C10" s="39" t="s">
        <v>37</v>
      </c>
      <c r="D10" s="39" t="s">
        <v>37</v>
      </c>
      <c r="E10" s="39" t="s">
        <v>37</v>
      </c>
      <c r="F10" s="39" t="s">
        <v>37</v>
      </c>
      <c r="G10" s="17">
        <f>IF(AND(ISNUMBER(G9),ISNUMBER(C9)),IF(OR(C9&lt;=0,G9&lt;0),"n/m",G9/C9-1),"n/a")</f>
        <v>0.9173280423280423</v>
      </c>
      <c r="H10" s="17">
        <f>IF(AND(ISNUMBER(H9),ISNUMBER(D9)),IF(OR(D9&lt;=0,H9&lt;0),"n/m",H9/D9-1),"n/a")</f>
        <v>3.3228346456692917</v>
      </c>
      <c r="I10" s="49" t="s">
        <v>37</v>
      </c>
      <c r="J10" s="1"/>
      <c r="K10" s="1"/>
    </row>
    <row r="11">
      <c r="A11" s="1"/>
      <c r="B11" s="51" t="s">
        <v>103</v>
      </c>
      <c r="C11" s="34" t="s">
        <v>37</v>
      </c>
      <c r="D11" s="26">
        <f>IF(AND(ISNUMBER(D9),ISNUMBER(C9)),D9-C9,"n/a")</f>
        <v>24</v>
      </c>
      <c r="E11" s="34" t="s">
        <v>37</v>
      </c>
      <c r="F11" s="34" t="s">
        <v>37</v>
      </c>
      <c r="G11" s="34" t="s">
        <v>37</v>
      </c>
      <c r="H11" s="26">
        <f>IF(AND(ISNUMBER(H9),ISNUMBER(G9)),H9-G9,"n/a")</f>
        <v>7378</v>
      </c>
      <c r="I11" s="32">
        <f>IF(AND(ISNUMBER(I9),ISNUMBER(H9)),I9-H9,"n/a")</f>
        <v>406.8216800000009</v>
      </c>
      <c r="J11" s="1"/>
      <c r="K11" s="1"/>
    </row>
    <row r="12">
      <c r="A12" s="1"/>
      <c r="B12" s="51" t="s">
        <v>466</v>
      </c>
      <c r="C12" s="34" t="s">
        <v>37</v>
      </c>
      <c r="D12" s="34" t="s">
        <v>37</v>
      </c>
      <c r="E12" s="34" t="s">
        <v>37</v>
      </c>
      <c r="F12" s="34" t="s">
        <v>37</v>
      </c>
      <c r="G12" s="34" t="s">
        <v>37</v>
      </c>
      <c r="H12" s="34" t="s">
        <v>37</v>
      </c>
      <c r="I12" s="52">
        <v>13181.78</v>
      </c>
      <c r="J12" s="11" t="s">
        <v>467</v>
      </c>
      <c r="K12" s="1"/>
    </row>
    <row r="13">
      <c r="A13" s="1"/>
      <c r="B13" s="18" t="s">
        <v>61</v>
      </c>
      <c r="C13" s="39" t="s">
        <v>37</v>
      </c>
      <c r="D13" s="39" t="s">
        <v>37</v>
      </c>
      <c r="E13" s="39" t="s">
        <v>37</v>
      </c>
      <c r="F13" s="39" t="s">
        <v>37</v>
      </c>
      <c r="G13" s="17" t="str">
        <f>IF(AND(ISNUMBER(G12),ISNUMBER(C12)),IF(OR(C12&lt;=0,G12&lt;0),"n/m",G12/C12-1),"n/a")</f>
        <v>n/a</v>
      </c>
      <c r="H13" s="17" t="str">
        <f>IF(AND(ISNUMBER(H12),ISNUMBER(D12)),IF(OR(D12&lt;=0,H12&lt;0),"n/m",H12/D12-1),"n/a")</f>
        <v>n/a</v>
      </c>
      <c r="I13" s="49" t="s">
        <v>37</v>
      </c>
      <c r="J13" s="1"/>
      <c r="K13" s="1"/>
    </row>
    <row r="14">
      <c r="A14" s="1"/>
      <c r="B14" s="51" t="s">
        <v>103</v>
      </c>
      <c r="C14" s="34" t="s">
        <v>37</v>
      </c>
      <c r="D14" s="26" t="str">
        <f>IF(AND(ISNUMBER(D12),ISNUMBER(C12)),D12-C12,"n/a")</f>
        <v>n/a</v>
      </c>
      <c r="E14" s="34" t="s">
        <v>37</v>
      </c>
      <c r="F14" s="34" t="s">
        <v>37</v>
      </c>
      <c r="G14" s="34" t="s">
        <v>37</v>
      </c>
      <c r="H14" s="26" t="str">
        <f>IF(AND(ISNUMBER(H12),ISNUMBER(G12)),H12-G12,"n/a")</f>
        <v>n/a</v>
      </c>
      <c r="I14" s="32" t="str">
        <f>IF(AND(ISNUMBER(I12),ISNUMBER(H12)),I12-H12,"n/a")</f>
        <v>n/a</v>
      </c>
      <c r="J14" s="1"/>
      <c r="K14" s="1"/>
    </row>
    <row r="15">
      <c r="A15" s="1"/>
      <c r="B15" s="51" t="s">
        <v>468</v>
      </c>
      <c r="C15" s="34" t="s">
        <v>37</v>
      </c>
      <c r="D15" s="34" t="s">
        <v>37</v>
      </c>
      <c r="E15" s="34" t="s">
        <v>37</v>
      </c>
      <c r="F15" s="34" t="s">
        <v>37</v>
      </c>
      <c r="G15" s="34" t="s">
        <v>37</v>
      </c>
      <c r="H15" s="34" t="s">
        <v>37</v>
      </c>
      <c r="I15" s="52">
        <v>1302</v>
      </c>
      <c r="J15" s="11" t="s">
        <v>469</v>
      </c>
      <c r="K15" s="1"/>
    </row>
    <row r="16">
      <c r="A16" s="1"/>
      <c r="B16" s="18" t="s">
        <v>61</v>
      </c>
      <c r="C16" s="39" t="s">
        <v>37</v>
      </c>
      <c r="D16" s="39" t="s">
        <v>37</v>
      </c>
      <c r="E16" s="39" t="s">
        <v>37</v>
      </c>
      <c r="F16" s="39" t="s">
        <v>37</v>
      </c>
      <c r="G16" s="17" t="str">
        <f>IF(AND(ISNUMBER(G15),ISNUMBER(C15)),IF(OR(C15&lt;=0,G15&lt;0),"n/m",G15/C15-1),"n/a")</f>
        <v>n/a</v>
      </c>
      <c r="H16" s="17" t="str">
        <f>IF(AND(ISNUMBER(H15),ISNUMBER(D15)),IF(OR(D15&lt;=0,H15&lt;0),"n/m",H15/D15-1),"n/a")</f>
        <v>n/a</v>
      </c>
      <c r="I16" s="49" t="s">
        <v>37</v>
      </c>
      <c r="J16" s="1"/>
      <c r="K16" s="1"/>
    </row>
    <row r="17">
      <c r="A17" s="1"/>
      <c r="B17" s="51" t="s">
        <v>103</v>
      </c>
      <c r="C17" s="34" t="s">
        <v>37</v>
      </c>
      <c r="D17" s="26" t="str">
        <f>IF(AND(ISNUMBER(D15),ISNUMBER(C15)),D15-C15,"n/a")</f>
        <v>n/a</v>
      </c>
      <c r="E17" s="34" t="s">
        <v>37</v>
      </c>
      <c r="F17" s="34" t="s">
        <v>37</v>
      </c>
      <c r="G17" s="34" t="s">
        <v>37</v>
      </c>
      <c r="H17" s="26" t="str">
        <f>IF(AND(ISNUMBER(H15),ISNUMBER(G15)),H15-G15,"n/a")</f>
        <v>n/a</v>
      </c>
      <c r="I17" s="32" t="str">
        <f>IF(AND(ISNUMBER(I15),ISNUMBER(H15)),I15-H15,"n/a")</f>
        <v>n/a</v>
      </c>
      <c r="J17" s="1"/>
      <c r="K17" s="1"/>
    </row>
    <row r="18">
      <c r="A18" s="1"/>
      <c r="B18" s="51" t="s">
        <v>470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7">
        <v>389.289254</v>
      </c>
      <c r="J18" s="11" t="s">
        <v>471</v>
      </c>
      <c r="K18" s="1"/>
    </row>
    <row r="19">
      <c r="A19" s="1"/>
      <c r="B19" s="18" t="s">
        <v>61</v>
      </c>
      <c r="C19" s="39" t="s">
        <v>37</v>
      </c>
      <c r="D19" s="39" t="s">
        <v>37</v>
      </c>
      <c r="E19" s="39" t="s">
        <v>37</v>
      </c>
      <c r="F19" s="39" t="s">
        <v>37</v>
      </c>
      <c r="G19" s="17" t="str">
        <f>IF(AND(ISNUMBER(G18),ISNUMBER(C18)),IF(OR(C18&lt;=0,G18&lt;0),"n/m",G18/C18-1),"n/a")</f>
        <v>n/m</v>
      </c>
      <c r="H19" s="17" t="str">
        <f>IF(AND(ISNUMBER(H18),ISNUMBER(D18)),IF(OR(D18&lt;=0,H18&lt;0),"n/m",H18/D18-1),"n/a")</f>
        <v>n/m</v>
      </c>
      <c r="I19" s="49" t="s">
        <v>37</v>
      </c>
      <c r="J19" s="1"/>
      <c r="K19" s="1"/>
    </row>
    <row r="20">
      <c r="A20" s="1"/>
      <c r="B20" s="51" t="s">
        <v>103</v>
      </c>
      <c r="C20" s="34" t="s">
        <v>37</v>
      </c>
      <c r="D20" s="26">
        <f>IF(AND(ISNUMBER(D18),ISNUMBER(C18)),D18-C18,"n/a")</f>
        <v>0</v>
      </c>
      <c r="E20" s="34" t="s">
        <v>37</v>
      </c>
      <c r="F20" s="34" t="s">
        <v>37</v>
      </c>
      <c r="G20" s="34" t="s">
        <v>37</v>
      </c>
      <c r="H20" s="26">
        <f>IF(AND(ISNUMBER(H18),ISNUMBER(G18)),H18-G18,"n/a")</f>
        <v>0</v>
      </c>
      <c r="I20" s="32">
        <f>IF(AND(ISNUMBER(I18),ISNUMBER(H18)),I18-H18,"n/a")</f>
        <v>389.289254</v>
      </c>
      <c r="J20" s="1"/>
      <c r="K20" s="1"/>
    </row>
    <row r="21">
      <c r="A21" s="1"/>
      <c r="B21" s="51" t="s">
        <v>472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7">
        <v>1.752426</v>
      </c>
      <c r="J21" s="11" t="s">
        <v>473</v>
      </c>
      <c r="K21" s="1"/>
    </row>
    <row r="22">
      <c r="A22" s="1"/>
      <c r="B22" s="18" t="s">
        <v>61</v>
      </c>
      <c r="C22" s="39" t="s">
        <v>37</v>
      </c>
      <c r="D22" s="39" t="s">
        <v>37</v>
      </c>
      <c r="E22" s="39" t="s">
        <v>37</v>
      </c>
      <c r="F22" s="39" t="s">
        <v>37</v>
      </c>
      <c r="G22" s="17" t="str">
        <f>IF(AND(ISNUMBER(G21),ISNUMBER(C21)),IF(OR(C21&lt;=0,G21&lt;0),"n/m",G21/C21-1),"n/a")</f>
        <v>n/m</v>
      </c>
      <c r="H22" s="17" t="str">
        <f>IF(AND(ISNUMBER(H21),ISNUMBER(D21)),IF(OR(D21&lt;=0,H21&lt;0),"n/m",H21/D21-1),"n/a")</f>
        <v>n/m</v>
      </c>
      <c r="I22" s="49" t="s">
        <v>37</v>
      </c>
      <c r="J22" s="1"/>
      <c r="K22" s="1"/>
    </row>
    <row r="23">
      <c r="A23" s="1"/>
      <c r="B23" s="51" t="s">
        <v>103</v>
      </c>
      <c r="C23" s="34" t="s">
        <v>37</v>
      </c>
      <c r="D23" s="26">
        <f>IF(AND(ISNUMBER(D21),ISNUMBER(C21)),D21-C21,"n/a")</f>
        <v>0</v>
      </c>
      <c r="E23" s="34" t="s">
        <v>37</v>
      </c>
      <c r="F23" s="34" t="s">
        <v>37</v>
      </c>
      <c r="G23" s="34" t="s">
        <v>37</v>
      </c>
      <c r="H23" s="26">
        <f>IF(AND(ISNUMBER(H21),ISNUMBER(G21)),H21-G21,"n/a")</f>
        <v>0</v>
      </c>
      <c r="I23" s="32">
        <f>IF(AND(ISNUMBER(I21),ISNUMBER(H21)),I21-H21,"n/a")</f>
        <v>1.752426</v>
      </c>
      <c r="J23" s="1"/>
      <c r="K23" s="1"/>
    </row>
    <row r="24">
      <c r="A24" s="1"/>
      <c r="B24" s="73" t="s">
        <v>474</v>
      </c>
      <c r="C24" s="41">
        <f>C18+C21</f>
        <v>0</v>
      </c>
      <c r="D24" s="41">
        <f>D18+D21</f>
        <v>0</v>
      </c>
      <c r="E24" s="41">
        <f>E18+E21</f>
        <v>0</v>
      </c>
      <c r="F24" s="41">
        <f>F18+F21</f>
        <v>0</v>
      </c>
      <c r="G24" s="41">
        <f>G18+G21</f>
        <v>0</v>
      </c>
      <c r="H24" s="41">
        <f>H18+H21</f>
        <v>0</v>
      </c>
      <c r="I24" s="36">
        <f>I18+I21</f>
        <v>391.04168000000004</v>
      </c>
      <c r="J24" s="11" t="s">
        <v>475</v>
      </c>
      <c r="K24" s="1"/>
    </row>
    <row r="25">
      <c r="A25" s="1"/>
      <c r="B25" s="18" t="s">
        <v>61</v>
      </c>
      <c r="C25" s="39" t="s">
        <v>37</v>
      </c>
      <c r="D25" s="39" t="s">
        <v>37</v>
      </c>
      <c r="E25" s="39" t="s">
        <v>37</v>
      </c>
      <c r="F25" s="39" t="s">
        <v>37</v>
      </c>
      <c r="G25" s="17" t="str">
        <f>IF(AND(ISNUMBER(G24),ISNUMBER(C24)),IF(OR(C24&lt;=0,G24&lt;0),"n/m",G24/C24-1),"n/a")</f>
        <v>n/m</v>
      </c>
      <c r="H25" s="17" t="str">
        <f>IF(AND(ISNUMBER(H24),ISNUMBER(D24)),IF(OR(D24&lt;=0,H24&lt;0),"n/m",H24/D24-1),"n/a")</f>
        <v>n/m</v>
      </c>
      <c r="I25" s="49" t="s">
        <v>37</v>
      </c>
      <c r="J25" s="1"/>
      <c r="K25" s="1"/>
    </row>
    <row r="26">
      <c r="A26" s="1"/>
      <c r="B26" s="51" t="s">
        <v>103</v>
      </c>
      <c r="C26" s="34" t="s">
        <v>37</v>
      </c>
      <c r="D26" s="26">
        <f>IF(AND(ISNUMBER(D24),ISNUMBER(C24)),D24-C24,"n/a")</f>
        <v>0</v>
      </c>
      <c r="E26" s="34" t="s">
        <v>37</v>
      </c>
      <c r="F26" s="34" t="s">
        <v>37</v>
      </c>
      <c r="G26" s="34" t="s">
        <v>37</v>
      </c>
      <c r="H26" s="26">
        <f>IF(AND(ISNUMBER(H24),ISNUMBER(G24)),H24-G24,"n/a")</f>
        <v>0</v>
      </c>
      <c r="I26" s="32">
        <f>IF(AND(ISNUMBER(I24),ISNUMBER(H24)),I24-H24,"n/a")</f>
        <v>391.04168000000004</v>
      </c>
      <c r="J26" s="1"/>
      <c r="K26" s="1"/>
    </row>
    <row r="27">
      <c r="A27" s="1"/>
      <c r="B27" s="51" t="s">
        <v>476</v>
      </c>
      <c r="C27" s="56" t="s">
        <v>37</v>
      </c>
      <c r="D27" s="56" t="s">
        <v>37</v>
      </c>
      <c r="E27" s="56" t="s">
        <v>37</v>
      </c>
      <c r="F27" s="56" t="s">
        <v>37</v>
      </c>
      <c r="G27" s="56" t="s">
        <v>37</v>
      </c>
      <c r="H27" s="56" t="s">
        <v>37</v>
      </c>
      <c r="I27" s="75">
        <f>'Segment - AI'!I70</f>
        <v>48</v>
      </c>
      <c r="J27" s="11" t="s">
        <v>477</v>
      </c>
      <c r="K27" s="1"/>
    </row>
    <row r="28">
      <c r="A28" s="1"/>
      <c r="B28" s="51" t="s">
        <v>478</v>
      </c>
      <c r="C28" s="34" t="s">
        <v>37</v>
      </c>
      <c r="D28" s="34" t="s">
        <v>37</v>
      </c>
      <c r="E28" s="34" t="s">
        <v>37</v>
      </c>
      <c r="F28" s="34" t="s">
        <v>37</v>
      </c>
      <c r="G28" s="34" t="s">
        <v>37</v>
      </c>
      <c r="H28" s="34" t="s">
        <v>37</v>
      </c>
      <c r="I28" s="52">
        <v>10</v>
      </c>
      <c r="J28" s="11" t="s">
        <v>479</v>
      </c>
      <c r="K28" s="1"/>
    </row>
    <row r="29">
      <c r="A29" s="1"/>
      <c r="B29" s="18" t="s">
        <v>61</v>
      </c>
      <c r="C29" s="39" t="s">
        <v>37</v>
      </c>
      <c r="D29" s="39" t="s">
        <v>37</v>
      </c>
      <c r="E29" s="39" t="s">
        <v>37</v>
      </c>
      <c r="F29" s="39" t="s">
        <v>37</v>
      </c>
      <c r="G29" s="17" t="str">
        <f>IF(AND(ISNUMBER(G28),ISNUMBER(C28)),IF(OR(C28&lt;=0,G28&lt;0),"n/m",G28/C28-1),"n/a")</f>
        <v>n/a</v>
      </c>
      <c r="H29" s="17" t="str">
        <f>IF(AND(ISNUMBER(H28),ISNUMBER(D28)),IF(OR(D28&lt;=0,H28&lt;0),"n/m",H28/D28-1),"n/a")</f>
        <v>n/a</v>
      </c>
      <c r="I29" s="49" t="s">
        <v>37</v>
      </c>
      <c r="J29" s="1"/>
      <c r="K29" s="1"/>
    </row>
    <row r="30">
      <c r="A30" s="1"/>
      <c r="B30" s="51" t="s">
        <v>103</v>
      </c>
      <c r="C30" s="34" t="s">
        <v>37</v>
      </c>
      <c r="D30" s="26" t="str">
        <f>IF(AND(ISNUMBER(D28),ISNUMBER(C28)),D28-C28,"n/a")</f>
        <v>n/a</v>
      </c>
      <c r="E30" s="34" t="s">
        <v>37</v>
      </c>
      <c r="F30" s="34" t="s">
        <v>37</v>
      </c>
      <c r="G30" s="34" t="s">
        <v>37</v>
      </c>
      <c r="H30" s="26" t="str">
        <f>IF(AND(ISNUMBER(H28),ISNUMBER(G28)),H28-G28,"n/a")</f>
        <v>n/a</v>
      </c>
      <c r="I30" s="32" t="str">
        <f>IF(AND(ISNUMBER(I28),ISNUMBER(H28)),I28-H28,"n/a")</f>
        <v>n/a</v>
      </c>
      <c r="J30" s="1"/>
      <c r="K30" s="1"/>
    </row>
    <row r="31">
      <c r="A31" s="1"/>
      <c r="B31" s="12" t="s">
        <v>480</v>
      </c>
      <c r="C31" s="34">
        <v>27.9</v>
      </c>
      <c r="D31" s="34">
        <v>0.3</v>
      </c>
      <c r="E31" s="34" t="s">
        <v>37</v>
      </c>
      <c r="F31" s="34" t="s">
        <v>37</v>
      </c>
      <c r="G31" s="34">
        <v>30.5</v>
      </c>
      <c r="H31" s="34">
        <v>10.5</v>
      </c>
      <c r="I31" s="52">
        <v>0</v>
      </c>
      <c r="J31" s="11" t="s">
        <v>481</v>
      </c>
      <c r="K31" s="1"/>
    </row>
    <row r="32">
      <c r="A32" s="1"/>
      <c r="B32" s="18" t="s">
        <v>61</v>
      </c>
      <c r="C32" s="39" t="s">
        <v>37</v>
      </c>
      <c r="D32" s="39" t="s">
        <v>37</v>
      </c>
      <c r="E32" s="39" t="s">
        <v>37</v>
      </c>
      <c r="F32" s="39" t="s">
        <v>37</v>
      </c>
      <c r="G32" s="17">
        <f>IF(AND(ISNUMBER(G31),ISNUMBER(C31)),IF(OR(C31&lt;=0,G31&lt;0),"n/m",G31/C31-1),"n/a")</f>
        <v>0.09318996415770608</v>
      </c>
      <c r="H32" s="17">
        <f>IF(AND(ISNUMBER(H31),ISNUMBER(D31)),IF(OR(D31&lt;=0,H31&lt;0),"n/m",H31/D31-1),"n/a")</f>
        <v>34</v>
      </c>
      <c r="I32" s="49" t="s">
        <v>37</v>
      </c>
      <c r="J32" s="1"/>
      <c r="K32" s="1"/>
    </row>
    <row r="33">
      <c r="A33" s="1"/>
      <c r="B33" s="51" t="s">
        <v>103</v>
      </c>
      <c r="C33" s="34" t="s">
        <v>37</v>
      </c>
      <c r="D33" s="26">
        <f>IF(AND(ISNUMBER(D31),ISNUMBER(C31)),D31-C31,"n/a")</f>
        <v>-27.599999999999998</v>
      </c>
      <c r="E33" s="34" t="s">
        <v>37</v>
      </c>
      <c r="F33" s="34" t="s">
        <v>37</v>
      </c>
      <c r="G33" s="34" t="s">
        <v>37</v>
      </c>
      <c r="H33" s="26">
        <f>IF(AND(ISNUMBER(H31),ISNUMBER(G31)),H31-G31,"n/a")</f>
        <v>-20</v>
      </c>
      <c r="I33" s="32">
        <f>IF(AND(ISNUMBER(I31),ISNUMBER(H31)),I31-H31,"n/a")</f>
        <v>-10.5</v>
      </c>
      <c r="J33" s="1"/>
      <c r="K33" s="1"/>
    </row>
    <row r="34">
      <c r="A34" s="1"/>
      <c r="B34" s="12" t="s">
        <v>482</v>
      </c>
      <c r="C34" s="34">
        <v>0</v>
      </c>
      <c r="D34" s="34">
        <v>0</v>
      </c>
      <c r="E34" s="34" t="s">
        <v>37</v>
      </c>
      <c r="F34" s="34" t="s">
        <v>37</v>
      </c>
      <c r="G34" s="34">
        <v>0</v>
      </c>
      <c r="H34" s="34">
        <v>639</v>
      </c>
      <c r="I34" s="52">
        <v>0</v>
      </c>
      <c r="J34" s="1"/>
      <c r="K34" s="1"/>
    </row>
    <row r="35">
      <c r="A35" s="1"/>
      <c r="B35" s="12" t="s">
        <v>483</v>
      </c>
      <c r="C35" s="34">
        <v>0</v>
      </c>
      <c r="D35" s="34">
        <v>0</v>
      </c>
      <c r="E35" s="34" t="s">
        <v>37</v>
      </c>
      <c r="F35" s="34" t="s">
        <v>37</v>
      </c>
      <c r="G35" s="34">
        <v>0</v>
      </c>
      <c r="H35" s="34">
        <v>6723</v>
      </c>
      <c r="I35" s="52">
        <v>0</v>
      </c>
      <c r="J35" s="11" t="s">
        <v>484</v>
      </c>
      <c r="K35" s="1"/>
    </row>
    <row r="36">
      <c r="A36" s="1"/>
      <c r="B36" s="12" t="s">
        <v>485</v>
      </c>
      <c r="C36" s="34">
        <v>0</v>
      </c>
      <c r="D36" s="34">
        <v>0</v>
      </c>
      <c r="E36" s="34" t="s">
        <v>37</v>
      </c>
      <c r="F36" s="34" t="s">
        <v>37</v>
      </c>
      <c r="G36" s="34">
        <v>1424</v>
      </c>
      <c r="H36" s="34">
        <v>0</v>
      </c>
      <c r="I36" s="32">
        <f>I24</f>
        <v>391.04168000000004</v>
      </c>
      <c r="J36" s="11" t="s">
        <v>486</v>
      </c>
      <c r="K36" s="1"/>
    </row>
    <row r="37">
      <c r="A37" s="1"/>
      <c r="B37" s="23" t="s">
        <v>487</v>
      </c>
      <c r="C37" s="1"/>
      <c r="D37" s="1"/>
      <c r="E37" s="1"/>
      <c r="F37" s="1"/>
      <c r="G37" s="1"/>
      <c r="H37" s="1"/>
      <c r="I37" s="53"/>
      <c r="J37" s="1"/>
      <c r="K37" s="1"/>
    </row>
    <row r="38">
      <c r="A38" s="1"/>
      <c r="B38" s="29" t="s">
        <v>292</v>
      </c>
      <c r="C38" s="47">
        <v>2875</v>
      </c>
      <c r="D38" s="47">
        <v>2929</v>
      </c>
      <c r="E38" s="47" t="s">
        <v>37</v>
      </c>
      <c r="F38" s="47">
        <v>2926</v>
      </c>
      <c r="G38" s="47">
        <v>3884</v>
      </c>
      <c r="H38" s="47">
        <v>5864</v>
      </c>
      <c r="I38" s="36">
        <f>I12-I15+I24*I27/I$6+I28</f>
        <v>12093.801746086958</v>
      </c>
      <c r="J38" s="11" t="s">
        <v>488</v>
      </c>
      <c r="K38" s="1"/>
    </row>
    <row r="39">
      <c r="A39" s="1"/>
      <c r="B39" s="18" t="s">
        <v>61</v>
      </c>
      <c r="C39" s="39" t="s">
        <v>37</v>
      </c>
      <c r="D39" s="39" t="s">
        <v>37</v>
      </c>
      <c r="E39" s="39" t="s">
        <v>37</v>
      </c>
      <c r="F39" s="39" t="s">
        <v>37</v>
      </c>
      <c r="G39" s="17">
        <f>IF(AND(ISNUMBER(G38),ISNUMBER(C38)),IF(OR(C38&lt;=0,G38&lt;0),"n/m",G38/C38-1),"n/a")</f>
        <v>0.3509565217391304</v>
      </c>
      <c r="H39" s="17">
        <f>IF(AND(ISNUMBER(H38),ISNUMBER(D38)),IF(OR(D38&lt;=0,H38&lt;0),"n/m",H38/D38-1),"n/a")</f>
        <v>1.00204848071014</v>
      </c>
      <c r="I39" s="49" t="s">
        <v>37</v>
      </c>
      <c r="J39" s="1"/>
      <c r="K39" s="1"/>
    </row>
    <row r="40">
      <c r="A40" s="1"/>
      <c r="B40" s="51" t="s">
        <v>103</v>
      </c>
      <c r="C40" s="34" t="s">
        <v>37</v>
      </c>
      <c r="D40" s="26">
        <f>IF(AND(ISNUMBER(D38),ISNUMBER(C38)),D38-C38,"n/a")</f>
        <v>54</v>
      </c>
      <c r="E40" s="34" t="s">
        <v>37</v>
      </c>
      <c r="F40" s="34" t="s">
        <v>37</v>
      </c>
      <c r="G40" s="34" t="s">
        <v>37</v>
      </c>
      <c r="H40" s="26">
        <f>IF(AND(ISNUMBER(H38),ISNUMBER(G38)),H38-G38,"n/a")</f>
        <v>1980</v>
      </c>
      <c r="I40" s="32">
        <f>IF(AND(ISNUMBER(I38),ISNUMBER(H38)),I38-H38,"n/a")</f>
        <v>6229.801746086958</v>
      </c>
      <c r="J40" s="1"/>
      <c r="K40" s="1"/>
    </row>
    <row r="41">
      <c r="A41" s="1"/>
      <c r="B41" s="51" t="s">
        <v>489</v>
      </c>
      <c r="C41" s="34" t="s">
        <v>37</v>
      </c>
      <c r="D41" s="34" t="s">
        <v>37</v>
      </c>
      <c r="E41" s="34" t="s">
        <v>37</v>
      </c>
      <c r="F41" s="34" t="s">
        <v>37</v>
      </c>
      <c r="G41" s="34" t="s">
        <v>37</v>
      </c>
      <c r="H41" s="34">
        <v>564</v>
      </c>
      <c r="I41" s="32">
        <f>H41+I44*I27/I$6</f>
        <v>579.1826086956522</v>
      </c>
      <c r="J41" s="11" t="s">
        <v>490</v>
      </c>
      <c r="K41" s="1"/>
    </row>
    <row r="42">
      <c r="A42" s="1"/>
      <c r="B42" s="18" t="s">
        <v>61</v>
      </c>
      <c r="C42" s="39" t="s">
        <v>37</v>
      </c>
      <c r="D42" s="39" t="s">
        <v>37</v>
      </c>
      <c r="E42" s="39" t="s">
        <v>37</v>
      </c>
      <c r="F42" s="39" t="s">
        <v>37</v>
      </c>
      <c r="G42" s="17" t="str">
        <f>IF(AND(ISNUMBER(G41),ISNUMBER(C41)),IF(OR(C41&lt;=0,G41&lt;0),"n/m",G41/C41-1),"n/a")</f>
        <v>n/a</v>
      </c>
      <c r="H42" s="17" t="str">
        <f>IF(AND(ISNUMBER(H41),ISNUMBER(D41)),IF(OR(D41&lt;=0,H41&lt;0),"n/m",H41/D41-1),"n/a")</f>
        <v>n/a</v>
      </c>
      <c r="I42" s="49" t="s">
        <v>37</v>
      </c>
      <c r="J42" s="1"/>
      <c r="K42" s="1"/>
    </row>
    <row r="43">
      <c r="A43" s="1"/>
      <c r="B43" s="51" t="s">
        <v>103</v>
      </c>
      <c r="C43" s="34" t="s">
        <v>37</v>
      </c>
      <c r="D43" s="26" t="str">
        <f>IF(AND(ISNUMBER(D41),ISNUMBER(C41)),D41-C41,"n/a")</f>
        <v>n/a</v>
      </c>
      <c r="E43" s="34" t="s">
        <v>37</v>
      </c>
      <c r="F43" s="34" t="s">
        <v>37</v>
      </c>
      <c r="G43" s="34" t="s">
        <v>37</v>
      </c>
      <c r="H43" s="26" t="str">
        <f>IF(AND(ISNUMBER(H41),ISNUMBER(G41)),H41-G41,"n/a")</f>
        <v>n/a</v>
      </c>
      <c r="I43" s="32">
        <f>IF(AND(ISNUMBER(I41),ISNUMBER(H41)),I41-H41,"n/a")</f>
        <v>15.18260869565222</v>
      </c>
      <c r="J43" s="1"/>
      <c r="K43" s="1"/>
    </row>
    <row r="44">
      <c r="A44" s="1"/>
      <c r="B44" s="51" t="s">
        <v>491</v>
      </c>
      <c r="C44" s="34" t="s">
        <v>37</v>
      </c>
      <c r="D44" s="34" t="s">
        <v>37</v>
      </c>
      <c r="E44" s="34" t="s">
        <v>37</v>
      </c>
      <c r="F44" s="34" t="s">
        <v>37</v>
      </c>
      <c r="G44" s="34" t="s">
        <v>37</v>
      </c>
      <c r="H44" s="34" t="s">
        <v>37</v>
      </c>
      <c r="I44" s="52">
        <v>29.1</v>
      </c>
      <c r="J44" s="11" t="s">
        <v>492</v>
      </c>
      <c r="K44" s="1"/>
    </row>
    <row r="45">
      <c r="A45" s="1"/>
      <c r="B45" s="18" t="s">
        <v>61</v>
      </c>
      <c r="C45" s="39" t="s">
        <v>37</v>
      </c>
      <c r="D45" s="39" t="s">
        <v>37</v>
      </c>
      <c r="E45" s="39" t="s">
        <v>37</v>
      </c>
      <c r="F45" s="39" t="s">
        <v>37</v>
      </c>
      <c r="G45" s="17" t="str">
        <f>IF(AND(ISNUMBER(G44),ISNUMBER(C44)),IF(OR(C44&lt;=0,G44&lt;0),"n/m",G44/C44-1),"n/a")</f>
        <v>n/a</v>
      </c>
      <c r="H45" s="17" t="str">
        <f>IF(AND(ISNUMBER(H44),ISNUMBER(D44)),IF(OR(D44&lt;=0,H44&lt;0),"n/m",H44/D44-1),"n/a")</f>
        <v>n/a</v>
      </c>
      <c r="I45" s="49" t="s">
        <v>37</v>
      </c>
      <c r="J45" s="1"/>
      <c r="K45" s="1"/>
    </row>
    <row r="46">
      <c r="A46" s="1"/>
      <c r="B46" s="51" t="s">
        <v>103</v>
      </c>
      <c r="C46" s="34" t="s">
        <v>37</v>
      </c>
      <c r="D46" s="26" t="str">
        <f>IF(AND(ISNUMBER(D44),ISNUMBER(C44)),D44-C44,"n/a")</f>
        <v>n/a</v>
      </c>
      <c r="E46" s="34" t="s">
        <v>37</v>
      </c>
      <c r="F46" s="34" t="s">
        <v>37</v>
      </c>
      <c r="G46" s="34" t="s">
        <v>37</v>
      </c>
      <c r="H46" s="26" t="str">
        <f>IF(AND(ISNUMBER(H44),ISNUMBER(G44)),H44-G44,"n/a")</f>
        <v>n/a</v>
      </c>
      <c r="I46" s="32" t="str">
        <f>IF(AND(ISNUMBER(I44),ISNUMBER(H44)),I44-H44,"n/a")</f>
        <v>n/a</v>
      </c>
      <c r="J46" s="1"/>
      <c r="K46" s="1"/>
    </row>
    <row r="47">
      <c r="A47" s="1"/>
      <c r="B47" s="18" t="s">
        <v>493</v>
      </c>
      <c r="C47" s="39" t="s">
        <v>37</v>
      </c>
      <c r="D47" s="39" t="s">
        <v>37</v>
      </c>
      <c r="E47" s="39" t="s">
        <v>37</v>
      </c>
      <c r="F47" s="39" t="s">
        <v>37</v>
      </c>
      <c r="G47" s="39" t="s">
        <v>37</v>
      </c>
      <c r="H47" s="39" t="s">
        <v>37</v>
      </c>
      <c r="I47" s="49">
        <v>0.8</v>
      </c>
      <c r="J47" s="11" t="s">
        <v>494</v>
      </c>
      <c r="K47" s="1"/>
    </row>
    <row r="48">
      <c r="A48" s="1"/>
      <c r="B48" s="18" t="s">
        <v>98</v>
      </c>
      <c r="C48" s="37" t="s">
        <v>37</v>
      </c>
      <c r="D48" s="37" t="s">
        <v>37</v>
      </c>
      <c r="E48" s="37" t="s">
        <v>37</v>
      </c>
      <c r="F48" s="37" t="s">
        <v>37</v>
      </c>
      <c r="G48" s="43" t="str">
        <f>IF(AND(ISNUMBER(G47),ISNUMBER(C47)),(G47-C47)*10000,"n/a")</f>
        <v>n/a</v>
      </c>
      <c r="H48" s="43" t="str">
        <f>IF(AND(ISNUMBER(H47),ISNUMBER(D47)),(H47-D47)*10000,"n/a")</f>
        <v>n/a</v>
      </c>
      <c r="I48" s="54" t="s">
        <v>37</v>
      </c>
      <c r="J48" s="1"/>
      <c r="K48" s="1"/>
    </row>
    <row r="49">
      <c r="A49" s="1"/>
      <c r="B49" s="18" t="s">
        <v>99</v>
      </c>
      <c r="C49" s="37" t="s">
        <v>37</v>
      </c>
      <c r="D49" s="43" t="str">
        <f>IF(AND(ISNUMBER(D47),ISNUMBER(C47)),(D47-C47)*10000,"n/a")</f>
        <v>n/a</v>
      </c>
      <c r="E49" s="37" t="s">
        <v>37</v>
      </c>
      <c r="F49" s="37" t="s">
        <v>37</v>
      </c>
      <c r="G49" s="37" t="s">
        <v>37</v>
      </c>
      <c r="H49" s="43" t="str">
        <f>IF(AND(ISNUMBER(H47),ISNUMBER(G47)),(H47-G47)*10000,"n/a")</f>
        <v>n/a</v>
      </c>
      <c r="I49" s="50" t="str">
        <f>IF(AND(ISNUMBER(I47),ISNUMBER(H47)),(I47-H47)*10000,"n/a")</f>
        <v>n/a</v>
      </c>
      <c r="J49" s="1"/>
      <c r="K49" s="1"/>
    </row>
    <row r="50">
      <c r="A50" s="1"/>
      <c r="B50" s="12" t="s">
        <v>495</v>
      </c>
      <c r="C50" s="34">
        <v>0</v>
      </c>
      <c r="D50" s="34">
        <v>0</v>
      </c>
      <c r="E50" s="34" t="s">
        <v>37</v>
      </c>
      <c r="F50" s="34">
        <v>0</v>
      </c>
      <c r="G50" s="34">
        <v>0</v>
      </c>
      <c r="H50" s="34">
        <v>0</v>
      </c>
      <c r="I50" s="32">
        <f>I41*I47</f>
        <v>463.3460869565218</v>
      </c>
      <c r="J50" s="11" t="s">
        <v>496</v>
      </c>
      <c r="K50" s="1"/>
    </row>
    <row r="51">
      <c r="A51" s="1"/>
      <c r="B51" s="18" t="s">
        <v>61</v>
      </c>
      <c r="C51" s="39" t="s">
        <v>37</v>
      </c>
      <c r="D51" s="39" t="s">
        <v>37</v>
      </c>
      <c r="E51" s="39" t="s">
        <v>37</v>
      </c>
      <c r="F51" s="39" t="s">
        <v>37</v>
      </c>
      <c r="G51" s="17" t="str">
        <f>IF(AND(ISNUMBER(G50),ISNUMBER(C50)),IF(OR(C50&lt;=0,G50&lt;0),"n/m",G50/C50-1),"n/a")</f>
        <v>n/m</v>
      </c>
      <c r="H51" s="17" t="str">
        <f>IF(AND(ISNUMBER(H50),ISNUMBER(D50)),IF(OR(D50&lt;=0,H50&lt;0),"n/m",H50/D50-1),"n/a")</f>
        <v>n/m</v>
      </c>
      <c r="I51" s="49" t="s">
        <v>37</v>
      </c>
      <c r="J51" s="1"/>
      <c r="K51" s="1"/>
    </row>
    <row r="52">
      <c r="A52" s="1"/>
      <c r="B52" s="51" t="s">
        <v>103</v>
      </c>
      <c r="C52" s="34" t="s">
        <v>37</v>
      </c>
      <c r="D52" s="26">
        <f>IF(AND(ISNUMBER(D50),ISNUMBER(C50)),D50-C50,"n/a")</f>
        <v>0</v>
      </c>
      <c r="E52" s="34" t="s">
        <v>37</v>
      </c>
      <c r="F52" s="34" t="s">
        <v>37</v>
      </c>
      <c r="G52" s="34" t="s">
        <v>37</v>
      </c>
      <c r="H52" s="26">
        <f>IF(AND(ISNUMBER(H50),ISNUMBER(G50)),H50-G50,"n/a")</f>
        <v>0</v>
      </c>
      <c r="I52" s="32">
        <f>IF(AND(ISNUMBER(I50),ISNUMBER(H50)),I50-H50,"n/a")</f>
        <v>463.3460869565218</v>
      </c>
      <c r="J52" s="1"/>
      <c r="K52" s="1"/>
    </row>
    <row r="53">
      <c r="A53" s="1"/>
      <c r="B53" s="13" t="s">
        <v>294</v>
      </c>
      <c r="C53" s="41">
        <f>IF(COUNT(C38,C50)=2,C38+C50,"n/a")</f>
        <v>2875</v>
      </c>
      <c r="D53" s="41">
        <f>IF(COUNT(D38,D50)=2,D38+D50,"n/a")</f>
        <v>2929</v>
      </c>
      <c r="E53" s="41" t="str">
        <f>IF(COUNT(E38,E50)=2,E38+E50,"n/a")</f>
        <v>n/a</v>
      </c>
      <c r="F53" s="41">
        <f>IF(COUNT(F38,F50)=2,F38+F50,"n/a")</f>
        <v>2926</v>
      </c>
      <c r="G53" s="41">
        <f>IF(COUNT(G38,G50)=2,G38+G50,"n/a")</f>
        <v>3884</v>
      </c>
      <c r="H53" s="41">
        <f>IF(COUNT(H38,H50)=2,H38+H50,"n/a")</f>
        <v>5864</v>
      </c>
      <c r="I53" s="36">
        <f>IF(COUNT(I38,I50)=2,I38+I50,"n/a")</f>
        <v>12557.14783304348</v>
      </c>
      <c r="J53" s="11" t="s">
        <v>497</v>
      </c>
      <c r="K53" s="1"/>
    </row>
    <row r="54">
      <c r="A54" s="1"/>
      <c r="B54" s="18" t="s">
        <v>61</v>
      </c>
      <c r="C54" s="39" t="s">
        <v>37</v>
      </c>
      <c r="D54" s="39" t="s">
        <v>37</v>
      </c>
      <c r="E54" s="39" t="s">
        <v>37</v>
      </c>
      <c r="F54" s="39" t="s">
        <v>37</v>
      </c>
      <c r="G54" s="17">
        <f>IF(AND(ISNUMBER(G53),ISNUMBER(C53)),IF(OR(C53&lt;=0,G53&lt;0),"n/m",G53/C53-1),"n/a")</f>
        <v>0.3509565217391304</v>
      </c>
      <c r="H54" s="17">
        <f>IF(AND(ISNUMBER(H53),ISNUMBER(D53)),IF(OR(D53&lt;=0,H53&lt;0),"n/m",H53/D53-1),"n/a")</f>
        <v>1.00204848071014</v>
      </c>
      <c r="I54" s="49" t="s">
        <v>37</v>
      </c>
      <c r="J54" s="1"/>
      <c r="K54" s="1"/>
    </row>
    <row r="55">
      <c r="A55" s="1"/>
      <c r="B55" s="51" t="s">
        <v>103</v>
      </c>
      <c r="C55" s="34" t="s">
        <v>37</v>
      </c>
      <c r="D55" s="26">
        <f>IF(AND(ISNUMBER(D53),ISNUMBER(C53)),D53-C53,"n/a")</f>
        <v>54</v>
      </c>
      <c r="E55" s="34" t="s">
        <v>37</v>
      </c>
      <c r="F55" s="34" t="s">
        <v>37</v>
      </c>
      <c r="G55" s="34" t="s">
        <v>37</v>
      </c>
      <c r="H55" s="26">
        <f>IF(AND(ISNUMBER(H53),ISNUMBER(G53)),H53-G53,"n/a")</f>
        <v>1980</v>
      </c>
      <c r="I55" s="32">
        <f>IF(AND(ISNUMBER(I53),ISNUMBER(H53)),I53-H53,"n/a")</f>
        <v>6693.14783304348</v>
      </c>
      <c r="J55" s="1"/>
      <c r="K55" s="1"/>
    </row>
    <row r="56">
      <c r="A56" s="1"/>
      <c r="B56" s="23" t="s">
        <v>498</v>
      </c>
      <c r="C56" s="1"/>
      <c r="D56" s="1"/>
      <c r="E56" s="1"/>
      <c r="F56" s="1"/>
      <c r="G56" s="1"/>
      <c r="H56" s="1"/>
      <c r="I56" s="53"/>
      <c r="J56" s="1"/>
      <c r="K56" s="1"/>
    </row>
    <row r="57">
      <c r="A57" s="1"/>
      <c r="B57" s="12" t="s">
        <v>499</v>
      </c>
      <c r="C57" s="22">
        <f>'Income Statement'!C71</f>
        <v>-528</v>
      </c>
      <c r="D57" s="22">
        <f>'Income Statement'!D71</f>
        <v>-1008</v>
      </c>
      <c r="E57" s="22">
        <f>'Income Statement'!E71</f>
        <v>-3401</v>
      </c>
      <c r="F57" s="22">
        <f>'Income Statement'!F71</f>
        <v>-4937</v>
      </c>
      <c r="G57" s="22">
        <f>'Income Statement'!G71</f>
        <v>-4947</v>
      </c>
      <c r="H57" s="22">
        <f>'Income Statement'!H71</f>
        <v>-541</v>
      </c>
      <c r="I57" s="42">
        <f>'Income Statement'!I71</f>
        <v>2749.8792644056866</v>
      </c>
      <c r="J57" s="11" t="s">
        <v>500</v>
      </c>
      <c r="K57" s="1"/>
    </row>
    <row r="58">
      <c r="A58" s="1"/>
      <c r="B58" s="12" t="s">
        <v>501</v>
      </c>
      <c r="C58" s="38">
        <f>IF(AND(ISNUMBER(C57),ISNUMBER(C53)),IF(C53=0,"n/a",C57/C53),"n/a")</f>
        <v>-0.18365217391304348</v>
      </c>
      <c r="D58" s="38">
        <f>IF(AND(ISNUMBER(D57),ISNUMBER(D53)),IF(D53=0,"n/a",D57/D53),"n/a")</f>
        <v>-0.34414475930351657</v>
      </c>
      <c r="E58" s="38" t="str">
        <f>IF(AND(ISNUMBER(E57),ISNUMBER(E53)),IF(E53=0,"n/a",E57/E53),"n/a")</f>
        <v>n/a</v>
      </c>
      <c r="F58" s="38">
        <f>IF(AND(ISNUMBER(F57),ISNUMBER(F53)),IF(F53=0,"n/a",F57/F53),"n/a")</f>
        <v>-1.6872863978127135</v>
      </c>
      <c r="G58" s="38">
        <f>IF(AND(ISNUMBER(G57),ISNUMBER(G53)),IF(G53=0,"n/a",G57/G53),"n/a")</f>
        <v>-1.273686920700309</v>
      </c>
      <c r="H58" s="38">
        <f>IF(AND(ISNUMBER(H57),ISNUMBER(H53)),IF(H53=0,"n/a",H57/H53),"n/a")</f>
        <v>-0.09225784447476125</v>
      </c>
      <c r="I58" s="71">
        <f>IF(AND(ISNUMBER(I57),ISNUMBER(I53)),IF(I53=0,"n/a",I57/I53),"n/a")</f>
        <v>0.21898916067305688</v>
      </c>
      <c r="J58" s="11" t="s">
        <v>502</v>
      </c>
      <c r="K58" s="1"/>
    </row>
    <row r="59">
      <c r="A59" s="1"/>
      <c r="B59" s="12" t="s">
        <v>315</v>
      </c>
      <c r="C59" s="22">
        <f>'Income Statement'!C90</f>
        <v>-500</v>
      </c>
      <c r="D59" s="22">
        <f>'Income Statement'!D90</f>
        <v>-813</v>
      </c>
      <c r="E59" s="22" t="str">
        <f>'Income Statement'!E90</f>
        <v>n/a</v>
      </c>
      <c r="F59" s="22" t="str">
        <f>'Income Statement'!F90</f>
        <v>n/a</v>
      </c>
      <c r="G59" s="22">
        <f>'Income Statement'!G90</f>
        <v>-2760</v>
      </c>
      <c r="H59" s="22">
        <f>'Income Statement'!H90</f>
        <v>-521</v>
      </c>
      <c r="I59" s="42">
        <f>'Income Statement'!I90</f>
        <v>2749.8792644056866</v>
      </c>
      <c r="J59" s="11" t="s">
        <v>503</v>
      </c>
      <c r="K59" s="1"/>
    </row>
    <row r="60">
      <c r="A60" s="1"/>
      <c r="B60" s="29" t="s">
        <v>317</v>
      </c>
      <c r="C60" s="66">
        <f>IF(AND(ISNUMBER(C59),ISNUMBER(C53)),IF(C53=0,"n/a",C59/C53),"n/a")</f>
        <v>-0.17391304347826086</v>
      </c>
      <c r="D60" s="66">
        <f>IF(AND(ISNUMBER(D59),ISNUMBER(D53)),IF(D53=0,"n/a",D59/D53),"n/a")</f>
        <v>-0.2775691362239672</v>
      </c>
      <c r="E60" s="66" t="str">
        <f>IF(AND(ISNUMBER(E59),ISNUMBER(E53)),IF(E53=0,"n/a",E59/E53),"n/a")</f>
        <v>n/a</v>
      </c>
      <c r="F60" s="66" t="str">
        <f>IF(AND(ISNUMBER(F59),ISNUMBER(F53)),IF(F53=0,"n/a",F59/F53),"n/a")</f>
        <v>n/a</v>
      </c>
      <c r="G60" s="66">
        <f>IF(AND(ISNUMBER(G59),ISNUMBER(G53)),IF(G53=0,"n/a",G59/G53),"n/a")</f>
        <v>-0.7106076210092688</v>
      </c>
      <c r="H60" s="66">
        <f>IF(AND(ISNUMBER(H59),ISNUMBER(H53)),IF(H53=0,"n/a",H59/H53),"n/a")</f>
        <v>-0.08884720327421555</v>
      </c>
      <c r="I60" s="72">
        <f>IF(AND(ISNUMBER(I59),ISNUMBER(I53)),IF(I53=0,"n/a",I59/I53),"n/a")</f>
        <v>0.21898916067305688</v>
      </c>
      <c r="J60" s="1"/>
      <c r="K60" s="1"/>
    </row>
    <row r="61">
      <c r="A61" s="1"/>
      <c r="B61" s="12" t="s">
        <v>504</v>
      </c>
      <c r="C61" s="34" t="s">
        <v>37</v>
      </c>
      <c r="D61" s="34" t="s">
        <v>37</v>
      </c>
      <c r="E61" s="34" t="s">
        <v>37</v>
      </c>
      <c r="F61" s="34" t="s">
        <v>37</v>
      </c>
      <c r="G61" s="34" t="s">
        <v>37</v>
      </c>
      <c r="H61" s="34" t="s">
        <v>37</v>
      </c>
      <c r="I61" s="42">
        <f>Inputs!C110</f>
        <v>1924935.3334000001</v>
      </c>
      <c r="J61" s="11" t="s">
        <v>505</v>
      </c>
      <c r="K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8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31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506</v>
      </c>
      <c r="C4" s="8"/>
      <c r="D4" s="8"/>
      <c r="E4" s="8"/>
      <c r="F4" s="8"/>
      <c r="G4" s="8"/>
      <c r="H4" s="8"/>
      <c r="I4" s="8"/>
      <c r="J4" s="79" t="s">
        <v>4</v>
      </c>
      <c r="K4" s="1"/>
    </row>
    <row r="5">
      <c r="A5" s="1"/>
      <c r="B5" s="14"/>
      <c r="C5" s="5"/>
      <c r="D5" s="5"/>
      <c r="E5" s="5"/>
      <c r="F5" s="5"/>
      <c r="G5" s="5"/>
      <c r="H5" s="5"/>
      <c r="I5" s="5"/>
      <c r="J5" s="84"/>
      <c r="K5" s="1"/>
    </row>
    <row r="6">
      <c r="A6" s="1"/>
      <c r="B6" s="10"/>
      <c r="C6" s="6"/>
      <c r="D6" s="6"/>
      <c r="E6" s="6"/>
      <c r="F6" s="6"/>
      <c r="G6" s="6"/>
      <c r="H6" s="6"/>
      <c r="I6" s="6"/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507</v>
      </c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3" t="s">
        <v>508</v>
      </c>
      <c r="C9" s="77" t="s">
        <v>509</v>
      </c>
      <c r="D9" s="13" t="s">
        <v>49</v>
      </c>
      <c r="E9" s="77" t="s">
        <v>510</v>
      </c>
      <c r="F9" s="77" t="s">
        <v>511</v>
      </c>
      <c r="G9" s="77" t="s">
        <v>512</v>
      </c>
      <c r="H9" s="90" t="s">
        <v>513</v>
      </c>
      <c r="I9" s="13" t="s">
        <v>514</v>
      </c>
      <c r="J9" s="1"/>
      <c r="K9" s="1"/>
    </row>
    <row r="10">
      <c r="A10" s="1"/>
      <c r="B10" s="12" t="s">
        <v>515</v>
      </c>
      <c r="C10" s="80">
        <v>46238</v>
      </c>
      <c r="D10" s="4" t="s">
        <v>516</v>
      </c>
      <c r="E10" s="86">
        <f>-'Cash Flow Statement'!H19</f>
        <v>18369</v>
      </c>
      <c r="F10" s="86">
        <f>-'Cash Flow Statement'!H19</f>
        <v>18369</v>
      </c>
      <c r="G10" s="82">
        <f>IF(AND(ISNUMBER(E10),ISNUMBER(F10)),(E10+F10)/2,IF(ISNUMBER(E10),E10,"n/a"))</f>
        <v>18369</v>
      </c>
      <c r="H10" s="89" t="s">
        <v>37</v>
      </c>
      <c r="I10" s="4" t="s">
        <v>517</v>
      </c>
      <c r="J10" s="11" t="s">
        <v>518</v>
      </c>
      <c r="K10" s="1"/>
    </row>
    <row r="11">
      <c r="A11" s="1"/>
      <c r="B11" s="12" t="s">
        <v>519</v>
      </c>
      <c r="C11" s="80">
        <v>46238</v>
      </c>
      <c r="D11" s="4" t="s">
        <v>520</v>
      </c>
      <c r="E11" s="78">
        <v>2</v>
      </c>
      <c r="F11" s="78" t="s">
        <v>37</v>
      </c>
      <c r="G11" s="82">
        <f>IF(AND(ISNUMBER(E11),ISNUMBER(F11)),(E11+F11)/2,IF(ISNUMBER(E11),E11,"n/a"))</f>
        <v>2</v>
      </c>
      <c r="H11" s="89" t="s">
        <v>37</v>
      </c>
      <c r="I11" s="4" t="s">
        <v>517</v>
      </c>
      <c r="J11" s="11" t="s">
        <v>521</v>
      </c>
      <c r="K11" s="1"/>
    </row>
    <row r="12">
      <c r="A12" s="1"/>
      <c r="B12" s="12" t="s">
        <v>522</v>
      </c>
      <c r="C12" s="80">
        <v>46238</v>
      </c>
      <c r="D12" s="4" t="s">
        <v>523</v>
      </c>
      <c r="E12" s="78">
        <v>100000</v>
      </c>
      <c r="F12" s="78" t="s">
        <v>37</v>
      </c>
      <c r="G12" s="82">
        <f>IF(AND(ISNUMBER(E12),ISNUMBER(F12)),(E12+F12)/2,IF(ISNUMBER(E12),E12,"n/a"))</f>
        <v>100000</v>
      </c>
      <c r="H12" s="89" t="s">
        <v>37</v>
      </c>
      <c r="I12" s="4" t="s">
        <v>517</v>
      </c>
      <c r="J12" s="11" t="s">
        <v>524</v>
      </c>
      <c r="K12" s="1"/>
    </row>
    <row r="13">
      <c r="A13" s="1"/>
      <c r="B13" s="12" t="s">
        <v>525</v>
      </c>
      <c r="C13" s="80">
        <v>46238</v>
      </c>
      <c r="D13" s="4" t="s">
        <v>516</v>
      </c>
      <c r="E13" s="78" t="s">
        <v>37</v>
      </c>
      <c r="F13" s="78" t="s">
        <v>37</v>
      </c>
      <c r="G13" s="82" t="str">
        <f>IF(AND(ISNUMBER(E13),ISNUMBER(F13)),(E13+F13)/2,IF(ISNUMBER(E13),E13,"n/a"))</f>
        <v>n/a</v>
      </c>
      <c r="H13" s="88" t="s">
        <v>526</v>
      </c>
      <c r="I13" s="4" t="s">
        <v>527</v>
      </c>
      <c r="J13" s="11" t="s">
        <v>528</v>
      </c>
      <c r="K13" s="1"/>
    </row>
    <row r="14">
      <c r="A14" s="1"/>
      <c r="B14" s="12" t="s">
        <v>529</v>
      </c>
      <c r="C14" s="80">
        <v>46185</v>
      </c>
      <c r="D14" s="4" t="s">
        <v>530</v>
      </c>
      <c r="E14" s="78" t="s">
        <v>37</v>
      </c>
      <c r="F14" s="78" t="s">
        <v>37</v>
      </c>
      <c r="G14" s="82" t="str">
        <f>IF(AND(ISNUMBER(E14),ISNUMBER(F14)),(E14+F14)/2,IF(ISNUMBER(E14),E14,"n/a"))</f>
        <v>n/a</v>
      </c>
      <c r="H14" s="88" t="s">
        <v>531</v>
      </c>
      <c r="I14" s="4" t="s">
        <v>527</v>
      </c>
      <c r="J14" s="11" t="s">
        <v>532</v>
      </c>
      <c r="K14" s="1"/>
    </row>
    <row r="15">
      <c r="A15" s="1"/>
      <c r="B15" s="12" t="s">
        <v>533</v>
      </c>
      <c r="C15" s="78" t="s">
        <v>37</v>
      </c>
      <c r="D15" s="4" t="s">
        <v>516</v>
      </c>
      <c r="E15" s="78" t="s">
        <v>37</v>
      </c>
      <c r="F15" s="78" t="s">
        <v>37</v>
      </c>
      <c r="G15" s="82" t="str">
        <f>IF(AND(ISNUMBER(E15),ISNUMBER(F15)),(E15+F15)/2,IF(ISNUMBER(E15),E15,"n/a"))</f>
        <v>n/a</v>
      </c>
      <c r="H15" s="89" t="s">
        <v>37</v>
      </c>
      <c r="I15" s="4" t="s">
        <v>534</v>
      </c>
      <c r="J15" s="11" t="s">
        <v>535</v>
      </c>
      <c r="K15" s="1"/>
    </row>
    <row r="16">
      <c r="A16" s="1"/>
      <c r="B16" s="1" t="s">
        <v>536</v>
      </c>
      <c r="C16" s="1"/>
      <c r="D16" s="1"/>
      <c r="E16" s="1"/>
      <c r="F16" s="1"/>
      <c r="G16" s="1"/>
      <c r="H16" s="1"/>
      <c r="I16" s="1"/>
      <c r="J16" s="11" t="s">
        <v>537</v>
      </c>
      <c r="K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K4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95" customWidth="1"/>
    <col min="11" max="11" width="9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538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539</v>
      </c>
      <c r="C4" s="8"/>
      <c r="D4" s="8"/>
      <c r="E4" s="8"/>
      <c r="F4" s="8"/>
      <c r="G4" s="8"/>
      <c r="H4" s="8"/>
      <c r="I4" s="8"/>
      <c r="J4" s="79" t="s">
        <v>4</v>
      </c>
      <c r="K4" s="1"/>
    </row>
    <row r="5">
      <c r="A5" s="1"/>
      <c r="B5" s="14"/>
      <c r="C5" s="5"/>
      <c r="D5" s="5"/>
      <c r="E5" s="5"/>
      <c r="F5" s="5"/>
      <c r="G5" s="5"/>
      <c r="H5" s="5"/>
      <c r="I5" s="5"/>
      <c r="J5" s="84"/>
      <c r="K5" s="1"/>
    </row>
    <row r="6">
      <c r="A6" s="1"/>
      <c r="B6" s="10"/>
      <c r="C6" s="6"/>
      <c r="D6" s="6"/>
      <c r="E6" s="6"/>
      <c r="F6" s="6"/>
      <c r="G6" s="6"/>
      <c r="H6" s="6"/>
      <c r="I6" s="6"/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540</v>
      </c>
      <c r="C8" s="1"/>
      <c r="D8" s="1"/>
      <c r="E8" s="1"/>
      <c r="F8" s="1"/>
      <c r="G8" s="1"/>
      <c r="H8" s="1"/>
      <c r="I8" s="1"/>
      <c r="J8" s="28"/>
      <c r="K8" s="28"/>
    </row>
    <row r="9">
      <c r="A9" s="1"/>
      <c r="B9" s="1" t="s">
        <v>541</v>
      </c>
      <c r="C9" s="1"/>
      <c r="D9" s="1"/>
      <c r="E9" s="1"/>
      <c r="F9" s="1"/>
      <c r="G9" s="1"/>
      <c r="H9" s="1"/>
      <c r="I9" s="1"/>
      <c r="J9" s="44" t="s">
        <v>542</v>
      </c>
      <c r="K9" s="28"/>
    </row>
    <row r="10">
      <c r="A10" s="1"/>
      <c r="B10" s="13" t="s">
        <v>543</v>
      </c>
      <c r="C10" s="77" t="s">
        <v>544</v>
      </c>
      <c r="D10" s="77" t="s">
        <v>545</v>
      </c>
      <c r="E10" s="13"/>
      <c r="F10" s="13"/>
      <c r="G10" s="13"/>
      <c r="H10" s="13"/>
      <c r="I10" s="13"/>
      <c r="J10" s="40" t="s">
        <v>546</v>
      </c>
      <c r="K10" s="40" t="s">
        <v>547</v>
      </c>
    </row>
    <row r="11">
      <c r="A11" s="1"/>
      <c r="B11" s="1" t="s">
        <v>548</v>
      </c>
      <c r="C11" s="9">
        <v>46313</v>
      </c>
      <c r="D11" s="9">
        <v>46315</v>
      </c>
      <c r="E11" s="1"/>
      <c r="F11" s="1"/>
      <c r="G11" s="1"/>
      <c r="H11" s="1"/>
      <c r="I11" s="1"/>
      <c r="J11" s="28" t="s">
        <v>549</v>
      </c>
      <c r="K11" s="28" t="s">
        <v>550</v>
      </c>
    </row>
    <row r="12">
      <c r="A12" s="1"/>
      <c r="B12" s="1" t="s">
        <v>551</v>
      </c>
      <c r="C12" s="9">
        <v>46313</v>
      </c>
      <c r="D12" s="9">
        <v>46315</v>
      </c>
      <c r="E12" s="1"/>
      <c r="F12" s="1"/>
      <c r="G12" s="1"/>
      <c r="H12" s="1"/>
      <c r="I12" s="1"/>
      <c r="J12" s="28" t="s">
        <v>552</v>
      </c>
      <c r="K12" s="28" t="s">
        <v>553</v>
      </c>
    </row>
    <row r="13">
      <c r="A13" s="1"/>
      <c r="B13" s="1" t="s">
        <v>554</v>
      </c>
      <c r="C13" s="9">
        <v>46238</v>
      </c>
      <c r="D13" s="9">
        <v>46315</v>
      </c>
      <c r="E13" s="1"/>
      <c r="F13" s="1"/>
      <c r="G13" s="1"/>
      <c r="H13" s="1"/>
      <c r="I13" s="1"/>
      <c r="J13" s="28" t="s">
        <v>555</v>
      </c>
      <c r="K13" s="28" t="s">
        <v>556</v>
      </c>
    </row>
    <row r="14">
      <c r="A14" s="1"/>
      <c r="B14" s="1" t="s">
        <v>557</v>
      </c>
      <c r="C14" s="9">
        <v>46238</v>
      </c>
      <c r="D14" s="9">
        <v>46315</v>
      </c>
      <c r="E14" s="1"/>
      <c r="F14" s="1"/>
      <c r="G14" s="1"/>
      <c r="H14" s="1"/>
      <c r="I14" s="1"/>
      <c r="J14" s="28" t="s">
        <v>558</v>
      </c>
      <c r="K14" s="28" t="s">
        <v>559</v>
      </c>
    </row>
    <row r="15">
      <c r="A15" s="1"/>
      <c r="B15" s="1" t="s">
        <v>560</v>
      </c>
      <c r="C15" s="9">
        <v>46238</v>
      </c>
      <c r="D15" s="9">
        <v>46315</v>
      </c>
      <c r="E15" s="1"/>
      <c r="F15" s="1"/>
      <c r="G15" s="1"/>
      <c r="H15" s="1"/>
      <c r="I15" s="1"/>
      <c r="J15" s="28" t="s">
        <v>561</v>
      </c>
      <c r="K15" s="28" t="s">
        <v>562</v>
      </c>
    </row>
    <row r="16">
      <c r="A16" s="1"/>
      <c r="B16" s="1" t="s">
        <v>563</v>
      </c>
      <c r="C16" s="9">
        <v>46185</v>
      </c>
      <c r="D16" s="9">
        <v>46315</v>
      </c>
      <c r="E16" s="1"/>
      <c r="F16" s="1"/>
      <c r="G16" s="1"/>
      <c r="H16" s="1"/>
      <c r="I16" s="1"/>
      <c r="J16" s="28" t="s">
        <v>564</v>
      </c>
      <c r="K16" s="28" t="s">
        <v>565</v>
      </c>
    </row>
    <row r="17">
      <c r="A17" s="1"/>
      <c r="B17" s="1" t="s">
        <v>566</v>
      </c>
      <c r="C17" s="9">
        <v>46291</v>
      </c>
      <c r="D17" s="9">
        <v>46315</v>
      </c>
      <c r="E17" s="1"/>
      <c r="F17" s="1"/>
      <c r="G17" s="1"/>
      <c r="H17" s="1"/>
      <c r="I17" s="1"/>
      <c r="J17" s="28" t="s">
        <v>567</v>
      </c>
      <c r="K17" s="28" t="s">
        <v>568</v>
      </c>
    </row>
    <row r="18">
      <c r="A18" s="1"/>
      <c r="B18" s="1" t="s">
        <v>569</v>
      </c>
      <c r="C18" s="9">
        <v>46311</v>
      </c>
      <c r="D18" s="9">
        <v>46315</v>
      </c>
      <c r="E18" s="1"/>
      <c r="F18" s="1"/>
      <c r="G18" s="1"/>
      <c r="H18" s="1"/>
      <c r="I18" s="1"/>
      <c r="J18" s="28" t="s">
        <v>570</v>
      </c>
      <c r="K18" s="28" t="s">
        <v>571</v>
      </c>
    </row>
    <row r="19">
      <c r="A19" s="1"/>
      <c r="B19" s="1" t="s">
        <v>572</v>
      </c>
      <c r="C19" s="9">
        <v>46178</v>
      </c>
      <c r="D19" s="9">
        <v>46315</v>
      </c>
      <c r="E19" s="1"/>
      <c r="F19" s="1"/>
      <c r="G19" s="1"/>
      <c r="H19" s="1"/>
      <c r="I19" s="1"/>
      <c r="J19" s="28" t="s">
        <v>573</v>
      </c>
      <c r="K19" s="28" t="s">
        <v>574</v>
      </c>
    </row>
    <row r="20">
      <c r="A20" s="1"/>
      <c r="B20" s="1" t="s">
        <v>575</v>
      </c>
      <c r="C20" s="9">
        <v>46162</v>
      </c>
      <c r="D20" s="9">
        <v>46315</v>
      </c>
      <c r="E20" s="1"/>
      <c r="F20" s="1"/>
      <c r="G20" s="1"/>
      <c r="H20" s="1"/>
      <c r="I20" s="1"/>
      <c r="J20" s="28" t="s">
        <v>576</v>
      </c>
      <c r="K20" s="28" t="s">
        <v>577</v>
      </c>
    </row>
    <row r="21">
      <c r="A21" s="1"/>
      <c r="B21" s="1" t="s">
        <v>578</v>
      </c>
      <c r="C21" s="9">
        <v>46195</v>
      </c>
      <c r="D21" s="9">
        <v>46315</v>
      </c>
      <c r="E21" s="1"/>
      <c r="F21" s="1"/>
      <c r="G21" s="1"/>
      <c r="H21" s="1"/>
      <c r="I21" s="1"/>
      <c r="J21" s="28" t="s">
        <v>579</v>
      </c>
      <c r="K21" s="28" t="s">
        <v>580</v>
      </c>
    </row>
    <row r="22">
      <c r="A22" s="1"/>
      <c r="B22" s="1" t="s">
        <v>581</v>
      </c>
      <c r="C22" s="9">
        <v>46248</v>
      </c>
      <c r="D22" s="9">
        <v>46315</v>
      </c>
      <c r="E22" s="1"/>
      <c r="F22" s="1"/>
      <c r="G22" s="1"/>
      <c r="H22" s="1"/>
      <c r="I22" s="1"/>
      <c r="J22" s="28" t="s">
        <v>582</v>
      </c>
      <c r="K22" s="28" t="s">
        <v>583</v>
      </c>
    </row>
    <row r="23">
      <c r="A23" s="1"/>
      <c r="B23" s="1" t="s">
        <v>584</v>
      </c>
      <c r="C23" s="9">
        <v>46181</v>
      </c>
      <c r="D23" s="9">
        <v>46315</v>
      </c>
      <c r="E23" s="1"/>
      <c r="F23" s="1"/>
      <c r="G23" s="1"/>
      <c r="H23" s="1"/>
      <c r="I23" s="1"/>
      <c r="J23" s="28" t="s">
        <v>585</v>
      </c>
      <c r="K23" s="28" t="s">
        <v>586</v>
      </c>
    </row>
    <row r="24">
      <c r="A24" s="1"/>
      <c r="B24" s="1" t="s">
        <v>587</v>
      </c>
      <c r="C24" s="9">
        <v>46276</v>
      </c>
      <c r="D24" s="9">
        <v>46315</v>
      </c>
      <c r="E24" s="1"/>
      <c r="F24" s="1"/>
      <c r="G24" s="1"/>
      <c r="H24" s="1"/>
      <c r="I24" s="1"/>
      <c r="J24" s="28" t="s">
        <v>588</v>
      </c>
      <c r="K24" s="28" t="s">
        <v>589</v>
      </c>
    </row>
    <row r="25">
      <c r="A25" s="1"/>
      <c r="B25" s="1" t="s">
        <v>590</v>
      </c>
      <c r="C25" s="9">
        <v>46303</v>
      </c>
      <c r="D25" s="9">
        <v>46315</v>
      </c>
      <c r="E25" s="1"/>
      <c r="F25" s="1"/>
      <c r="G25" s="1"/>
      <c r="H25" s="1"/>
      <c r="I25" s="1"/>
      <c r="J25" s="28" t="s">
        <v>591</v>
      </c>
      <c r="K25" s="28" t="s">
        <v>592</v>
      </c>
    </row>
    <row r="26">
      <c r="A26" s="1"/>
      <c r="B26" s="1" t="s">
        <v>593</v>
      </c>
      <c r="C26" s="9">
        <v>46293</v>
      </c>
      <c r="D26" s="9">
        <v>46315</v>
      </c>
      <c r="E26" s="1"/>
      <c r="F26" s="1"/>
      <c r="G26" s="1"/>
      <c r="H26" s="1"/>
      <c r="I26" s="1"/>
      <c r="J26" s="28" t="s">
        <v>594</v>
      </c>
      <c r="K26" s="28" t="s">
        <v>595</v>
      </c>
    </row>
    <row r="27">
      <c r="A27" s="1"/>
      <c r="B27" s="1" t="s">
        <v>596</v>
      </c>
      <c r="C27" s="9">
        <v>46312</v>
      </c>
      <c r="D27" s="9">
        <v>46315</v>
      </c>
      <c r="E27" s="1"/>
      <c r="F27" s="1"/>
      <c r="G27" s="1"/>
      <c r="H27" s="1"/>
      <c r="I27" s="1"/>
      <c r="J27" s="28" t="s">
        <v>597</v>
      </c>
      <c r="K27" s="28" t="s">
        <v>598</v>
      </c>
    </row>
    <row r="28">
      <c r="A28" s="1"/>
      <c r="B28" s="1" t="s">
        <v>599</v>
      </c>
      <c r="C28" s="9">
        <v>46296</v>
      </c>
      <c r="D28" s="9">
        <v>46315</v>
      </c>
      <c r="E28" s="1"/>
      <c r="F28" s="1"/>
      <c r="G28" s="1"/>
      <c r="H28" s="1"/>
      <c r="I28" s="1"/>
      <c r="J28" s="28" t="s">
        <v>600</v>
      </c>
      <c r="K28" s="28" t="s">
        <v>601</v>
      </c>
    </row>
    <row r="29">
      <c r="A29" s="1"/>
      <c r="B29" s="1" t="s">
        <v>602</v>
      </c>
      <c r="C29" s="9">
        <v>46294</v>
      </c>
      <c r="D29" s="9">
        <v>46315</v>
      </c>
      <c r="E29" s="1"/>
      <c r="F29" s="1"/>
      <c r="G29" s="1"/>
      <c r="H29" s="1"/>
      <c r="I29" s="1"/>
      <c r="J29" s="28" t="s">
        <v>603</v>
      </c>
      <c r="K29" s="28" t="s">
        <v>604</v>
      </c>
    </row>
    <row r="30">
      <c r="A30" s="1"/>
      <c r="B30" s="1" t="s">
        <v>605</v>
      </c>
      <c r="C30" s="9">
        <v>46294</v>
      </c>
      <c r="D30" s="9">
        <v>46315</v>
      </c>
      <c r="E30" s="1"/>
      <c r="F30" s="1"/>
      <c r="G30" s="1"/>
      <c r="H30" s="1"/>
      <c r="I30" s="1"/>
      <c r="J30" s="28" t="s">
        <v>606</v>
      </c>
      <c r="K30" s="28" t="s">
        <v>607</v>
      </c>
    </row>
    <row r="31">
      <c r="A31" s="1"/>
      <c r="B31" s="1" t="s">
        <v>608</v>
      </c>
      <c r="C31" s="9">
        <v>46311</v>
      </c>
      <c r="D31" s="9">
        <v>46315</v>
      </c>
      <c r="E31" s="1"/>
      <c r="F31" s="1"/>
      <c r="G31" s="1"/>
      <c r="H31" s="1"/>
      <c r="I31" s="1"/>
      <c r="J31" s="28" t="s">
        <v>609</v>
      </c>
      <c r="K31" s="28" t="s">
        <v>610</v>
      </c>
    </row>
    <row r="32">
      <c r="A32" s="1"/>
      <c r="B32" s="1" t="s">
        <v>611</v>
      </c>
      <c r="C32" s="9">
        <v>46313</v>
      </c>
      <c r="D32" s="9">
        <v>46315</v>
      </c>
      <c r="E32" s="1"/>
      <c r="F32" s="1"/>
      <c r="G32" s="1"/>
      <c r="H32" s="1"/>
      <c r="I32" s="1"/>
      <c r="J32" s="28" t="s">
        <v>612</v>
      </c>
      <c r="K32" s="28" t="s">
        <v>613</v>
      </c>
    </row>
    <row r="33">
      <c r="A33" s="1"/>
      <c r="B33" s="1" t="s">
        <v>614</v>
      </c>
      <c r="C33" s="9">
        <v>46311</v>
      </c>
      <c r="D33" s="9">
        <v>46315</v>
      </c>
      <c r="E33" s="1"/>
      <c r="F33" s="1"/>
      <c r="G33" s="1"/>
      <c r="H33" s="1"/>
      <c r="I33" s="1"/>
      <c r="J33" s="28" t="s">
        <v>615</v>
      </c>
      <c r="K33" s="28" t="s">
        <v>616</v>
      </c>
    </row>
    <row r="34">
      <c r="A34" s="1"/>
      <c r="B34" s="1" t="s">
        <v>617</v>
      </c>
      <c r="C34" s="9">
        <v>46177</v>
      </c>
      <c r="D34" s="9">
        <v>46315</v>
      </c>
      <c r="E34" s="1"/>
      <c r="F34" s="1"/>
      <c r="G34" s="1"/>
      <c r="H34" s="1"/>
      <c r="I34" s="1"/>
      <c r="J34" s="28" t="s">
        <v>618</v>
      </c>
      <c r="K34" s="28" t="s">
        <v>619</v>
      </c>
    </row>
    <row r="35">
      <c r="A35" s="1"/>
      <c r="B35" s="1" t="s">
        <v>620</v>
      </c>
      <c r="C35" s="9">
        <v>46294</v>
      </c>
      <c r="D35" s="9">
        <v>46315</v>
      </c>
      <c r="E35" s="1"/>
      <c r="F35" s="1"/>
      <c r="G35" s="1"/>
      <c r="H35" s="1"/>
      <c r="I35" s="1"/>
      <c r="J35" s="28" t="s">
        <v>621</v>
      </c>
      <c r="K35" s="28" t="s">
        <v>622</v>
      </c>
    </row>
    <row r="36">
      <c r="A36" s="1"/>
      <c r="B36" s="1" t="s">
        <v>623</v>
      </c>
      <c r="C36" s="9">
        <v>46276</v>
      </c>
      <c r="D36" s="9">
        <v>46315</v>
      </c>
      <c r="E36" s="1"/>
      <c r="F36" s="1"/>
      <c r="G36" s="1"/>
      <c r="H36" s="1"/>
      <c r="I36" s="1"/>
      <c r="J36" s="28" t="s">
        <v>624</v>
      </c>
      <c r="K36" s="28" t="s">
        <v>625</v>
      </c>
    </row>
    <row r="37">
      <c r="A37" s="1"/>
      <c r="B37" s="1" t="s">
        <v>626</v>
      </c>
      <c r="C37" s="9">
        <v>46196</v>
      </c>
      <c r="D37" s="9">
        <v>46315</v>
      </c>
      <c r="E37" s="1"/>
      <c r="F37" s="1"/>
      <c r="G37" s="1"/>
      <c r="H37" s="1"/>
      <c r="I37" s="1"/>
      <c r="J37" s="28" t="s">
        <v>627</v>
      </c>
      <c r="K37" s="28" t="s">
        <v>628</v>
      </c>
    </row>
    <row r="38">
      <c r="A38" s="1"/>
      <c r="B38" s="1" t="s">
        <v>629</v>
      </c>
      <c r="C38" s="9">
        <v>46129</v>
      </c>
      <c r="D38" s="9">
        <v>46315</v>
      </c>
      <c r="E38" s="1"/>
      <c r="F38" s="1"/>
      <c r="G38" s="1"/>
      <c r="H38" s="1"/>
      <c r="I38" s="1"/>
      <c r="J38" s="28" t="s">
        <v>630</v>
      </c>
      <c r="K38" s="28" t="s">
        <v>631</v>
      </c>
    </row>
    <row r="39">
      <c r="A39" s="1"/>
      <c r="B39" s="1" t="s">
        <v>632</v>
      </c>
      <c r="C39" s="9">
        <v>46162</v>
      </c>
      <c r="D39" s="9">
        <v>46315</v>
      </c>
      <c r="E39" s="1"/>
      <c r="F39" s="1"/>
      <c r="G39" s="1"/>
      <c r="H39" s="1"/>
      <c r="I39" s="1"/>
      <c r="J39" s="28" t="s">
        <v>567</v>
      </c>
      <c r="K39" s="28" t="s">
        <v>633</v>
      </c>
    </row>
    <row r="40">
      <c r="A40" s="1"/>
      <c r="B40" s="1" t="s">
        <v>634</v>
      </c>
      <c r="C40" s="9">
        <v>46210</v>
      </c>
      <c r="D40" s="9">
        <v>46315</v>
      </c>
      <c r="E40" s="1"/>
      <c r="F40" s="1"/>
      <c r="G40" s="1"/>
      <c r="H40" s="1"/>
      <c r="I40" s="1"/>
      <c r="J40" s="28" t="s">
        <v>635</v>
      </c>
      <c r="K40" s="28" t="s">
        <v>636</v>
      </c>
    </row>
    <row r="41">
      <c r="A41" s="1"/>
      <c r="B41" s="1"/>
      <c r="C41" s="1"/>
      <c r="D41" s="1"/>
      <c r="E41" s="1"/>
      <c r="F41" s="1"/>
      <c r="G41" s="1"/>
      <c r="H41" s="1"/>
      <c r="I41" s="1"/>
      <c r="J41" s="28"/>
      <c r="K41" s="28"/>
    </row>
    <row r="42">
      <c r="A42" s="1"/>
      <c r="B42" s="1" t="s">
        <v>637</v>
      </c>
      <c r="C42" s="1"/>
      <c r="D42" s="1"/>
      <c r="E42" s="1"/>
      <c r="F42" s="1"/>
      <c r="G42" s="1"/>
      <c r="H42" s="1"/>
      <c r="I42" s="1"/>
      <c r="J42" s="44" t="s">
        <v>638</v>
      </c>
      <c r="K42" s="28"/>
    </row>
    <row r="43">
      <c r="A43" s="1"/>
      <c r="B43" s="1" t="s">
        <v>639</v>
      </c>
      <c r="C43" s="1"/>
      <c r="D43" s="1"/>
      <c r="E43" s="1"/>
      <c r="F43" s="1"/>
      <c r="G43" s="1"/>
      <c r="H43" s="1"/>
      <c r="I43" s="1"/>
      <c r="J43" s="44" t="s">
        <v>640</v>
      </c>
      <c r="K43" s="28"/>
    </row>
    <row r="44">
      <c r="A44" s="1"/>
      <c r="B44" s="1" t="s">
        <v>641</v>
      </c>
      <c r="C44" s="1"/>
      <c r="D44" s="1"/>
      <c r="E44" s="1"/>
      <c r="F44" s="1"/>
      <c r="G44" s="1"/>
      <c r="H44" s="1"/>
      <c r="I44" s="1"/>
      <c r="J44" s="44" t="s">
        <v>642</v>
      </c>
      <c r="K44" s="28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K127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70" customWidth="1"/>
  </cols>
  <sheetData>
    <row r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</row>
    <row r="2">
      <c r="A2" s="1"/>
      <c r="B2" s="13" t="s">
        <v>643</v>
      </c>
      <c r="C2" s="1"/>
      <c r="D2" s="1"/>
      <c r="E2" s="1"/>
      <c r="F2" s="1"/>
      <c r="G2" s="1"/>
      <c r="H2" s="1"/>
      <c r="I2" s="1"/>
      <c r="J2" s="1"/>
      <c r="K2" s="1"/>
    </row>
    <row r="3">
      <c r="A3" s="1"/>
      <c r="B3" s="21" t="s">
        <v>2</v>
      </c>
      <c r="C3" s="1"/>
      <c r="D3" s="1"/>
      <c r="E3" s="1"/>
      <c r="F3" s="1"/>
      <c r="G3" s="1"/>
      <c r="H3" s="1"/>
      <c r="I3" s="1"/>
      <c r="J3" s="1"/>
      <c r="K3" s="1"/>
    </row>
    <row r="4">
      <c r="A4" s="1"/>
      <c r="B4" s="15" t="s">
        <v>644</v>
      </c>
      <c r="C4" s="8"/>
      <c r="D4" s="8"/>
      <c r="E4" s="8"/>
      <c r="F4" s="8"/>
      <c r="G4" s="8"/>
      <c r="H4" s="8"/>
      <c r="I4" s="8"/>
      <c r="J4" s="79" t="s">
        <v>4</v>
      </c>
      <c r="K4" s="1"/>
    </row>
    <row r="5">
      <c r="A5" s="1"/>
      <c r="B5" s="14"/>
      <c r="C5" s="5"/>
      <c r="D5" s="5"/>
      <c r="E5" s="5"/>
      <c r="F5" s="5"/>
      <c r="G5" s="5"/>
      <c r="H5" s="5"/>
      <c r="I5" s="5"/>
      <c r="J5" s="84"/>
      <c r="K5" s="1"/>
    </row>
    <row r="6">
      <c r="A6" s="1"/>
      <c r="B6" s="10"/>
      <c r="C6" s="6"/>
      <c r="D6" s="6"/>
      <c r="E6" s="6"/>
      <c r="F6" s="6"/>
      <c r="G6" s="6"/>
      <c r="H6" s="6"/>
      <c r="I6" s="6"/>
      <c r="J6" s="83"/>
      <c r="K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>
      <c r="A8" s="1"/>
      <c r="B8" s="23" t="s">
        <v>645</v>
      </c>
      <c r="C8" s="1"/>
      <c r="D8" s="1"/>
      <c r="E8" s="1"/>
      <c r="F8" s="1"/>
      <c r="G8" s="1"/>
      <c r="H8" s="1"/>
      <c r="I8" s="1"/>
      <c r="J8" s="1"/>
      <c r="K8" s="1"/>
    </row>
    <row r="9">
      <c r="A9" s="1"/>
      <c r="B9" s="12" t="s">
        <v>646</v>
      </c>
      <c r="C9" s="1" t="s">
        <v>9</v>
      </c>
      <c r="D9" s="1"/>
      <c r="E9" s="1"/>
      <c r="F9" s="1"/>
      <c r="G9" s="1"/>
      <c r="H9" s="1"/>
      <c r="I9" s="1"/>
      <c r="J9" s="1"/>
      <c r="K9" s="1"/>
    </row>
    <row r="10">
      <c r="A10" s="1"/>
      <c r="B10" s="12" t="s">
        <v>647</v>
      </c>
      <c r="C10" s="1" t="s">
        <v>7</v>
      </c>
      <c r="D10" s="1"/>
      <c r="E10" s="1"/>
      <c r="F10" s="1"/>
      <c r="G10" s="1"/>
      <c r="H10" s="1"/>
      <c r="I10" s="1"/>
      <c r="J10" s="1"/>
      <c r="K10" s="1"/>
    </row>
    <row r="11">
      <c r="A11" s="1"/>
      <c r="B11" s="12" t="s">
        <v>648</v>
      </c>
      <c r="C11" s="1" t="s">
        <v>649</v>
      </c>
      <c r="D11" s="1"/>
      <c r="E11" s="1"/>
      <c r="F11" s="1"/>
      <c r="G11" s="1"/>
      <c r="H11" s="1"/>
      <c r="I11" s="1"/>
      <c r="J11" s="1"/>
      <c r="K11" s="1"/>
    </row>
    <row r="12">
      <c r="A12" s="1"/>
      <c r="B12" s="12" t="s">
        <v>650</v>
      </c>
      <c r="C12" s="1" t="s">
        <v>651</v>
      </c>
      <c r="D12" s="1"/>
      <c r="E12" s="1"/>
      <c r="F12" s="1"/>
      <c r="G12" s="1"/>
      <c r="H12" s="1"/>
      <c r="I12" s="1"/>
      <c r="J12" s="1"/>
      <c r="K12" s="1"/>
    </row>
    <row r="13">
      <c r="A13" s="1"/>
      <c r="B13" s="12" t="s">
        <v>652</v>
      </c>
      <c r="C13" s="1" t="s">
        <v>653</v>
      </c>
      <c r="D13" s="1"/>
      <c r="E13" s="1"/>
      <c r="F13" s="1"/>
      <c r="G13" s="1"/>
      <c r="H13" s="1"/>
      <c r="I13" s="1"/>
      <c r="J13" s="1"/>
      <c r="K13" s="1"/>
    </row>
    <row r="14">
      <c r="A14" s="1"/>
      <c r="B14" s="12" t="s">
        <v>654</v>
      </c>
      <c r="C14" s="1" t="s">
        <v>655</v>
      </c>
      <c r="D14" s="1"/>
      <c r="E14" s="1"/>
      <c r="F14" s="1"/>
      <c r="G14" s="1"/>
      <c r="H14" s="1"/>
      <c r="I14" s="1"/>
      <c r="J14" s="1"/>
      <c r="K14" s="1"/>
    </row>
    <row r="15">
      <c r="A15" s="1"/>
      <c r="B15" s="12" t="s">
        <v>656</v>
      </c>
      <c r="C15" s="1" t="s">
        <v>657</v>
      </c>
      <c r="D15" s="1"/>
      <c r="E15" s="1"/>
      <c r="F15" s="1"/>
      <c r="G15" s="1"/>
      <c r="H15" s="1"/>
      <c r="I15" s="1"/>
      <c r="J15" s="1"/>
      <c r="K15" s="1"/>
    </row>
    <row r="16">
      <c r="A16" s="1"/>
      <c r="B16" s="12" t="s">
        <v>658</v>
      </c>
      <c r="C16" s="9">
        <v>46295</v>
      </c>
      <c r="D16" s="1"/>
      <c r="E16" s="1"/>
      <c r="F16" s="1"/>
      <c r="G16" s="1"/>
      <c r="H16" s="1"/>
      <c r="I16" s="1"/>
      <c r="J16" s="1"/>
      <c r="K16" s="1"/>
    </row>
    <row r="17">
      <c r="A17" s="1"/>
      <c r="B17" s="12" t="s">
        <v>659</v>
      </c>
      <c r="C17" s="9">
        <v>46331</v>
      </c>
      <c r="D17" s="1"/>
      <c r="E17" s="1"/>
      <c r="F17" s="1"/>
      <c r="G17" s="1"/>
      <c r="H17" s="1"/>
      <c r="I17" s="1"/>
      <c r="J17" s="1"/>
      <c r="K17" s="1"/>
    </row>
    <row r="18">
      <c r="A18" s="1"/>
      <c r="B18" s="12" t="s">
        <v>660</v>
      </c>
      <c r="C18" s="1" t="s">
        <v>661</v>
      </c>
      <c r="D18" s="1"/>
      <c r="E18" s="1"/>
      <c r="F18" s="1"/>
      <c r="G18" s="1"/>
      <c r="H18" s="1"/>
      <c r="I18" s="1"/>
      <c r="J18" s="1"/>
      <c r="K18" s="1"/>
    </row>
    <row r="19">
      <c r="A19" s="1"/>
      <c r="B19" s="12" t="s">
        <v>662</v>
      </c>
      <c r="C19" s="56">
        <v>14</v>
      </c>
      <c r="D19" s="61"/>
      <c r="E19" s="61"/>
      <c r="F19" s="61"/>
      <c r="G19" s="61"/>
      <c r="H19" s="61"/>
      <c r="I19" s="61"/>
      <c r="J19" s="1"/>
      <c r="K19" s="1"/>
    </row>
    <row r="20">
      <c r="A20" s="1"/>
      <c r="B20" s="12" t="s">
        <v>663</v>
      </c>
      <c r="C20" s="56">
        <v>18</v>
      </c>
      <c r="D20" s="61"/>
      <c r="E20" s="61"/>
      <c r="F20" s="61"/>
      <c r="G20" s="61"/>
      <c r="H20" s="61"/>
      <c r="I20" s="61"/>
      <c r="J20" s="1"/>
      <c r="K20" s="1"/>
    </row>
    <row r="21">
      <c r="A21" s="1"/>
      <c r="B21" s="12" t="s">
        <v>664</v>
      </c>
      <c r="C21" s="1"/>
      <c r="D21" s="1"/>
      <c r="E21" s="1"/>
      <c r="F21" s="1"/>
      <c r="G21" s="1"/>
      <c r="H21" s="1"/>
      <c r="I21" s="1"/>
      <c r="J21" s="1"/>
      <c r="K21" s="1"/>
    </row>
    <row r="22">
      <c r="A22" s="1"/>
      <c r="B22" s="12" t="s">
        <v>665</v>
      </c>
      <c r="C22" s="30">
        <v>0.13</v>
      </c>
      <c r="D22" s="38"/>
      <c r="E22" s="38"/>
      <c r="F22" s="38"/>
      <c r="G22" s="38"/>
      <c r="H22" s="38"/>
      <c r="I22" s="38"/>
      <c r="J22" s="1"/>
      <c r="K22" s="1"/>
    </row>
    <row r="23">
      <c r="A23" s="1"/>
      <c r="B23" s="12" t="s">
        <v>666</v>
      </c>
      <c r="C23" s="30">
        <v>0.18</v>
      </c>
      <c r="D23" s="38"/>
      <c r="E23" s="38"/>
      <c r="F23" s="38"/>
      <c r="G23" s="38"/>
      <c r="H23" s="38"/>
      <c r="I23" s="38"/>
      <c r="J23" s="1"/>
      <c r="K23" s="1"/>
    </row>
    <row r="24">
      <c r="A24" s="1"/>
      <c r="B24" s="12" t="s">
        <v>667</v>
      </c>
      <c r="C24" s="30">
        <v>0.26</v>
      </c>
      <c r="D24" s="38"/>
      <c r="E24" s="38"/>
      <c r="F24" s="38"/>
      <c r="G24" s="38"/>
      <c r="H24" s="38"/>
      <c r="I24" s="38"/>
      <c r="J24" s="1"/>
      <c r="K24" s="1"/>
    </row>
    <row r="25">
      <c r="A25" s="1"/>
      <c r="B25" s="12" t="s">
        <v>668</v>
      </c>
      <c r="C25" s="30">
        <v>-0.11</v>
      </c>
      <c r="D25" s="38"/>
      <c r="E25" s="38"/>
      <c r="F25" s="38"/>
      <c r="G25" s="38"/>
      <c r="H25" s="38"/>
      <c r="I25" s="38"/>
      <c r="J25" s="1"/>
      <c r="K25" s="1"/>
    </row>
    <row r="26">
      <c r="A26" s="1"/>
      <c r="B26" s="12" t="s">
        <v>669</v>
      </c>
      <c r="C26" s="30">
        <v>0.11</v>
      </c>
      <c r="D26" s="38"/>
      <c r="E26" s="38"/>
      <c r="F26" s="38"/>
      <c r="G26" s="38"/>
      <c r="H26" s="38"/>
      <c r="I26" s="38"/>
      <c r="J26" s="1"/>
      <c r="K26" s="1"/>
    </row>
    <row r="27">
      <c r="A27" s="1"/>
      <c r="B27" s="12" t="s">
        <v>670</v>
      </c>
      <c r="C27" s="56">
        <v>14</v>
      </c>
      <c r="D27" s="61"/>
      <c r="E27" s="61"/>
      <c r="F27" s="61"/>
      <c r="G27" s="61"/>
      <c r="H27" s="61"/>
      <c r="I27" s="61"/>
      <c r="J27" s="1"/>
      <c r="K27" s="1"/>
    </row>
    <row r="28">
      <c r="A28" s="1"/>
      <c r="B28" s="12" t="s">
        <v>671</v>
      </c>
      <c r="C28" s="1"/>
      <c r="D28" s="1"/>
      <c r="E28" s="1"/>
      <c r="F28" s="1"/>
      <c r="G28" s="1"/>
      <c r="H28" s="1"/>
      <c r="I28" s="1"/>
      <c r="J28" s="1"/>
      <c r="K28" s="1"/>
    </row>
    <row r="29">
      <c r="A29" s="1"/>
      <c r="B29" s="12" t="s">
        <v>672</v>
      </c>
      <c r="C29" s="1"/>
      <c r="D29" s="1"/>
      <c r="E29" s="1"/>
      <c r="F29" s="1"/>
      <c r="G29" s="1"/>
      <c r="H29" s="1"/>
      <c r="I29" s="1"/>
      <c r="J29" s="1"/>
      <c r="K29" s="1"/>
    </row>
    <row r="30">
      <c r="A30" s="1"/>
      <c r="B30" s="12" t="s">
        <v>673</v>
      </c>
      <c r="C30" s="1"/>
      <c r="D30" s="1"/>
      <c r="E30" s="1"/>
      <c r="F30" s="1"/>
      <c r="G30" s="1"/>
      <c r="H30" s="1"/>
      <c r="I30" s="1"/>
      <c r="J30" s="1"/>
      <c r="K30" s="1"/>
    </row>
    <row r="31">
      <c r="A31" s="1"/>
      <c r="B31" s="12" t="s">
        <v>674</v>
      </c>
      <c r="C31" s="30">
        <v>0.17</v>
      </c>
      <c r="D31" s="38"/>
      <c r="E31" s="38"/>
      <c r="F31" s="38"/>
      <c r="G31" s="38"/>
      <c r="H31" s="38"/>
      <c r="I31" s="38"/>
      <c r="J31" s="1"/>
      <c r="K31" s="1"/>
    </row>
    <row r="32">
      <c r="A32" s="1"/>
      <c r="B32" s="12" t="s">
        <v>675</v>
      </c>
      <c r="C32" s="30">
        <v>0.18</v>
      </c>
      <c r="D32" s="38"/>
      <c r="E32" s="38"/>
      <c r="F32" s="38"/>
      <c r="G32" s="38"/>
      <c r="H32" s="38"/>
      <c r="I32" s="38"/>
      <c r="J32" s="1"/>
      <c r="K32" s="1"/>
    </row>
    <row r="33">
      <c r="A33" s="1"/>
      <c r="B33" s="12" t="s">
        <v>676</v>
      </c>
      <c r="C33" s="30">
        <v>0.43</v>
      </c>
      <c r="D33" s="38"/>
      <c r="E33" s="38"/>
      <c r="F33" s="38"/>
      <c r="G33" s="38"/>
      <c r="H33" s="38"/>
      <c r="I33" s="38"/>
      <c r="J33" s="1"/>
      <c r="K33" s="1"/>
    </row>
    <row r="34">
      <c r="A34" s="1"/>
      <c r="B34" s="12" t="s">
        <v>677</v>
      </c>
      <c r="C34" s="30">
        <v>-0.11</v>
      </c>
      <c r="D34" s="38"/>
      <c r="E34" s="38"/>
      <c r="F34" s="38"/>
      <c r="G34" s="38"/>
      <c r="H34" s="38"/>
      <c r="I34" s="38"/>
      <c r="J34" s="1"/>
      <c r="K34" s="1"/>
    </row>
    <row r="35">
      <c r="A35" s="1"/>
      <c r="B35" s="12" t="s">
        <v>678</v>
      </c>
      <c r="C35" s="30">
        <v>0.11</v>
      </c>
      <c r="D35" s="38"/>
      <c r="E35" s="38"/>
      <c r="F35" s="38"/>
      <c r="G35" s="38"/>
      <c r="H35" s="38"/>
      <c r="I35" s="38"/>
      <c r="J35" s="1"/>
      <c r="K35" s="1"/>
    </row>
    <row r="36">
      <c r="A36" s="1"/>
      <c r="B36" s="12" t="s">
        <v>679</v>
      </c>
      <c r="C36" s="56">
        <v>17</v>
      </c>
      <c r="D36" s="61"/>
      <c r="E36" s="61"/>
      <c r="F36" s="61"/>
      <c r="G36" s="61"/>
      <c r="H36" s="61"/>
      <c r="I36" s="61"/>
      <c r="J36" s="1"/>
      <c r="K36" s="1"/>
    </row>
    <row r="37">
      <c r="A37" s="1"/>
      <c r="B37" s="12" t="s">
        <v>680</v>
      </c>
      <c r="C37" s="1"/>
      <c r="D37" s="1"/>
      <c r="E37" s="1"/>
      <c r="F37" s="1"/>
      <c r="G37" s="1"/>
      <c r="H37" s="1"/>
      <c r="I37" s="1"/>
      <c r="J37" s="1"/>
      <c r="K37" s="1"/>
    </row>
    <row r="38">
      <c r="A38" s="1"/>
      <c r="B38" s="12" t="s">
        <v>681</v>
      </c>
      <c r="C38" s="1"/>
      <c r="D38" s="1"/>
      <c r="E38" s="1"/>
      <c r="F38" s="1"/>
      <c r="G38" s="1"/>
      <c r="H38" s="1"/>
      <c r="I38" s="1"/>
      <c r="J38" s="1"/>
      <c r="K38" s="1"/>
    </row>
    <row r="39">
      <c r="A39" s="1"/>
      <c r="B39" s="12" t="s">
        <v>682</v>
      </c>
      <c r="C39" s="1"/>
      <c r="D39" s="1"/>
      <c r="E39" s="1"/>
      <c r="F39" s="1"/>
      <c r="G39" s="1"/>
      <c r="H39" s="1"/>
      <c r="I39" s="1"/>
      <c r="J39" s="1"/>
      <c r="K39" s="1"/>
    </row>
    <row r="40">
      <c r="A40" s="1"/>
      <c r="B40" s="12" t="s">
        <v>683</v>
      </c>
      <c r="C40" s="62">
        <v>13022.56</v>
      </c>
      <c r="D40" s="60"/>
      <c r="E40" s="60"/>
      <c r="F40" s="60"/>
      <c r="G40" s="60"/>
      <c r="H40" s="60"/>
      <c r="I40" s="60"/>
      <c r="J40" s="1"/>
      <c r="K40" s="1"/>
    </row>
    <row r="41">
      <c r="A41" s="1"/>
      <c r="B41" s="12" t="s">
        <v>684</v>
      </c>
      <c r="C41" s="62">
        <v>13161.85</v>
      </c>
      <c r="D41" s="60"/>
      <c r="E41" s="60"/>
      <c r="F41" s="60"/>
      <c r="G41" s="60"/>
      <c r="H41" s="60"/>
      <c r="I41" s="60"/>
      <c r="J41" s="1"/>
      <c r="K41" s="1"/>
    </row>
    <row r="42">
      <c r="A42" s="1"/>
      <c r="B42" s="12" t="s">
        <v>685</v>
      </c>
      <c r="C42" s="62">
        <v>15190.29</v>
      </c>
      <c r="D42" s="60"/>
      <c r="E42" s="60"/>
      <c r="F42" s="60"/>
      <c r="G42" s="60"/>
      <c r="H42" s="60"/>
      <c r="I42" s="60"/>
      <c r="J42" s="1"/>
      <c r="K42" s="1"/>
    </row>
    <row r="43">
      <c r="A43" s="1"/>
      <c r="B43" s="12" t="s">
        <v>686</v>
      </c>
      <c r="C43" s="62">
        <v>11469</v>
      </c>
      <c r="D43" s="60"/>
      <c r="E43" s="60"/>
      <c r="F43" s="60"/>
      <c r="G43" s="60"/>
      <c r="H43" s="60"/>
      <c r="I43" s="60"/>
      <c r="J43" s="1"/>
      <c r="K43" s="1"/>
    </row>
    <row r="44">
      <c r="A44" s="1"/>
      <c r="B44" s="12" t="s">
        <v>687</v>
      </c>
      <c r="C44" s="62">
        <v>899.64</v>
      </c>
      <c r="D44" s="60"/>
      <c r="E44" s="60"/>
      <c r="F44" s="60"/>
      <c r="G44" s="60"/>
      <c r="H44" s="60"/>
      <c r="I44" s="60"/>
      <c r="J44" s="1"/>
      <c r="K44" s="1"/>
    </row>
    <row r="45">
      <c r="A45" s="1"/>
      <c r="B45" s="12" t="s">
        <v>688</v>
      </c>
      <c r="C45" s="56">
        <v>18</v>
      </c>
      <c r="D45" s="61"/>
      <c r="E45" s="61"/>
      <c r="F45" s="61"/>
      <c r="G45" s="61"/>
      <c r="H45" s="61"/>
      <c r="I45" s="61"/>
      <c r="J45" s="1"/>
      <c r="K45" s="1"/>
    </row>
    <row r="46">
      <c r="A46" s="1"/>
      <c r="B46" s="12" t="s">
        <v>689</v>
      </c>
      <c r="C46" s="1"/>
      <c r="D46" s="1"/>
      <c r="E46" s="1"/>
      <c r="F46" s="1"/>
      <c r="G46" s="1"/>
      <c r="H46" s="1"/>
      <c r="I46" s="1"/>
      <c r="J46" s="1"/>
      <c r="K46" s="1"/>
    </row>
    <row r="47">
      <c r="A47" s="1"/>
      <c r="B47" s="12" t="s">
        <v>690</v>
      </c>
      <c r="C47" s="1"/>
      <c r="D47" s="1"/>
      <c r="E47" s="1"/>
      <c r="F47" s="1"/>
      <c r="G47" s="1"/>
      <c r="H47" s="1"/>
      <c r="I47" s="1"/>
      <c r="J47" s="1"/>
      <c r="K47" s="1"/>
    </row>
    <row r="48">
      <c r="A48" s="1"/>
      <c r="B48" s="12" t="s">
        <v>691</v>
      </c>
      <c r="C48" s="1"/>
      <c r="D48" s="1"/>
      <c r="E48" s="1"/>
      <c r="F48" s="1"/>
      <c r="G48" s="1"/>
      <c r="H48" s="1"/>
      <c r="I48" s="1"/>
      <c r="J48" s="1"/>
      <c r="K48" s="1"/>
    </row>
    <row r="49">
      <c r="A49" s="1"/>
      <c r="B49" s="12" t="s">
        <v>692</v>
      </c>
      <c r="C49" s="62">
        <v>6674.45</v>
      </c>
      <c r="D49" s="60"/>
      <c r="E49" s="60"/>
      <c r="F49" s="60"/>
      <c r="G49" s="60"/>
      <c r="H49" s="60"/>
      <c r="I49" s="60"/>
      <c r="J49" s="1"/>
      <c r="K49" s="1"/>
    </row>
    <row r="50">
      <c r="A50" s="1"/>
      <c r="B50" s="12" t="s">
        <v>693</v>
      </c>
      <c r="C50" s="62">
        <v>2398.13</v>
      </c>
      <c r="D50" s="60"/>
      <c r="E50" s="60"/>
      <c r="F50" s="60"/>
      <c r="G50" s="60"/>
      <c r="H50" s="60"/>
      <c r="I50" s="60"/>
      <c r="J50" s="1"/>
      <c r="K50" s="1"/>
    </row>
    <row r="51">
      <c r="A51" s="1"/>
      <c r="B51" s="12" t="s">
        <v>694</v>
      </c>
      <c r="C51" s="62">
        <v>1742.09</v>
      </c>
      <c r="D51" s="60"/>
      <c r="E51" s="60"/>
      <c r="F51" s="60"/>
      <c r="G51" s="60"/>
      <c r="H51" s="60"/>
      <c r="I51" s="60"/>
      <c r="J51" s="1"/>
      <c r="K51" s="1"/>
    </row>
    <row r="52">
      <c r="A52" s="1"/>
      <c r="B52" s="12" t="s">
        <v>695</v>
      </c>
      <c r="C52" s="62">
        <v>2183.19</v>
      </c>
      <c r="D52" s="60"/>
      <c r="E52" s="60"/>
      <c r="F52" s="60"/>
      <c r="G52" s="60"/>
      <c r="H52" s="60"/>
      <c r="I52" s="60"/>
      <c r="J52" s="1"/>
      <c r="K52" s="1"/>
    </row>
    <row r="53">
      <c r="A53" s="1"/>
      <c r="B53" s="12" t="s">
        <v>696</v>
      </c>
      <c r="C53" s="62">
        <v>1951.23</v>
      </c>
      <c r="D53" s="60"/>
      <c r="E53" s="60"/>
      <c r="F53" s="60"/>
      <c r="G53" s="60"/>
      <c r="H53" s="60"/>
      <c r="I53" s="60"/>
      <c r="J53" s="1"/>
      <c r="K53" s="1"/>
    </row>
    <row r="54">
      <c r="A54" s="1"/>
      <c r="B54" s="12" t="s">
        <v>697</v>
      </c>
      <c r="C54" s="62">
        <v>2144.97</v>
      </c>
      <c r="D54" s="60"/>
      <c r="E54" s="60"/>
      <c r="F54" s="60"/>
      <c r="G54" s="60"/>
      <c r="H54" s="60"/>
      <c r="I54" s="60"/>
      <c r="J54" s="1"/>
      <c r="K54" s="1"/>
    </row>
    <row r="55">
      <c r="A55" s="1"/>
      <c r="B55" s="12" t="s">
        <v>698</v>
      </c>
      <c r="C55" s="1"/>
      <c r="D55" s="1"/>
      <c r="E55" s="1"/>
      <c r="F55" s="1"/>
      <c r="G55" s="1"/>
      <c r="H55" s="1"/>
      <c r="I55" s="1"/>
      <c r="J55" s="1"/>
      <c r="K55" s="1"/>
    </row>
    <row r="56">
      <c r="A56" s="1"/>
      <c r="B56" s="12" t="s">
        <v>699</v>
      </c>
      <c r="C56" s="1"/>
      <c r="D56" s="1"/>
      <c r="E56" s="1"/>
      <c r="F56" s="1"/>
      <c r="G56" s="1"/>
      <c r="H56" s="1"/>
      <c r="I56" s="1"/>
      <c r="J56" s="1"/>
      <c r="K56" s="1"/>
    </row>
    <row r="57">
      <c r="A57" s="1"/>
      <c r="B57" s="12" t="s">
        <v>700</v>
      </c>
      <c r="C57" s="62">
        <v>3800.38</v>
      </c>
      <c r="D57" s="60"/>
      <c r="E57" s="60"/>
      <c r="F57" s="60"/>
      <c r="G57" s="60"/>
      <c r="H57" s="60"/>
      <c r="I57" s="60"/>
      <c r="J57" s="1"/>
      <c r="K57" s="1"/>
    </row>
    <row r="58">
      <c r="A58" s="1"/>
      <c r="B58" s="12" t="s">
        <v>701</v>
      </c>
      <c r="C58" s="1"/>
      <c r="D58" s="1"/>
      <c r="E58" s="1"/>
      <c r="F58" s="1"/>
      <c r="G58" s="1"/>
      <c r="H58" s="1"/>
      <c r="I58" s="1"/>
      <c r="J58" s="1"/>
      <c r="K58" s="1"/>
    </row>
    <row r="59">
      <c r="A59" s="1"/>
      <c r="B59" s="12" t="s">
        <v>702</v>
      </c>
      <c r="C59" s="1"/>
      <c r="D59" s="1"/>
      <c r="E59" s="1"/>
      <c r="F59" s="1"/>
      <c r="G59" s="1"/>
      <c r="H59" s="1"/>
      <c r="I59" s="1"/>
      <c r="J59" s="1"/>
      <c r="K59" s="1"/>
    </row>
    <row r="60">
      <c r="A60" s="1"/>
      <c r="B60" s="12" t="s">
        <v>703</v>
      </c>
      <c r="C60" s="1"/>
      <c r="D60" s="1"/>
      <c r="E60" s="1"/>
      <c r="F60" s="1"/>
      <c r="G60" s="1"/>
      <c r="H60" s="1"/>
      <c r="I60" s="1"/>
      <c r="J60" s="1"/>
      <c r="K60" s="1"/>
    </row>
    <row r="61">
      <c r="A61" s="1"/>
      <c r="B61" s="12" t="s">
        <v>704</v>
      </c>
      <c r="C61" s="62">
        <v>-552</v>
      </c>
      <c r="D61" s="60"/>
      <c r="E61" s="60"/>
      <c r="F61" s="60"/>
      <c r="G61" s="60"/>
      <c r="H61" s="60"/>
      <c r="I61" s="60"/>
      <c r="J61" s="1"/>
      <c r="K61" s="1"/>
    </row>
    <row r="62">
      <c r="A62" s="1"/>
      <c r="B62" s="12" t="s">
        <v>705</v>
      </c>
      <c r="C62" s="62">
        <v>-45275.43</v>
      </c>
      <c r="D62" s="60"/>
      <c r="E62" s="60"/>
      <c r="F62" s="60"/>
      <c r="G62" s="60"/>
      <c r="H62" s="60"/>
      <c r="I62" s="60"/>
      <c r="J62" s="1"/>
      <c r="K62" s="1"/>
    </row>
    <row r="63">
      <c r="A63" s="1"/>
      <c r="B63" s="12" t="s">
        <v>706</v>
      </c>
      <c r="C63" s="1"/>
      <c r="D63" s="1"/>
      <c r="E63" s="1"/>
      <c r="F63" s="1"/>
      <c r="G63" s="1"/>
      <c r="H63" s="1"/>
      <c r="I63" s="1"/>
      <c r="J63" s="1"/>
      <c r="K63" s="1"/>
    </row>
    <row r="64">
      <c r="A64" s="1"/>
      <c r="B64" s="12" t="s">
        <v>707</v>
      </c>
      <c r="C64" s="1"/>
      <c r="D64" s="1"/>
      <c r="E64" s="1"/>
      <c r="F64" s="1"/>
      <c r="G64" s="1"/>
      <c r="H64" s="1"/>
      <c r="I64" s="1"/>
      <c r="J64" s="1"/>
      <c r="K64" s="1"/>
    </row>
    <row r="65">
      <c r="A65" s="1"/>
      <c r="B65" s="12" t="s">
        <v>708</v>
      </c>
      <c r="C65" s="62">
        <v>222.71</v>
      </c>
      <c r="D65" s="60"/>
      <c r="E65" s="60"/>
      <c r="F65" s="60"/>
      <c r="G65" s="60"/>
      <c r="H65" s="60"/>
      <c r="I65" s="60"/>
      <c r="J65" s="1"/>
      <c r="K65" s="1"/>
    </row>
    <row r="66">
      <c r="A66" s="1"/>
      <c r="B66" s="12" t="s">
        <v>709</v>
      </c>
      <c r="C66" s="62">
        <v>225</v>
      </c>
      <c r="D66" s="60"/>
      <c r="E66" s="60"/>
      <c r="F66" s="60"/>
      <c r="G66" s="60"/>
      <c r="H66" s="60"/>
      <c r="I66" s="60"/>
      <c r="J66" s="1"/>
      <c r="K66" s="1"/>
    </row>
    <row r="67">
      <c r="A67" s="1"/>
      <c r="B67" s="12" t="s">
        <v>710</v>
      </c>
      <c r="C67" s="62">
        <v>450</v>
      </c>
      <c r="D67" s="60"/>
      <c r="E67" s="60"/>
      <c r="F67" s="60"/>
      <c r="G67" s="60"/>
      <c r="H67" s="60"/>
      <c r="I67" s="60"/>
      <c r="J67" s="1"/>
      <c r="K67" s="1"/>
    </row>
    <row r="68">
      <c r="A68" s="1"/>
      <c r="B68" s="12" t="s">
        <v>711</v>
      </c>
      <c r="C68" s="62">
        <v>118</v>
      </c>
      <c r="D68" s="60"/>
      <c r="E68" s="60"/>
      <c r="F68" s="60"/>
      <c r="G68" s="60"/>
      <c r="H68" s="60"/>
      <c r="I68" s="60"/>
      <c r="J68" s="1"/>
      <c r="K68" s="1"/>
    </row>
    <row r="69">
      <c r="A69" s="1"/>
      <c r="B69" s="12" t="s">
        <v>712</v>
      </c>
      <c r="C69" s="62">
        <v>59.04</v>
      </c>
      <c r="D69" s="60"/>
      <c r="E69" s="60"/>
      <c r="F69" s="60"/>
      <c r="G69" s="60"/>
      <c r="H69" s="60"/>
      <c r="I69" s="60"/>
      <c r="J69" s="1"/>
      <c r="K69" s="1"/>
    </row>
    <row r="70">
      <c r="A70" s="1"/>
      <c r="B70" s="12" t="s">
        <v>713</v>
      </c>
      <c r="C70" s="56">
        <v>31</v>
      </c>
      <c r="D70" s="61"/>
      <c r="E70" s="61"/>
      <c r="F70" s="61"/>
      <c r="G70" s="61"/>
      <c r="H70" s="61"/>
      <c r="I70" s="61"/>
      <c r="J70" s="1"/>
      <c r="K70" s="1"/>
    </row>
    <row r="71">
      <c r="A71" s="1"/>
      <c r="B71" s="12" t="s">
        <v>714</v>
      </c>
      <c r="C71" s="1" t="s">
        <v>715</v>
      </c>
      <c r="D71" s="1"/>
      <c r="E71" s="1"/>
      <c r="F71" s="1"/>
      <c r="G71" s="1"/>
      <c r="H71" s="1"/>
      <c r="I71" s="1"/>
      <c r="J71" s="1"/>
      <c r="K71" s="1"/>
    </row>
    <row r="72">
      <c r="A72" s="1"/>
      <c r="B72" s="12" t="s">
        <v>716</v>
      </c>
      <c r="C72" s="62">
        <v>1.79</v>
      </c>
      <c r="D72" s="60"/>
      <c r="E72" s="60"/>
      <c r="F72" s="60"/>
      <c r="G72" s="60"/>
      <c r="H72" s="60"/>
      <c r="I72" s="60"/>
      <c r="J72" s="1"/>
      <c r="K72" s="1"/>
    </row>
    <row r="73">
      <c r="A73" s="1"/>
      <c r="B73" s="12" t="s">
        <v>717</v>
      </c>
      <c r="C73" s="62">
        <v>146.03</v>
      </c>
      <c r="D73" s="60"/>
      <c r="E73" s="60"/>
      <c r="F73" s="60"/>
      <c r="G73" s="60"/>
      <c r="H73" s="60"/>
      <c r="I73" s="60"/>
      <c r="J73" s="1"/>
      <c r="K73" s="1"/>
    </row>
    <row r="74">
      <c r="A74" s="1"/>
      <c r="B74" s="12" t="s">
        <v>718</v>
      </c>
      <c r="C74" s="1" t="s">
        <v>719</v>
      </c>
      <c r="D74" s="1"/>
      <c r="E74" s="1"/>
      <c r="F74" s="1"/>
      <c r="G74" s="1"/>
      <c r="H74" s="1"/>
      <c r="I74" s="1"/>
      <c r="J74" s="1"/>
      <c r="K74" s="1"/>
    </row>
    <row r="75">
      <c r="A75" s="1"/>
      <c r="B75" s="12" t="s">
        <v>720</v>
      </c>
      <c r="C75" s="9">
        <v>46313</v>
      </c>
      <c r="D75" s="1"/>
      <c r="E75" s="1"/>
      <c r="F75" s="1"/>
      <c r="G75" s="1"/>
      <c r="H75" s="1"/>
      <c r="I75" s="1"/>
      <c r="J75" s="1"/>
      <c r="K75" s="1"/>
    </row>
    <row r="76">
      <c r="A76" s="1"/>
      <c r="B76" s="12" t="s">
        <v>721</v>
      </c>
      <c r="C76" s="1" t="s">
        <v>722</v>
      </c>
      <c r="D76" s="1"/>
      <c r="E76" s="1"/>
      <c r="F76" s="1"/>
      <c r="G76" s="1"/>
      <c r="H76" s="1"/>
      <c r="I76" s="1"/>
      <c r="J76" s="1"/>
      <c r="K76" s="1"/>
    </row>
    <row r="77">
      <c r="A77" s="1"/>
      <c r="B77" s="23" t="s">
        <v>723</v>
      </c>
      <c r="C77" s="1"/>
      <c r="D77" s="1"/>
      <c r="E77" s="1"/>
      <c r="F77" s="1"/>
      <c r="G77" s="1"/>
      <c r="H77" s="1"/>
      <c r="I77" s="1"/>
      <c r="J77" s="1"/>
      <c r="K77" s="1"/>
    </row>
    <row r="78">
      <c r="A78" s="1"/>
      <c r="B78" s="12" t="s">
        <v>724</v>
      </c>
      <c r="C78" s="1" t="s">
        <v>725</v>
      </c>
      <c r="D78" s="1"/>
      <c r="E78" s="1"/>
      <c r="F78" s="1"/>
      <c r="G78" s="1"/>
      <c r="H78" s="1"/>
      <c r="I78" s="1"/>
      <c r="J78" s="1"/>
      <c r="K78" s="1"/>
    </row>
    <row r="79">
      <c r="A79" s="1"/>
      <c r="B79" s="12" t="s">
        <v>726</v>
      </c>
      <c r="C79" s="9">
        <v>46313</v>
      </c>
      <c r="D79" s="1"/>
      <c r="E79" s="1"/>
      <c r="F79" s="1"/>
      <c r="G79" s="1"/>
      <c r="H79" s="1"/>
      <c r="I79" s="1"/>
      <c r="J79" s="1"/>
      <c r="K79" s="1"/>
    </row>
    <row r="80">
      <c r="A80" s="1"/>
      <c r="B80" s="12" t="s">
        <v>727</v>
      </c>
      <c r="C80" s="56">
        <v>14</v>
      </c>
      <c r="D80" s="61"/>
      <c r="E80" s="61"/>
      <c r="F80" s="61"/>
      <c r="G80" s="61"/>
      <c r="H80" s="61"/>
      <c r="I80" s="61"/>
      <c r="J80" s="1"/>
      <c r="K80" s="1"/>
    </row>
    <row r="81">
      <c r="A81" s="1"/>
      <c r="B81" s="12" t="s">
        <v>728</v>
      </c>
      <c r="C81" s="30">
        <v>0.13</v>
      </c>
      <c r="D81" s="38"/>
      <c r="E81" s="38"/>
      <c r="F81" s="38"/>
      <c r="G81" s="38"/>
      <c r="H81" s="38"/>
      <c r="I81" s="38"/>
      <c r="J81" s="1"/>
      <c r="K81" s="1"/>
    </row>
    <row r="82">
      <c r="A82" s="1"/>
      <c r="B82" s="12" t="s">
        <v>729</v>
      </c>
      <c r="C82" s="62">
        <v>13022.56</v>
      </c>
      <c r="D82" s="60"/>
      <c r="E82" s="60"/>
      <c r="F82" s="60"/>
      <c r="G82" s="60"/>
      <c r="H82" s="60"/>
      <c r="I82" s="60"/>
      <c r="J82" s="1"/>
      <c r="K82" s="1"/>
    </row>
    <row r="83">
      <c r="A83" s="1"/>
      <c r="B83" s="12" t="s">
        <v>730</v>
      </c>
      <c r="C83" s="1" t="s">
        <v>653</v>
      </c>
      <c r="D83" s="1"/>
      <c r="E83" s="1"/>
      <c r="F83" s="1"/>
      <c r="G83" s="1"/>
      <c r="H83" s="1"/>
      <c r="I83" s="1"/>
      <c r="J83" s="1"/>
      <c r="K83" s="1"/>
    </row>
    <row r="84">
      <c r="A84" s="1"/>
      <c r="B84" s="12" t="s">
        <v>731</v>
      </c>
      <c r="C84" s="1" t="s">
        <v>732</v>
      </c>
      <c r="D84" s="1"/>
      <c r="E84" s="1"/>
      <c r="F84" s="1"/>
      <c r="G84" s="1"/>
      <c r="H84" s="1"/>
      <c r="I84" s="1"/>
      <c r="J84" s="1"/>
      <c r="K84" s="1"/>
    </row>
    <row r="85">
      <c r="A85" s="1"/>
      <c r="B85" s="12" t="s">
        <v>733</v>
      </c>
      <c r="C85" s="1" t="s">
        <v>734</v>
      </c>
      <c r="D85" s="1"/>
      <c r="E85" s="1"/>
      <c r="F85" s="1"/>
      <c r="G85" s="1"/>
      <c r="H85" s="1"/>
      <c r="I85" s="1"/>
      <c r="J85" s="1"/>
      <c r="K85" s="1"/>
    </row>
    <row r="86">
      <c r="A86" s="1"/>
      <c r="B86" s="12" t="s">
        <v>735</v>
      </c>
      <c r="C86" s="1" t="s">
        <v>653</v>
      </c>
      <c r="D86" s="1"/>
      <c r="E86" s="1"/>
      <c r="F86" s="1"/>
      <c r="G86" s="1"/>
      <c r="H86" s="1"/>
      <c r="I86" s="1"/>
      <c r="J86" s="1"/>
      <c r="K86" s="1"/>
    </row>
    <row r="87">
      <c r="A87" s="1"/>
      <c r="B87" s="23" t="s">
        <v>736</v>
      </c>
      <c r="C87" s="1"/>
      <c r="D87" s="1"/>
      <c r="E87" s="1"/>
      <c r="F87" s="1"/>
      <c r="G87" s="1"/>
      <c r="H87" s="1"/>
      <c r="I87" s="1"/>
      <c r="J87" s="1"/>
      <c r="K87" s="1"/>
    </row>
    <row r="88">
      <c r="A88" s="1"/>
      <c r="B88" s="12" t="s">
        <v>737</v>
      </c>
      <c r="C88" s="9">
        <v>46203</v>
      </c>
      <c r="D88" s="1"/>
      <c r="E88" s="1"/>
      <c r="F88" s="1"/>
      <c r="G88" s="1"/>
      <c r="H88" s="1"/>
      <c r="I88" s="1"/>
      <c r="J88" s="1"/>
      <c r="K88" s="1"/>
    </row>
    <row r="89">
      <c r="A89" s="1"/>
      <c r="B89" s="12" t="s">
        <v>738</v>
      </c>
      <c r="C89" s="1"/>
      <c r="D89" s="1"/>
      <c r="E89" s="1"/>
      <c r="F89" s="1"/>
      <c r="G89" s="1"/>
      <c r="H89" s="1"/>
      <c r="I89" s="1"/>
      <c r="J89" s="1"/>
      <c r="K89" s="1"/>
    </row>
    <row r="90">
      <c r="A90" s="1"/>
      <c r="B90" s="12" t="s">
        <v>739</v>
      </c>
      <c r="C90" s="1"/>
      <c r="D90" s="1"/>
      <c r="E90" s="1"/>
      <c r="F90" s="1"/>
      <c r="G90" s="1"/>
      <c r="H90" s="1"/>
      <c r="I90" s="1"/>
      <c r="J90" s="1"/>
      <c r="K90" s="1"/>
    </row>
    <row r="91">
      <c r="A91" s="1"/>
      <c r="B91" s="12" t="s">
        <v>740</v>
      </c>
      <c r="C91" s="30">
        <v>-0.09</v>
      </c>
      <c r="D91" s="38"/>
      <c r="E91" s="38"/>
      <c r="F91" s="38"/>
      <c r="G91" s="38"/>
      <c r="H91" s="38"/>
      <c r="I91" s="38"/>
      <c r="J91" s="1"/>
      <c r="K91" s="1"/>
    </row>
    <row r="92">
      <c r="A92" s="1"/>
      <c r="B92" s="12" t="s">
        <v>741</v>
      </c>
      <c r="C92" s="1"/>
      <c r="D92" s="1"/>
      <c r="E92" s="1"/>
      <c r="F92" s="1"/>
      <c r="G92" s="1"/>
      <c r="H92" s="1"/>
      <c r="I92" s="1"/>
      <c r="J92" s="1"/>
      <c r="K92" s="1"/>
    </row>
    <row r="93">
      <c r="A93" s="1"/>
      <c r="B93" s="12" t="s">
        <v>742</v>
      </c>
      <c r="C93" s="1"/>
      <c r="D93" s="1"/>
      <c r="E93" s="1"/>
      <c r="F93" s="1"/>
      <c r="G93" s="1"/>
      <c r="H93" s="1"/>
      <c r="I93" s="1"/>
      <c r="J93" s="1"/>
      <c r="K93" s="1"/>
    </row>
    <row r="94">
      <c r="A94" s="1"/>
      <c r="B94" s="12" t="s">
        <v>743</v>
      </c>
      <c r="C94" s="1"/>
      <c r="D94" s="1"/>
      <c r="E94" s="1"/>
      <c r="F94" s="1"/>
      <c r="G94" s="1"/>
      <c r="H94" s="1"/>
      <c r="I94" s="1"/>
      <c r="J94" s="1"/>
      <c r="K94" s="1"/>
    </row>
    <row r="95">
      <c r="A95" s="1"/>
      <c r="B95" s="12" t="s">
        <v>744</v>
      </c>
      <c r="C95" s="1"/>
      <c r="D95" s="1"/>
      <c r="E95" s="1"/>
      <c r="F95" s="1"/>
      <c r="G95" s="1"/>
      <c r="H95" s="1"/>
      <c r="I95" s="1"/>
      <c r="J95" s="1"/>
      <c r="K95" s="1"/>
    </row>
    <row r="96">
      <c r="A96" s="1"/>
      <c r="B96" s="23" t="s">
        <v>745</v>
      </c>
      <c r="C96" s="1"/>
      <c r="D96" s="1"/>
      <c r="E96" s="1"/>
      <c r="F96" s="1"/>
      <c r="G96" s="1"/>
      <c r="H96" s="1"/>
      <c r="I96" s="1"/>
      <c r="J96" s="1"/>
      <c r="K96" s="1"/>
    </row>
    <row r="97">
      <c r="A97" s="1"/>
      <c r="B97" s="12" t="s">
        <v>746</v>
      </c>
      <c r="C97" s="34">
        <v>14015</v>
      </c>
      <c r="D97" s="26"/>
      <c r="E97" s="26"/>
      <c r="F97" s="26"/>
      <c r="G97" s="26"/>
      <c r="H97" s="26"/>
      <c r="I97" s="26"/>
      <c r="J97" s="1"/>
      <c r="K97" s="1"/>
    </row>
    <row r="98">
      <c r="A98" s="1"/>
      <c r="B98" s="12" t="s">
        <v>747</v>
      </c>
      <c r="C98" s="34">
        <v>3796</v>
      </c>
      <c r="D98" s="26"/>
      <c r="E98" s="26"/>
      <c r="F98" s="26"/>
      <c r="G98" s="26"/>
      <c r="H98" s="26"/>
      <c r="I98" s="26"/>
      <c r="J98" s="1"/>
      <c r="K98" s="1"/>
    </row>
    <row r="99">
      <c r="A99" s="1"/>
      <c r="B99" s="12" t="s">
        <v>748</v>
      </c>
      <c r="C99" s="34">
        <v>7599</v>
      </c>
      <c r="D99" s="26"/>
      <c r="E99" s="26"/>
      <c r="F99" s="26"/>
      <c r="G99" s="26"/>
      <c r="H99" s="26"/>
      <c r="I99" s="26"/>
      <c r="J99" s="1"/>
      <c r="K99" s="1"/>
    </row>
    <row r="100">
      <c r="A100" s="1"/>
      <c r="B100" s="12" t="s">
        <v>749</v>
      </c>
      <c r="C100" s="34">
        <v>2620</v>
      </c>
      <c r="D100" s="26"/>
      <c r="E100" s="26"/>
      <c r="F100" s="26"/>
      <c r="G100" s="26"/>
      <c r="H100" s="26"/>
      <c r="I100" s="26"/>
      <c r="J100" s="1"/>
      <c r="K100" s="1"/>
    </row>
    <row r="101">
      <c r="A101" s="1"/>
      <c r="B101" s="12" t="s">
        <v>750</v>
      </c>
      <c r="C101" s="34">
        <v>2584</v>
      </c>
      <c r="D101" s="26"/>
      <c r="E101" s="26"/>
      <c r="F101" s="26"/>
      <c r="G101" s="26"/>
      <c r="H101" s="26"/>
      <c r="I101" s="26"/>
      <c r="J101" s="1"/>
      <c r="K101" s="1"/>
    </row>
    <row r="102">
      <c r="A102" s="1"/>
      <c r="B102" s="12" t="s">
        <v>751</v>
      </c>
      <c r="C102" s="26">
        <f>C98-C101</f>
        <v>1212</v>
      </c>
      <c r="D102" s="26"/>
      <c r="E102" s="26"/>
      <c r="F102" s="26"/>
      <c r="G102" s="26"/>
      <c r="H102" s="26"/>
      <c r="I102" s="26"/>
      <c r="J102" s="11" t="s">
        <v>752</v>
      </c>
      <c r="K102" s="1"/>
    </row>
    <row r="103">
      <c r="A103" s="1"/>
      <c r="B103" s="12" t="s">
        <v>753</v>
      </c>
      <c r="C103" s="34">
        <v>2769</v>
      </c>
      <c r="D103" s="26"/>
      <c r="E103" s="26"/>
      <c r="F103" s="26"/>
      <c r="G103" s="26"/>
      <c r="H103" s="26"/>
      <c r="I103" s="26"/>
      <c r="J103" s="1"/>
      <c r="K103" s="1"/>
    </row>
    <row r="104">
      <c r="A104" s="1"/>
      <c r="B104" s="12" t="s">
        <v>754</v>
      </c>
      <c r="C104" s="26">
        <f>C99-C103</f>
        <v>4830</v>
      </c>
      <c r="D104" s="26"/>
      <c r="E104" s="26"/>
      <c r="F104" s="26"/>
      <c r="G104" s="26"/>
      <c r="H104" s="26"/>
      <c r="I104" s="26"/>
      <c r="J104" s="1"/>
      <c r="K104" s="1"/>
    </row>
    <row r="105">
      <c r="A105" s="1"/>
      <c r="B105" s="12" t="s">
        <v>755</v>
      </c>
      <c r="C105" s="34">
        <v>892</v>
      </c>
      <c r="D105" s="26"/>
      <c r="E105" s="26"/>
      <c r="F105" s="26"/>
      <c r="G105" s="26"/>
      <c r="H105" s="26"/>
      <c r="I105" s="26"/>
      <c r="J105" s="1"/>
      <c r="K105" s="1"/>
    </row>
    <row r="106">
      <c r="A106" s="1"/>
      <c r="B106" s="12" t="s">
        <v>756</v>
      </c>
      <c r="C106" s="26">
        <f>C100-C105</f>
        <v>1728</v>
      </c>
      <c r="D106" s="26"/>
      <c r="E106" s="26"/>
      <c r="F106" s="26"/>
      <c r="G106" s="26"/>
      <c r="H106" s="26"/>
      <c r="I106" s="26"/>
      <c r="J106" s="1"/>
      <c r="K106" s="1"/>
    </row>
    <row r="107">
      <c r="A107" s="1"/>
      <c r="B107" s="23" t="s">
        <v>757</v>
      </c>
      <c r="C107" s="1"/>
      <c r="D107" s="1"/>
      <c r="E107" s="1"/>
      <c r="F107" s="1"/>
      <c r="G107" s="1"/>
      <c r="H107" s="1"/>
      <c r="I107" s="1"/>
      <c r="J107" s="87" t="s">
        <v>758</v>
      </c>
      <c r="K107" s="1"/>
    </row>
    <row r="108">
      <c r="A108" s="1"/>
      <c r="B108" s="12" t="s">
        <v>759</v>
      </c>
      <c r="C108" s="60">
        <f>C73</f>
        <v>146.03</v>
      </c>
      <c r="D108" s="60"/>
      <c r="E108" s="60"/>
      <c r="F108" s="60"/>
      <c r="G108" s="60"/>
      <c r="H108" s="60"/>
      <c r="I108" s="60"/>
      <c r="J108" s="11" t="s">
        <v>760</v>
      </c>
      <c r="K108" s="1"/>
    </row>
    <row r="109">
      <c r="A109" s="1"/>
      <c r="B109" s="12" t="s">
        <v>761</v>
      </c>
      <c r="C109" s="22">
        <f>'Share Count'!I12</f>
        <v>13181.78</v>
      </c>
      <c r="D109" s="26"/>
      <c r="E109" s="26"/>
      <c r="F109" s="26"/>
      <c r="G109" s="26"/>
      <c r="H109" s="26"/>
      <c r="I109" s="26"/>
      <c r="J109" s="11" t="s">
        <v>762</v>
      </c>
      <c r="K109" s="1"/>
    </row>
    <row r="110">
      <c r="A110" s="1"/>
      <c r="B110" s="12" t="s">
        <v>763</v>
      </c>
      <c r="C110" s="26">
        <f>C108*C109</f>
        <v>1924935.3334000001</v>
      </c>
      <c r="D110" s="26"/>
      <c r="E110" s="26"/>
      <c r="F110" s="26"/>
      <c r="G110" s="26"/>
      <c r="H110" s="26"/>
      <c r="I110" s="26"/>
      <c r="J110" s="11" t="s">
        <v>764</v>
      </c>
      <c r="K110" s="1"/>
    </row>
    <row r="111">
      <c r="A111" s="1"/>
      <c r="B111" s="12" t="s">
        <v>765</v>
      </c>
      <c r="C111" s="1" t="str">
        <f>IF(C110&gt;10000,"large",IF(C110&gt;2000,"mid","small"))</f>
        <v>large</v>
      </c>
      <c r="D111" s="1"/>
      <c r="E111" s="1"/>
      <c r="F111" s="1"/>
      <c r="G111" s="1"/>
      <c r="H111" s="1"/>
      <c r="I111" s="1"/>
      <c r="J111" s="11" t="s">
        <v>766</v>
      </c>
      <c r="K111" s="1"/>
    </row>
    <row r="112">
      <c r="A112" s="1"/>
      <c r="B112" s="12" t="s">
        <v>767</v>
      </c>
      <c r="C112" s="1" t="s">
        <v>768</v>
      </c>
      <c r="D112" s="1"/>
      <c r="E112" s="1"/>
      <c r="F112" s="1"/>
      <c r="G112" s="1"/>
      <c r="H112" s="1"/>
      <c r="I112" s="1"/>
      <c r="J112" s="11" t="s">
        <v>769</v>
      </c>
      <c r="K112" s="1"/>
    </row>
    <row r="113">
      <c r="A113" s="1"/>
      <c r="B113" s="33" t="s">
        <v>770</v>
      </c>
      <c r="C113" s="17">
        <f>IF(OR(C111="large",C112="Yes"),0.78,IF(C111="mid",0.70,0.60))</f>
        <v>0.78</v>
      </c>
      <c r="D113" s="17"/>
      <c r="E113" s="17"/>
      <c r="F113" s="17"/>
      <c r="G113" s="17"/>
      <c r="H113" s="17"/>
      <c r="I113" s="17"/>
      <c r="J113" s="11" t="s">
        <v>771</v>
      </c>
      <c r="K113" s="1"/>
    </row>
    <row r="114">
      <c r="A114" s="1"/>
      <c r="B114" s="12" t="s">
        <v>772</v>
      </c>
      <c r="C114" s="56">
        <v>0</v>
      </c>
      <c r="D114" s="61"/>
      <c r="E114" s="61"/>
      <c r="F114" s="61"/>
      <c r="G114" s="61"/>
      <c r="H114" s="61"/>
      <c r="I114" s="61"/>
      <c r="J114" s="11" t="s">
        <v>773</v>
      </c>
      <c r="K114" s="1"/>
    </row>
    <row r="115">
      <c r="A115" s="1"/>
      <c r="B115" s="12" t="s">
        <v>774</v>
      </c>
      <c r="C115" s="56">
        <v>0</v>
      </c>
      <c r="D115" s="61"/>
      <c r="E115" s="61"/>
      <c r="F115" s="61"/>
      <c r="G115" s="61"/>
      <c r="H115" s="61"/>
      <c r="I115" s="61"/>
      <c r="J115" s="11" t="s">
        <v>775</v>
      </c>
      <c r="K115" s="1"/>
    </row>
    <row r="116">
      <c r="A116" s="1"/>
      <c r="B116" s="12" t="s">
        <v>776</v>
      </c>
      <c r="C116" s="56">
        <v>8</v>
      </c>
      <c r="D116" s="61"/>
      <c r="E116" s="61"/>
      <c r="F116" s="61"/>
      <c r="G116" s="61"/>
      <c r="H116" s="61"/>
      <c r="I116" s="61"/>
      <c r="J116" s="1"/>
      <c r="K116" s="1"/>
    </row>
    <row r="117">
      <c r="A117" s="1"/>
      <c r="B117" s="33" t="s">
        <v>777</v>
      </c>
      <c r="C117" s="17">
        <f>(C116*C113+C114)/(C116+C115)</f>
        <v>0.78</v>
      </c>
      <c r="D117" s="17"/>
      <c r="E117" s="17"/>
      <c r="F117" s="17"/>
      <c r="G117" s="17"/>
      <c r="H117" s="17"/>
      <c r="I117" s="17"/>
      <c r="J117" s="11" t="s">
        <v>778</v>
      </c>
      <c r="K117" s="1"/>
    </row>
    <row r="118">
      <c r="A118" s="1"/>
      <c r="B118" s="33" t="s">
        <v>779</v>
      </c>
      <c r="C118" s="39">
        <v>0.02</v>
      </c>
      <c r="D118" s="17"/>
      <c r="E118" s="17"/>
      <c r="F118" s="17"/>
      <c r="G118" s="17"/>
      <c r="H118" s="17"/>
      <c r="I118" s="17"/>
      <c r="J118" s="11" t="s">
        <v>780</v>
      </c>
      <c r="K118" s="1"/>
    </row>
    <row r="119">
      <c r="A119" s="1"/>
      <c r="B119" s="48" t="s">
        <v>781</v>
      </c>
      <c r="C119" s="25">
        <f>C117+C118</f>
        <v>0.8</v>
      </c>
      <c r="D119" s="25"/>
      <c r="E119" s="25"/>
      <c r="F119" s="25"/>
      <c r="G119" s="25"/>
      <c r="H119" s="25"/>
      <c r="I119" s="25"/>
      <c r="J119" s="11" t="s">
        <v>782</v>
      </c>
      <c r="K119" s="1"/>
    </row>
    <row r="120">
      <c r="A120" s="1"/>
      <c r="B120" s="12" t="s">
        <v>44</v>
      </c>
      <c r="C120" s="1" t="s">
        <v>783</v>
      </c>
      <c r="D120" s="1"/>
      <c r="E120" s="1"/>
      <c r="F120" s="1"/>
      <c r="G120" s="1"/>
      <c r="H120" s="1"/>
      <c r="I120" s="1"/>
      <c r="J120" s="1"/>
      <c r="K120" s="1"/>
    </row>
    <row r="121">
      <c r="A121" s="1"/>
      <c r="B121" s="23" t="s">
        <v>784</v>
      </c>
      <c r="C121" s="1"/>
      <c r="D121" s="1"/>
      <c r="E121" s="1"/>
      <c r="F121" s="1"/>
      <c r="G121" s="1"/>
      <c r="H121" s="1"/>
      <c r="I121" s="1"/>
      <c r="J121" s="1"/>
      <c r="K121" s="1"/>
    </row>
    <row r="122">
      <c r="A122" s="1"/>
      <c r="B122" s="12" t="s">
        <v>785</v>
      </c>
      <c r="C122" s="30">
        <v>0.14</v>
      </c>
      <c r="D122" s="38"/>
      <c r="E122" s="38"/>
      <c r="F122" s="38"/>
      <c r="G122" s="38"/>
      <c r="H122" s="38"/>
      <c r="I122" s="38"/>
      <c r="J122" s="11" t="s">
        <v>786</v>
      </c>
      <c r="K122" s="1"/>
    </row>
    <row r="123">
      <c r="A123" s="1"/>
      <c r="B123" s="12" t="s">
        <v>787</v>
      </c>
      <c r="C123" s="34">
        <v>12738</v>
      </c>
      <c r="D123" s="26"/>
      <c r="E123" s="26"/>
      <c r="F123" s="26"/>
      <c r="G123" s="26"/>
      <c r="H123" s="26"/>
      <c r="I123" s="26"/>
      <c r="J123" s="11" t="s">
        <v>788</v>
      </c>
      <c r="K123" s="1"/>
    </row>
    <row r="124">
      <c r="A124" s="1"/>
      <c r="B124" s="12" t="s">
        <v>789</v>
      </c>
      <c r="C124" s="34">
        <v>12890</v>
      </c>
      <c r="D124" s="26"/>
      <c r="E124" s="26"/>
      <c r="F124" s="26"/>
      <c r="G124" s="26"/>
      <c r="H124" s="26"/>
      <c r="I124" s="26"/>
      <c r="J124" s="11" t="s">
        <v>790</v>
      </c>
      <c r="K124" s="1"/>
    </row>
    <row r="125">
      <c r="A125" s="1"/>
      <c r="B125" s="12" t="s">
        <v>791</v>
      </c>
      <c r="C125" s="30">
        <v>0.14</v>
      </c>
      <c r="D125" s="38"/>
      <c r="E125" s="38"/>
      <c r="F125" s="38"/>
      <c r="G125" s="38"/>
      <c r="H125" s="38"/>
      <c r="I125" s="38"/>
      <c r="J125" s="11" t="s">
        <v>792</v>
      </c>
      <c r="K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</sheetData>
  <legacyDrawing r:id="rId2"/>
</worksheet>
</file>