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Digital" sheetId="3" r:id="rId4"/>
    <sheet name="Segment - Reservoir Performance" sheetId="4" r:id="rId5"/>
    <sheet name="Segment - Well Construction" sheetId="5" r:id="rId6"/>
    <sheet name="Segment - Production Systems" sheetId="6" r:id="rId7"/>
    <sheet name="Segment - All Other" sheetId="7" r:id="rId8"/>
    <sheet name="Income Statement" sheetId="8" r:id="rId9"/>
    <sheet name="Balance Sheet" sheetId="9" r:id="rId10"/>
    <sheet name="Cash Flow Statement" sheetId="10" r:id="rId11"/>
    <sheet name="Geo" sheetId="11" r:id="rId12"/>
    <sheet name="Share Count" sheetId="12" r:id="rId13"/>
    <sheet name="Guidance" sheetId="13" r:id="rId14"/>
    <sheet name="Sources" sheetId="14" r:id="rId15"/>
    <sheet name="Inputs" sheetId="15" r:id="rId16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C33" authorId="0">
      <text>
        <t>finhacker.cz SLB market cap page (S24) | As of October 16, 2026 | $73.47 billion</t>
      </text>
    </comment>
    <comment ref="C59" authorId="0">
      <text>
        <t>Yahoo Finance / Zacks earnings preview 16-Oct-2026 (S23) | consensus | $0.62 per share</t>
      </text>
    </comment>
    <comment ref="D59" authorId="0">
      <text>
        <t>Yahoo Finance / Zacks earnings preview 16-Oct-2026 (S23) | revenues | $9.29 billion</t>
      </text>
    </comment>
    <comment ref="C60" authorId="0">
      <text>
        <t>Earnings Whispers SLB page (S31) | consensus earnings estimate | $0.62</t>
      </text>
    </comment>
    <comment ref="D60" authorId="0">
      <text>
        <t>Earnings Whispers SLB page (S31) | Rev est | $9.29B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C52" authorId="0">
      <text>
        <t>SLB 3Q25 earnings release EX-99 (S3) | Revenue by Division: Eliminations | (250)</t>
      </text>
    </comment>
    <comment ref="D52" authorId="0">
      <text>
        <t>SLB 4Q25-FY25 earnings release EX-99 (S4) | Revenue by Division: Eliminations | (300)</t>
      </text>
    </comment>
    <comment ref="E52" authorId="0">
      <text>
        <t>SLB 1Q26 earnings release EX-99 (S5) | Revenue by Division: Eliminations | (261)</t>
      </text>
    </comment>
    <comment ref="F52" authorId="0">
      <text>
        <t>SLB 2Q26 earnings release EX-99 (S6) | Revenue by Division: Eliminations | (299)</t>
      </text>
    </comment>
    <comment ref="C71" authorId="0">
      <text>
        <t>SLB 3Q25 earnings release EX-99 (S3) | ChampionX contribution disclosure (company) | 579</t>
      </text>
    </comment>
    <comment ref="D71" authorId="0">
      <text>
        <t>SLB 4Q25-FY25 earnings release EX-99 (S4) | ChampionX contribution disclosure (company) | 879</t>
      </text>
    </comment>
    <comment ref="E71" authorId="0">
      <text>
        <t>SLB 1Q26 earnings release EX-99 (S5) | ChampionX contribution disclosure (company) | 838</t>
      </text>
    </comment>
    <comment ref="F71" authorId="0">
      <text>
        <t>SLB 2Q26 earnings release EX-99 (S6) | ChampionX contribution disclosure (company) | 870</t>
      </text>
    </comment>
    <comment ref="G89" authorId="0">
      <text>
        <t>SLB 4Q25-FY25 earnings release EX-99 (S4) | Condensed Consolidated Statement of Income: Revenue | 35,708</t>
      </text>
    </comment>
    <comment ref="C110" authorId="0">
      <text>
        <t>SLB 3Q25 earnings release EX-99 (S3) | Revenue by Division: Eliminations (prior-year column) | (205)</t>
      </text>
    </comment>
    <comment ref="D110" authorId="0">
      <text>
        <t>SLB 4Q25-FY25 earnings release EX-99 (S4) | Revenue by Division: Eliminations (prior-year column) | (207)</t>
      </text>
    </comment>
    <comment ref="E110" authorId="0">
      <text>
        <t>SLB 1Q26 earnings release EX-99 (S5) | Revenue by Division: Eliminations (prior-year column) | (177)</t>
      </text>
    </comment>
    <comment ref="F110" authorId="0">
      <text>
        <t>SLB 2Q26 earnings release EX-99 (S6) | Revenue by Division: Eliminations (prior-year column) | (214)</t>
      </text>
    </comment>
    <comment ref="G110" authorId="0">
      <text>
        <t>SLB 4Q25-FY25 earnings release EX-99 (S4) | Revenue by Division: Eliminations (prior-year column) | (736)</t>
      </text>
    </comment>
    <comment ref="C114" authorId="0">
      <text>
        <t>SLB 3Q25 earnings release EX-99 (S3) | ChampionX contribution disclosure (company) (prior-year column) | 0</t>
      </text>
    </comment>
    <comment ref="D114" authorId="0">
      <text>
        <t>SLB 4Q25-FY25 earnings release EX-99 (S4) | ChampionX contribution disclosure (company) (prior-year column) | 0</t>
      </text>
    </comment>
    <comment ref="E114" authorId="0">
      <text>
        <t>SLB 1Q26 earnings release EX-99 (S5) | ChampionX contribution disclosure (company) (prior-year column) | 0</t>
      </text>
    </comment>
    <comment ref="F114" authorId="0">
      <text>
        <t>SLB 2Q26 earnings release EX-99 (S6) | ChampionX contribution disclosure (company) (prior-year column) | 0</t>
      </text>
    </comment>
    <comment ref="G114" authorId="0">
      <text>
        <t>SLB 4Q25-FY25 earnings release EX-99 (S4) | ChampionX contribution disclosure (company) (prior-year column) | 0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C11" authorId="0">
      <text>
        <t>SLB 3Q25 earnings release EX-99 (S3) | Digital revenue by solution table | 273</t>
      </text>
    </comment>
    <comment ref="D11" authorId="0">
      <text>
        <t>SLB 4Q25-FY25 earnings release EX-99 (S4) | Digital revenue by solution table | 291</t>
      </text>
    </comment>
    <comment ref="E11" authorId="0">
      <text>
        <t>SLB 1Q26 earnings release EX-99 (S5) | Digital revenue by solution table | 241</t>
      </text>
    </comment>
    <comment ref="F11" authorId="0">
      <text>
        <t>SLB 2Q26 earnings release EX-99 (S6) | Digital revenue by solution table | 258</t>
      </text>
    </comment>
    <comment ref="C18" authorId="0">
      <text>
        <t>SLB 3Q25 earnings release EX-99 (S3) | Digital revenue by solution table | 131</t>
      </text>
    </comment>
    <comment ref="D18" authorId="0">
      <text>
        <t>SLB 4Q25-FY25 earnings release EX-99 (S4) | Digital revenue by solution table | 162</t>
      </text>
    </comment>
    <comment ref="E18" authorId="0">
      <text>
        <t>SLB 1Q26 earnings release EX-99 (S5) | Digital revenue by solution table | 143</t>
      </text>
    </comment>
    <comment ref="F18" authorId="0">
      <text>
        <t>SLB 2Q26 earnings release EX-99 (S6) | Digital revenue by solution table | 148</t>
      </text>
    </comment>
    <comment ref="C25" authorId="0">
      <text>
        <t>SLB 3Q25 earnings release EX-99 (S3) | Digital revenue by solution table | 80</t>
      </text>
    </comment>
    <comment ref="D25" authorId="0">
      <text>
        <t>SLB 4Q25-FY25 earnings release EX-99 (S4) | Digital revenue by solution table | 184</t>
      </text>
    </comment>
    <comment ref="E25" authorId="0">
      <text>
        <t>SLB 1Q26 earnings release EX-99 (S5) | Digital revenue by solution table | 101</t>
      </text>
    </comment>
    <comment ref="F25" authorId="0">
      <text>
        <t>SLB 2Q26 earnings release EX-99 (S6) | Digital revenue by solution table | 126</t>
      </text>
    </comment>
    <comment ref="C32" authorId="0">
      <text>
        <t>SLB 3Q25 earnings release EX-99 (S3) | Digital revenue by solution table | 174</t>
      </text>
    </comment>
    <comment ref="D32" authorId="0">
      <text>
        <t>SLB 4Q25-FY25 earnings release EX-99 (S4) | Digital revenue by solution table | 188</t>
      </text>
    </comment>
    <comment ref="E32" authorId="0">
      <text>
        <t>SLB 1Q26 earnings release EX-99 (S5) | Digital revenue by solution table | 155</t>
      </text>
    </comment>
    <comment ref="F32" authorId="0">
      <text>
        <t>SLB 2Q26 earnings release EX-99 (S6) | Digital revenue by solution table | 165</t>
      </text>
    </comment>
    <comment ref="C43" authorId="0">
      <text>
        <t>SLB 3Q25 earnings release EX-99 (S3) | ChampionX contribution disclosure | 20</t>
      </text>
    </comment>
    <comment ref="D43" authorId="0">
      <text>
        <t>SLB 4Q25-FY25 earnings release EX-99 (S4) | ChampionX contribution disclosure | 28</t>
      </text>
    </comment>
    <comment ref="E43" authorId="0">
      <text>
        <t>SLB 1Q26 earnings release EX-99 (S5) | ChampionX contribution disclosure | 32</t>
      </text>
    </comment>
    <comment ref="F43" authorId="0">
      <text>
        <t>SLB 2Q26 earnings release EX-99 (S6) | ChampionX contribution disclosure | 34</t>
      </text>
    </comment>
    <comment ref="C56" authorId="0">
      <text>
        <t>SLB 3Q25 earnings release EX-99 (S3) | Revenue by Division table | 658</t>
      </text>
    </comment>
    <comment ref="D56" authorId="0">
      <text>
        <t>SLB 4Q25-FY25 earnings release EX-99 (S4) | Revenue by Division table | 825</t>
      </text>
    </comment>
    <comment ref="E56" authorId="0">
      <text>
        <t>SLB 1Q26 earnings release EX-99 (S5) | Revenue by Division table | 640</t>
      </text>
    </comment>
    <comment ref="F56" authorId="0">
      <text>
        <t>SLB 2Q26 earnings release EX-99 (S6) | Revenue by Division table | 697</t>
      </text>
    </comment>
    <comment ref="G56" authorId="0">
      <text>
        <t>SLB 4Q25-FY25 earnings release EX-99 (S4) | Revenue by Division table | 2,660</t>
      </text>
    </comment>
    <comment ref="C64" authorId="0">
      <text>
        <t>SLB 3Q25 earnings release EX-99 (S3) | Digital revenue by geography | 156</t>
      </text>
    </comment>
    <comment ref="D64" authorId="0">
      <text>
        <t>SLB 4Q25-FY25 earnings release EX-99 (S4) | Digital revenue by geography | 229</t>
      </text>
    </comment>
    <comment ref="E64" authorId="0">
      <text>
        <t>SLB 1Q26 earnings release EX-99 (S5) | Digital revenue by geography | 197</t>
      </text>
    </comment>
    <comment ref="F64" authorId="0">
      <text>
        <t>SLB 2Q26 earnings release EX-99 (S6) | Digital revenue by geography | 170</t>
      </text>
    </comment>
    <comment ref="C71" authorId="0">
      <text>
        <t>SLB 3Q25 earnings release EX-99 (S3) | Digital revenue by geography | 2</t>
      </text>
    </comment>
    <comment ref="D71" authorId="0">
      <text>
        <t>SLB 4Q25-FY25 earnings release EX-99 (S4) | Digital revenue by geography | 3</t>
      </text>
    </comment>
    <comment ref="E71" authorId="0">
      <text>
        <t>SLB 1Q26 earnings release EX-99 (S5) | Digital revenue by geography | 0</t>
      </text>
    </comment>
    <comment ref="F71" authorId="0">
      <text>
        <t>SLB 2Q26 earnings release EX-99 (S6) | Digital revenue by geography | 1</t>
      </text>
    </comment>
    <comment ref="C77" authorId="0">
      <text>
        <t>SLB 3Q25 earnings release EX-99 (S3) | Digital revenue by geography | 500</t>
      </text>
    </comment>
    <comment ref="D77" authorId="0">
      <text>
        <t>SLB 4Q25-FY25 earnings release EX-99 (S4) | Digital revenue by geography | 593</t>
      </text>
    </comment>
    <comment ref="E77" authorId="0">
      <text>
        <t>SLB 1Q26 earnings release EX-99 (S5) | Digital revenue by geography | 443</t>
      </text>
    </comment>
    <comment ref="F77" authorId="0">
      <text>
        <t>SLB 2Q26 earnings release EX-99 (S6) | Digital revenue by geography | 526</t>
      </text>
    </comment>
    <comment ref="C88" authorId="0">
      <text>
        <t>SLB 3Q25 earnings release EX-99 (S3) | Digital: ARR as of September 30, 2025 ($926 million) | 926</t>
      </text>
    </comment>
    <comment ref="D88" authorId="0">
      <text>
        <t>SLB 1Q26 earnings release EX-99 (S5) | Question 11: ARR $1.00 billion as of December 31, 2025 | 1,000</t>
      </text>
    </comment>
    <comment ref="E88" authorId="0">
      <text>
        <t>SLB 1Q26 earnings release EX-99 (S5) | Question 11: ARR $1.02 billion as of March 31, 2026 | 1,020</t>
      </text>
    </comment>
    <comment ref="F88" authorId="0">
      <text>
        <t>SLB 2Q26 earnings release EX-99 (S6) | Question 12: ARR $1.04 billion as of June 30, 2026 | 1,040</t>
      </text>
    </comment>
    <comment ref="C96" authorId="0">
      <text>
        <t>SLB 3Q25 earnings release EX-99 (S3) | Pretax segment operating income table | 187</t>
      </text>
    </comment>
    <comment ref="D96" authorId="0">
      <text>
        <t>SLB 4Q25-FY25 earnings release EX-99 (S4) | Pretax segment operating income table | 280</t>
      </text>
    </comment>
    <comment ref="E96" authorId="0">
      <text>
        <t>SLB 1Q26 earnings release EX-99 (S5) | Pretax segment operating income table | 134</t>
      </text>
    </comment>
    <comment ref="F96" authorId="0">
      <text>
        <t>SLB 2Q26 earnings release EX-99 (S6) | Pretax segment operating income table | 194</t>
      </text>
    </comment>
    <comment ref="C103" authorId="0">
      <text>
        <t>SLB 3Q25 earnings release EX-99 (S3) | Adjusted EBITDA reconciliation by Division (Depreciation and Amortization column) | 28</t>
      </text>
    </comment>
    <comment ref="D103" authorId="0">
      <text>
        <t>SLB 4Q25-FY25 earnings release EX-99 (S4) | Adjusted EBITDA reconciliation by Division (Depreciation and Amortization column) | 66</t>
      </text>
    </comment>
    <comment ref="E103" authorId="0">
      <text>
        <t>SLB 1Q26 earnings release EX-99 (S5) | Adjusted EBITDA reconciliation by Division (Depreciation and Amortization column) | 33</t>
      </text>
    </comment>
    <comment ref="F103" authorId="0">
      <text>
        <t>SLB 2Q26 earnings release EX-99 (S6) | Adjusted EBITDA reconciliation by Division (Depreciation and Amortization column) | 48</t>
      </text>
    </comment>
    <comment ref="C109" authorId="0">
      <text>
        <t>SLB 3Q25 earnings release EX-99 (S3) | Adjusted EBITDA reconciliation by Division (Net Interest Expense (Income) column) | 0</t>
      </text>
    </comment>
    <comment ref="D109" authorId="0">
      <text>
        <t>SLB 4Q25-FY25 earnings release EX-99 (S4) | Adjusted EBITDA reconciliation by Division (Net Interest Expense (Income) column) | 0</t>
      </text>
    </comment>
    <comment ref="E109" authorId="0">
      <text>
        <t>SLB 1Q26 earnings release EX-99 (S5) | Adjusted EBITDA reconciliation by Division (Net Interest Expense (Income) column) | 0</t>
      </text>
    </comment>
    <comment ref="F109" authorId="0">
      <text>
        <t>SLB 2Q26 earnings release EX-99 (S6) | Adjusted EBITDA reconciliation by Division (Net Interest Expense (Income) column) | 0</t>
      </text>
    </comment>
    <comment ref="C118" authorId="0">
      <text>
        <t>SLB 3Q25 earnings release EX-99 (S3) | Adjusted EBITDA by Division table | 215</t>
      </text>
    </comment>
    <comment ref="D118" authorId="0">
      <text>
        <t>SLB 4Q25-FY25 earnings release EX-99 (S4) | Adjusted EBITDA by Division table | 346</t>
      </text>
    </comment>
    <comment ref="E118" authorId="0">
      <text>
        <t>SLB 1Q26 earnings release EX-99 (S5) | Adjusted EBITDA by Division table | 167</t>
      </text>
    </comment>
    <comment ref="F118" authorId="0">
      <text>
        <t>SLB 2Q26 earnings release EX-99 (S6) | Adjusted EBITDA by Division table | 242</t>
      </text>
    </comment>
    <comment ref="G118" authorId="0">
      <text>
        <t>SLB 4Q25-FY25 earnings release EX-99 (S4) | Adjusted EBITDA by Division table | 928</t>
      </text>
    </comment>
    <comment ref="C122" authorId="0">
      <text>
        <t>SLB 3Q25 earnings release EX-99 (S3) | Digital revenue by solution table (prior-year column) | 262</t>
      </text>
    </comment>
    <comment ref="D122" authorId="0">
      <text>
        <t>SLB 4Q25-FY25 earnings release EX-99 (S4) | Digital revenue by solution table (prior-year column) | 301</t>
      </text>
    </comment>
    <comment ref="E122" authorId="0">
      <text>
        <t>SLB 1Q26 earnings release EX-99 (S5) | Digital revenue by solution table (prior-year column) | 236</t>
      </text>
    </comment>
    <comment ref="F122" authorId="0">
      <text>
        <t>SLB 2Q26 earnings release EX-99 (S6) | Digital revenue by solution table (prior-year column) | 266</t>
      </text>
    </comment>
    <comment ref="G122" authorId="0">
      <text>
        <t>SLB 4Q25-FY25 earnings release EX-99 (S4) | Digital revenue by solution table (prior-year column) | 1,023</t>
      </text>
    </comment>
    <comment ref="C123" authorId="0">
      <text>
        <t>SLB 3Q25 earnings release EX-99 (S3) | Digital revenue by solution table (prior-year column) | 89</t>
      </text>
    </comment>
    <comment ref="D123" authorId="0">
      <text>
        <t>SLB 4Q25-FY25 earnings release EX-99 (S4) | Digital revenue by solution table (prior-year column) | 79</t>
      </text>
    </comment>
    <comment ref="E123" authorId="0">
      <text>
        <t>SLB 1Q26 earnings release EX-99 (S5) | Digital revenue by solution table (prior-year column) | 77</t>
      </text>
    </comment>
    <comment ref="F123" authorId="0">
      <text>
        <t>SLB 2Q26 earnings release EX-99 (S6) | Digital revenue by solution table (prior-year column) | 94</t>
      </text>
    </comment>
    <comment ref="G123" authorId="0">
      <text>
        <t>SLB 4Q25-FY25 earnings release EX-99 (S4) | Digital revenue by solution table (prior-year column) | 290</t>
      </text>
    </comment>
    <comment ref="C124" authorId="0">
      <text>
        <t>SLB 3Q25 earnings release EX-99 (S3) | Digital revenue by solution table (prior-year column) | 111</t>
      </text>
    </comment>
    <comment ref="D124" authorId="0">
      <text>
        <t>SLB 4Q25-FY25 earnings release EX-99 (S4) | Digital revenue by solution table (prior-year column) | 136</t>
      </text>
    </comment>
    <comment ref="E124" authorId="0">
      <text>
        <t>SLB 1Q26 earnings release EX-99 (S5) | Digital revenue by solution table (prior-year column) | 110</t>
      </text>
    </comment>
    <comment ref="F124" authorId="0">
      <text>
        <t>SLB 2Q26 earnings release EX-99 (S6) | Digital revenue by solution table (prior-year column) | 63</t>
      </text>
    </comment>
    <comment ref="G124" authorId="0">
      <text>
        <t>SLB 4Q25-FY25 earnings release EX-99 (S4) | Digital revenue by solution table (prior-year column) | 432</t>
      </text>
    </comment>
    <comment ref="C125" authorId="0">
      <text>
        <t>SLB 3Q25 earnings release EX-99 (S3) | Digital revenue by solution table (prior-year column) | 176</t>
      </text>
    </comment>
    <comment ref="D125" authorId="0">
      <text>
        <t>SLB 4Q25-FY25 earnings release EX-99 (S4) | Digital revenue by solution table (prior-year column) | 189</t>
      </text>
    </comment>
    <comment ref="E125" authorId="0">
      <text>
        <t>SLB 1Q26 earnings release EX-99 (S5) | Digital revenue by solution table (prior-year column) | 164</t>
      </text>
    </comment>
    <comment ref="F125" authorId="0">
      <text>
        <t>SLB 2Q26 earnings release EX-99 (S6) | Digital revenue by solution table (prior-year column) | 168</t>
      </text>
    </comment>
    <comment ref="G125" authorId="0">
      <text>
        <t>SLB 4Q25-FY25 earnings release EX-99 (S4) | Digital revenue by solution table (prior-year column) | 694</t>
      </text>
    </comment>
    <comment ref="C127" authorId="0">
      <text>
        <t>SLB 3Q25 earnings release EX-99 (S3) | ChampionX contribution disclosure (prior-year column) | 0</t>
      </text>
    </comment>
    <comment ref="D127" authorId="0">
      <text>
        <t>SLB 4Q25-FY25 earnings release EX-99 (S4) | ChampionX contribution disclosure (prior-year column) | 0</t>
      </text>
    </comment>
    <comment ref="E127" authorId="0">
      <text>
        <t>SLB 1Q26 earnings release EX-99 (S5) | ChampionX contribution disclosure (prior-year column) | 0</t>
      </text>
    </comment>
    <comment ref="F127" authorId="0">
      <text>
        <t>SLB 2Q26 earnings release EX-99 (S6) | ChampionX contribution disclosure (prior-year column) | 0</t>
      </text>
    </comment>
    <comment ref="G127" authorId="0">
      <text>
        <t>SLB 4Q25-FY25 earnings release EX-99 (S4) | ChampionX contribution disclosure (prior-year column) | 0</t>
      </text>
    </comment>
    <comment ref="C128" authorId="0">
      <text>
        <t>SLB 3Q25 earnings release EX-99 (S3) | Digital revenue by geography (prior-year column) | 128</t>
      </text>
    </comment>
    <comment ref="D128" authorId="0">
      <text>
        <t>SLB 4Q25-FY25 earnings release EX-99 (S4) | Digital revenue by geography (prior-year column) | 200</t>
      </text>
    </comment>
    <comment ref="E128" authorId="0">
      <text>
        <t>SLB 1Q26 earnings release EX-99 (S5) | Digital revenue by geography (prior-year column) | 171</t>
      </text>
    </comment>
    <comment ref="F128" authorId="0">
      <text>
        <t>SLB 2Q26 earnings release EX-99 (S6) | Digital revenue by geography (prior-year column) | 126</t>
      </text>
    </comment>
    <comment ref="C129" authorId="0">
      <text>
        <t>SLB 3Q25 earnings release EX-99 (S3) | Digital revenue by geography (prior-year column) | 1</t>
      </text>
    </comment>
    <comment ref="D129" authorId="0">
      <text>
        <t>SLB 4Q25-FY25 earnings release EX-99 (S4) | Digital revenue by geography (prior-year column) | 2</t>
      </text>
    </comment>
    <comment ref="E129" authorId="0">
      <text>
        <t>SLB 1Q26 earnings release EX-99 (S5) | Digital revenue by geography (prior-year column) | 0</t>
      </text>
    </comment>
    <comment ref="F129" authorId="0">
      <text>
        <t>SLB 2Q26 earnings release EX-99 (S6) | Digital revenue by geography (prior-year column) | 3</t>
      </text>
    </comment>
    <comment ref="C130" authorId="0">
      <text>
        <t>SLB 3Q25 earnings release EX-99 (S3) | Digital revenue by geography (prior-year column) | 509</t>
      </text>
    </comment>
    <comment ref="D130" authorId="0">
      <text>
        <t>SLB 4Q25-FY25 earnings release EX-99 (S4) | Digital revenue by geography (prior-year column) | 503</t>
      </text>
    </comment>
    <comment ref="E130" authorId="0">
      <text>
        <t>SLB 1Q26 earnings release EX-99 (S5) | Digital revenue by geography (prior-year column) | 416</t>
      </text>
    </comment>
    <comment ref="F130" authorId="0">
      <text>
        <t>SLB 2Q26 earnings release EX-99 (S6) | Digital revenue by geography (prior-year column) | 462</t>
      </text>
    </comment>
    <comment ref="C131" authorId="0">
      <text>
        <t>SLB 3Q25 earnings release EX-99 (S3) | ARR $869 million same period last year | 869</t>
      </text>
    </comment>
    <comment ref="E131" authorId="0">
      <text>
        <t>SLB 1Q26 earnings release EX-99 (S5) | ARR $890 million as of March 31, 2025 | 890</t>
      </text>
    </comment>
    <comment ref="F131" authorId="0">
      <text>
        <t>SLB 2Q26 earnings release EX-99 (S6) | ARR $904 million as of June 30, 2025 | 904</t>
      </text>
    </comment>
    <comment ref="C132" authorId="0">
      <text>
        <t>SLB 3Q25 earnings release EX-99 (S3) | Pretax segment operating income table (prior-year column) | 190</t>
      </text>
    </comment>
    <comment ref="D132" authorId="0">
      <text>
        <t>SLB 4Q25-FY25 earnings release EX-99 (S4) | Pretax segment operating income table (prior-year column) | 242</t>
      </text>
    </comment>
    <comment ref="E132" authorId="0">
      <text>
        <t>SLB 1Q26 earnings release EX-99 (S5) | Pretax segment operating income table (prior-year column) | 125</t>
      </text>
    </comment>
    <comment ref="F132" authorId="0">
      <text>
        <t>SLB 2Q26 earnings release EX-99 (S6) | Pretax segment operating income table (prior-year column) | 153</t>
      </text>
    </comment>
    <comment ref="G132" authorId="0">
      <text>
        <t>SLB 4Q25-FY25 earnings release EX-99 (S4) | Pretax segment operating income table (prior-year column) | 612</t>
      </text>
    </comment>
    <comment ref="C134" authorId="0">
      <text>
        <t>SLB 3Q25 earnings release EX-99 (S3) | Adjusted EBITDA reconciliation by Division (Depreciation and Amortization column) (prior-year column) | 39</t>
      </text>
    </comment>
    <comment ref="D134" authorId="0">
      <text>
        <t>SLB 4Q25-FY25 earnings release EX-99 (S4) | Adjusted EBITDA reconciliation by Division (Depreciation and Amortization column) (prior-year column) | 47</t>
      </text>
    </comment>
    <comment ref="E134" authorId="0">
      <text>
        <t>SLB 1Q26 earnings release EX-99 (S5) | Adjusted EBITDA reconciliation by Division (Depreciation and Amortization column) (prior-year column) | 56</t>
      </text>
    </comment>
    <comment ref="F134" authorId="0">
      <text>
        <t>SLB 2Q26 earnings release EX-99 (S6) | Adjusted EBITDA reconciliation by Division (Depreciation and Amortization column) (prior-year column) | 33</t>
      </text>
    </comment>
    <comment ref="G134" authorId="0">
      <text>
        <t>SLB 4Q25-FY25 earnings release EX-99 (S4) | Adjusted EBITDA reconciliation by Division (Depreciation and Amortization column) (prior-year column) | 172</t>
      </text>
    </comment>
    <comment ref="C136" authorId="0">
      <text>
        <t>SLB 3Q25 earnings release EX-99 (S3) | Adjusted EBITDA reconciliation by Division (Net Interest Expense (Income) column) (prior-year column) | 0</t>
      </text>
    </comment>
    <comment ref="E136" authorId="0">
      <text>
        <t>SLB 1Q26 earnings release EX-99 (S5) | Adjusted EBITDA reconciliation by Division (Net Interest Expense (Income) column) (prior-year column) | 0</t>
      </text>
    </comment>
    <comment ref="F136" authorId="0">
      <text>
        <t>SLB 2Q26 earnings release EX-99 (S6) | Adjusted EBITDA reconciliation by Division (Net Interest Expense (Income) column) (prior-year column) | 0</t>
      </text>
    </comment>
    <comment ref="G136" authorId="0">
      <text>
        <t>SLB 4Q25-FY25 earnings release EX-99 (S4) | Adjusted EBITDA reconciliation by Division (Net Interest Expense (Income) column) (prior-year column) | 0</t>
      </text>
    </comment>
    <comment ref="D137" authorId="0">
      <text>
        <t>SLB 4Q25-FY25 earnings release EX-99 (S4) | Adjusted EBITDA by Division table (prior-year column) | 289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C12" authorId="0">
      <text>
        <t>SLB 3Q25 earnings release EX-99 (S3) | Division revenue by geography: International | 1,536</t>
      </text>
    </comment>
    <comment ref="D12" authorId="0">
      <text>
        <t>SLB 4Q25-FY25 earnings release EX-99 (S4) | Division revenue by geography: International | 1,596</t>
      </text>
    </comment>
    <comment ref="E12" authorId="0">
      <text>
        <t>SLB 1Q26 earnings release EX-99 (S5) | Division revenue by geography: International | 1,445</t>
      </text>
    </comment>
    <comment ref="F12" authorId="0">
      <text>
        <t>SLB 2Q26 earnings release EX-99 (S6) | Division revenue by geography: International | 1,409</t>
      </text>
    </comment>
    <comment ref="C19" authorId="0">
      <text>
        <t>SLB 3Q25 earnings release EX-99 (S3) | Division revenue by geography: North America | 143</t>
      </text>
    </comment>
    <comment ref="D19" authorId="0">
      <text>
        <t>SLB 4Q25-FY25 earnings release EX-99 (S4) | Division revenue by geography: North America | 146</t>
      </text>
    </comment>
    <comment ref="E19" authorId="0">
      <text>
        <t>SLB 1Q26 earnings release EX-99 (S5) | Division revenue by geography: North America | 143</t>
      </text>
    </comment>
    <comment ref="F19" authorId="0">
      <text>
        <t>SLB 2Q26 earnings release EX-99 (S6) | Division revenue by geography: North America | 147</t>
      </text>
    </comment>
    <comment ref="C26" authorId="0">
      <text>
        <t>SLB 3Q25 earnings release EX-99 (S3) | Division revenue by geography: Other | 3</t>
      </text>
    </comment>
    <comment ref="D26" authorId="0">
      <text>
        <t>SLB 4Q25-FY25 earnings release EX-99 (S4) | Division revenue by geography: Other | 6</t>
      </text>
    </comment>
    <comment ref="E26" authorId="0">
      <text>
        <t>SLB 1Q26 earnings release EX-99 (S5) | Division revenue by geography: Other | 6</t>
      </text>
    </comment>
    <comment ref="F26" authorId="0">
      <text>
        <t>SLB 2Q26 earnings release EX-99 (S6) | Division revenue by geography: Other | 0</t>
      </text>
    </comment>
    <comment ref="C36" authorId="0">
      <text>
        <t>SLB 3Q25 earnings release EX-99 (S3) | ChampionX contribution disclosure | 0</t>
      </text>
    </comment>
    <comment ref="D36" authorId="0">
      <text>
        <t>SLB 4Q25-FY25 earnings release EX-99 (S4) | ChampionX contribution disclosure | 0</t>
      </text>
    </comment>
    <comment ref="E36" authorId="0">
      <text>
        <t>SLB 1Q26 earnings release EX-99 (S5) | ChampionX contribution disclosure | 0</t>
      </text>
    </comment>
    <comment ref="F36" authorId="0">
      <text>
        <t>SLB 2Q26 earnings release EX-99 (S6) | ChampionX contribution disclosure | 0</t>
      </text>
    </comment>
    <comment ref="C48" authorId="0">
      <text>
        <t>SLB 3Q25 earnings release EX-99 (S3) | Revenue by Division table | 1,682</t>
      </text>
    </comment>
    <comment ref="D48" authorId="0">
      <text>
        <t>SLB 4Q25-FY25 earnings release EX-99 (S4) | Revenue by Division table | 1,748</t>
      </text>
    </comment>
    <comment ref="E48" authorId="0">
      <text>
        <t>SLB 1Q26 earnings release EX-99 (S5) | Revenue by Division table | 1,594</t>
      </text>
    </comment>
    <comment ref="F48" authorId="0">
      <text>
        <t>SLB 2Q26 earnings release EX-99 (S6) | Revenue by Division table | 1,556</t>
      </text>
    </comment>
    <comment ref="G48" authorId="0">
      <text>
        <t>SLB 4Q25-FY25 earnings release EX-99 (S4) | Revenue by Division table | 6,820</t>
      </text>
    </comment>
    <comment ref="C52" authorId="0">
      <text>
        <t>SLB 3Q25 earnings release EX-99 (S3) | Pretax segment operating income table | 312</t>
      </text>
    </comment>
    <comment ref="D52" authorId="0">
      <text>
        <t>SLB 4Q25-FY25 earnings release EX-99 (S4) | Pretax segment operating income table | 342</t>
      </text>
    </comment>
    <comment ref="E52" authorId="0">
      <text>
        <t>SLB 1Q26 earnings release EX-99 (S5) | Pretax segment operating income table | 257</t>
      </text>
    </comment>
    <comment ref="F52" authorId="0">
      <text>
        <t>SLB 2Q26 earnings release EX-99 (S6) | Pretax segment operating income table | 232</t>
      </text>
    </comment>
    <comment ref="C59" authorId="0">
      <text>
        <t>SLB 3Q25 earnings release EX-99 (S3) | Adjusted EBITDA reconciliation by Division (Depreciation and Amortization column) | 110</t>
      </text>
    </comment>
    <comment ref="D59" authorId="0">
      <text>
        <t>SLB 4Q25-FY25 earnings release EX-99 (S4) | Adjusted EBITDA reconciliation by Division (Depreciation and Amortization column) | 114</t>
      </text>
    </comment>
    <comment ref="E59" authorId="0">
      <text>
        <t>SLB 1Q26 earnings release EX-99 (S5) | Adjusted EBITDA reconciliation by Division (Depreciation and Amortization column) | 113</t>
      </text>
    </comment>
    <comment ref="F59" authorId="0">
      <text>
        <t>SLB 2Q26 earnings release EX-99 (S6) | Adjusted EBITDA reconciliation by Division (Depreciation and Amortization column) | 118</t>
      </text>
    </comment>
    <comment ref="C65" authorId="0">
      <text>
        <t>SLB 3Q25 earnings release EX-99 (S3) | Adjusted EBITDA reconciliation by Division (Net Interest Expense (Income) column) | 0</t>
      </text>
    </comment>
    <comment ref="D65" authorId="0">
      <text>
        <t>SLB 4Q25-FY25 earnings release EX-99 (S4) | Adjusted EBITDA reconciliation by Division (Net Interest Expense (Income) column) | 0</t>
      </text>
    </comment>
    <comment ref="E65" authorId="0">
      <text>
        <t>SLB 1Q26 earnings release EX-99 (S5) | Adjusted EBITDA reconciliation by Division (Net Interest Expense (Income) column) | (1)</t>
      </text>
    </comment>
    <comment ref="F65" authorId="0">
      <text>
        <t>SLB 2Q26 earnings release EX-99 (S6) | Adjusted EBITDA reconciliation by Division (Net Interest Expense (Income) column) | (1)</t>
      </text>
    </comment>
    <comment ref="C74" authorId="0">
      <text>
        <t>SLB 3Q25 earnings release EX-99 (S3) | Adjusted EBITDA by Division table | 422</t>
      </text>
    </comment>
    <comment ref="D74" authorId="0">
      <text>
        <t>SLB 4Q25-FY25 earnings release EX-99 (S4) | Adjusted EBITDA by Division table | 456</t>
      </text>
    </comment>
    <comment ref="E74" authorId="0">
      <text>
        <t>SLB 1Q26 earnings release EX-99 (S5) | Adjusted EBITDA by Division table | 369</t>
      </text>
    </comment>
    <comment ref="F74" authorId="0">
      <text>
        <t>SLB 2Q26 earnings release EX-99 (S6) | Adjusted EBITDA by Division table | 349</t>
      </text>
    </comment>
    <comment ref="G74" authorId="0">
      <text>
        <t>SLB 4Q25-FY25 earnings release EX-99 (S4) | Adjusted EBITDA by Division table | 1,685</t>
      </text>
    </comment>
    <comment ref="C78" authorId="0">
      <text>
        <t>SLB 3Q25 earnings release EX-99 (S3) | Division revenue by geography: International (prior-year column) | 1,676</t>
      </text>
    </comment>
    <comment ref="D78" authorId="0">
      <text>
        <t>SLB 4Q25-FY25 earnings release EX-99 (S4) | Division revenue by geography: International (prior-year column) | 1,669</t>
      </text>
    </comment>
    <comment ref="E78" authorId="0">
      <text>
        <t>SLB 1Q26 earnings release EX-99 (S5) | Division revenue by geography: International (prior-year column) | 1,557</t>
      </text>
    </comment>
    <comment ref="F78" authorId="0">
      <text>
        <t>SLB 2Q26 earnings release EX-99 (S6) | Division revenue by geography: International (prior-year column) | 1,541</t>
      </text>
    </comment>
    <comment ref="C79" authorId="0">
      <text>
        <t>SLB 3Q25 earnings release EX-99 (S3) | Division revenue by geography: North America (prior-year column) | 145</t>
      </text>
    </comment>
    <comment ref="D79" authorId="0">
      <text>
        <t>SLB 4Q25-FY25 earnings release EX-99 (S4) | Division revenue by geography: North America (prior-year column) | 139</t>
      </text>
    </comment>
    <comment ref="E79" authorId="0">
      <text>
        <t>SLB 1Q26 earnings release EX-99 (S5) | Division revenue by geography: North America (prior-year column) | 142</t>
      </text>
    </comment>
    <comment ref="F79" authorId="0">
      <text>
        <t>SLB 2Q26 earnings release EX-99 (S6) | Division revenue by geography: North America (prior-year column) | 148</t>
      </text>
    </comment>
    <comment ref="C80" authorId="0">
      <text>
        <t>SLB 3Q25 earnings release EX-99 (S3) | Division revenue by geography: Other (prior-year column) | 2</t>
      </text>
    </comment>
    <comment ref="D80" authorId="0">
      <text>
        <t>SLB 4Q25-FY25 earnings release EX-99 (S4) | Division revenue by geography: Other (prior-year column) | 2</t>
      </text>
    </comment>
    <comment ref="E80" authorId="0">
      <text>
        <t>SLB 1Q26 earnings release EX-99 (S5) | Division revenue by geography: Other (prior-year column) | 1</t>
      </text>
    </comment>
    <comment ref="F80" authorId="0">
      <text>
        <t>SLB 2Q26 earnings release EX-99 (S6) | Division revenue by geography: Other (prior-year column) | 2</t>
      </text>
    </comment>
    <comment ref="G81" authorId="0">
      <text>
        <t>SLB 4Q25-FY25 earnings release EX-99 (S4) | Revenue by Division (FY24 column) | 7,177</t>
      </text>
    </comment>
    <comment ref="C82" authorId="0">
      <text>
        <t>SLB 3Q25 earnings release EX-99 (S3) | ChampionX contribution disclosure (prior-year column) | 0</t>
      </text>
    </comment>
    <comment ref="D82" authorId="0">
      <text>
        <t>SLB 4Q25-FY25 earnings release EX-99 (S4) | ChampionX contribution disclosure (prior-year column) | 0</t>
      </text>
    </comment>
    <comment ref="E82" authorId="0">
      <text>
        <t>SLB 1Q26 earnings release EX-99 (S5) | ChampionX contribution disclosure (prior-year column) | 0</t>
      </text>
    </comment>
    <comment ref="F82" authorId="0">
      <text>
        <t>SLB 2Q26 earnings release EX-99 (S6) | ChampionX contribution disclosure (prior-year column) | 0</t>
      </text>
    </comment>
    <comment ref="G82" authorId="0">
      <text>
        <t>SLB 4Q25-FY25 earnings release EX-99 (S4) | ChampionX contribution disclosure (prior-year column) | 0</t>
      </text>
    </comment>
    <comment ref="C83" authorId="0">
      <text>
        <t>SLB 3Q25 earnings release EX-99 (S3) | Pretax segment operating income table (prior-year column) | 367</t>
      </text>
    </comment>
    <comment ref="D83" authorId="0">
      <text>
        <t>SLB 4Q25-FY25 earnings release EX-99 (S4) | Pretax segment operating income table (prior-year column) | 370</t>
      </text>
    </comment>
    <comment ref="E83" authorId="0">
      <text>
        <t>SLB 1Q26 earnings release EX-99 (S5) | Pretax segment operating income table (prior-year column) | 282</t>
      </text>
    </comment>
    <comment ref="F83" authorId="0">
      <text>
        <t>SLB 2Q26 earnings release EX-99 (S6) | Pretax segment operating income table (prior-year column) | 314</t>
      </text>
    </comment>
    <comment ref="G83" authorId="0">
      <text>
        <t>SLB 4Q25-FY25 earnings release EX-99 (S4) | Pretax segment operating income table (prior-year column) | 1,452</t>
      </text>
    </comment>
    <comment ref="C85" authorId="0">
      <text>
        <t>SLB 3Q25 earnings release EX-99 (S3) | Adjusted EBITDA reconciliation by Division (Depreciation and Amortization column) (prior-year column) | 102</t>
      </text>
    </comment>
    <comment ref="E85" authorId="0">
      <text>
        <t>SLB 1Q26 earnings release EX-99 (S5) | Adjusted EBITDA reconciliation by Division (Depreciation and Amortization column) (prior-year column) | 104</t>
      </text>
    </comment>
    <comment ref="F85" authorId="0">
      <text>
        <t>SLB 2Q26 earnings release EX-99 (S6) | Adjusted EBITDA reconciliation by Division (Depreciation and Amortization column) (prior-year column) | 107</t>
      </text>
    </comment>
    <comment ref="G85" authorId="0">
      <text>
        <t>SLB 4Q25-FY25 earnings release EX-99 (S4) | Adjusted EBITDA reconciliation by Division (Depreciation and Amortization column) (prior-year column) | 404</t>
      </text>
    </comment>
    <comment ref="C87" authorId="0">
      <text>
        <t>SLB 3Q25 earnings release EX-99 (S3) | Adjusted EBITDA reconciliation by Division (Net Interest Expense (Income) column) (prior-year column) | (5)</t>
      </text>
    </comment>
    <comment ref="E87" authorId="0">
      <text>
        <t>SLB 1Q26 earnings release EX-99 (S5) | Adjusted EBITDA reconciliation by Division (Net Interest Expense (Income) column) (prior-year column) | (1)</t>
      </text>
    </comment>
    <comment ref="F87" authorId="0">
      <text>
        <t>SLB 2Q26 earnings release EX-99 (S6) | Adjusted EBITDA reconciliation by Division (Net Interest Expense (Income) column) (prior-year column) | 0</t>
      </text>
    </comment>
    <comment ref="G87" authorId="0">
      <text>
        <t>SLB 4Q25-FY25 earnings release EX-99 (S4) | Adjusted EBITDA reconciliation by Division (Net Interest Expense (Income) column) (prior-year column) | (15)</t>
      </text>
    </comment>
    <comment ref="D88" authorId="0">
      <text>
        <t>SLB 4Q25-FY25 earnings release EX-99 (S4) | Adjusted EBITDA by Division table (prior-year column) | 468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C12" authorId="0">
      <text>
        <t>SLB 3Q25 earnings release EX-99 (S3) | Division revenue by geography: International | 2,371</t>
      </text>
    </comment>
    <comment ref="D12" authorId="0">
      <text>
        <t>SLB 4Q25-FY25 earnings release EX-99 (S4) | Division revenue by geography: International | 2,329</t>
      </text>
    </comment>
    <comment ref="E12" authorId="0">
      <text>
        <t>SLB 1Q26 earnings release EX-99 (S5) | Division revenue by geography: International | 2,195</t>
      </text>
    </comment>
    <comment ref="F12" authorId="0">
      <text>
        <t>SLB 2Q26 earnings release EX-99 (S6) | Division revenue by geography: International | 2,156</t>
      </text>
    </comment>
    <comment ref="C19" authorId="0">
      <text>
        <t>SLB 3Q25 earnings release EX-99 (S3) | Division revenue by geography: North America | 527</t>
      </text>
    </comment>
    <comment ref="D19" authorId="0">
      <text>
        <t>SLB 4Q25-FY25 earnings release EX-99 (S4) | Division revenue by geography: North America | 556</t>
      </text>
    </comment>
    <comment ref="E19" authorId="0">
      <text>
        <t>SLB 1Q26 earnings release EX-99 (S5) | Division revenue by geography: North America | 548</t>
      </text>
    </comment>
    <comment ref="F19" authorId="0">
      <text>
        <t>SLB 2Q26 earnings release EX-99 (S6) | Division revenue by geography: North America | 549</t>
      </text>
    </comment>
    <comment ref="C26" authorId="0">
      <text>
        <t>SLB 3Q25 earnings release EX-99 (S3) | Division revenue by geography: Other | 69</t>
      </text>
    </comment>
    <comment ref="D26" authorId="0">
      <text>
        <t>SLB 4Q25-FY25 earnings release EX-99 (S4) | Division revenue by geography: Other | 64</t>
      </text>
    </comment>
    <comment ref="E26" authorId="0">
      <text>
        <t>SLB 1Q26 earnings release EX-99 (S5) | Division revenue by geography: Other | 54</t>
      </text>
    </comment>
    <comment ref="F26" authorId="0">
      <text>
        <t>SLB 2Q26 earnings release EX-99 (S6) | Division revenue by geography: Other | 37</t>
      </text>
    </comment>
    <comment ref="C36" authorId="0">
      <text>
        <t>SLB 3Q25 earnings release EX-99 (S3) | ChampionX contribution disclosure | 0</t>
      </text>
    </comment>
    <comment ref="D36" authorId="0">
      <text>
        <t>SLB 4Q25-FY25 earnings release EX-99 (S4) | ChampionX contribution disclosure | 0</t>
      </text>
    </comment>
    <comment ref="E36" authorId="0">
      <text>
        <t>SLB 1Q26 earnings release EX-99 (S5) | ChampionX contribution disclosure | 0</t>
      </text>
    </comment>
    <comment ref="F36" authorId="0">
      <text>
        <t>SLB 2Q26 earnings release EX-99 (S6) | ChampionX contribution disclosure | 0</t>
      </text>
    </comment>
    <comment ref="C48" authorId="0">
      <text>
        <t>SLB 3Q25 earnings release EX-99 (S3) | Revenue by Division table | 2,967</t>
      </text>
    </comment>
    <comment ref="D48" authorId="0">
      <text>
        <t>SLB 4Q25-FY25 earnings release EX-99 (S4) | Revenue by Division table | 2,949</t>
      </text>
    </comment>
    <comment ref="E48" authorId="0">
      <text>
        <t>SLB 1Q26 earnings release EX-99 (S5) | Revenue by Division table | 2,797</t>
      </text>
    </comment>
    <comment ref="F48" authorId="0">
      <text>
        <t>SLB 2Q26 earnings release EX-99 (S6) | Revenue by Division table | 2,742</t>
      </text>
    </comment>
    <comment ref="G48" authorId="0">
      <text>
        <t>SLB 4Q25-FY25 earnings release EX-99 (S4) | Revenue by Division table | 11,856</t>
      </text>
    </comment>
    <comment ref="C52" authorId="0">
      <text>
        <t>SLB 3Q25 earnings release EX-99 (S3) | Pretax segment operating income table | 558</t>
      </text>
    </comment>
    <comment ref="D52" authorId="0">
      <text>
        <t>SLB 4Q25-FY25 earnings release EX-99 (S4) | Pretax segment operating income table | 550</t>
      </text>
    </comment>
    <comment ref="E52" authorId="0">
      <text>
        <t>SLB 1Q26 earnings release EX-99 (S5) | Pretax segment operating income table | 424</t>
      </text>
    </comment>
    <comment ref="F52" authorId="0">
      <text>
        <t>SLB 2Q26 earnings release EX-99 (S6) | Pretax segment operating income table | 417</t>
      </text>
    </comment>
    <comment ref="C59" authorId="0">
      <text>
        <t>SLB 3Q25 earnings release EX-99 (S3) | Adjusted EBITDA reconciliation by Division (Depreciation and Amortization column) | 170</t>
      </text>
    </comment>
    <comment ref="D59" authorId="0">
      <text>
        <t>SLB 4Q25-FY25 earnings release EX-99 (S4) | Adjusted EBITDA reconciliation by Division (Depreciation and Amortization column) | 169</t>
      </text>
    </comment>
    <comment ref="E59" authorId="0">
      <text>
        <t>SLB 1Q26 earnings release EX-99 (S5) | Adjusted EBITDA reconciliation by Division (Depreciation and Amortization column) | 161</t>
      </text>
    </comment>
    <comment ref="F59" authorId="0">
      <text>
        <t>SLB 2Q26 earnings release EX-99 (S6) | Adjusted EBITDA reconciliation by Division (Depreciation and Amortization column) | 161</t>
      </text>
    </comment>
    <comment ref="C65" authorId="0">
      <text>
        <t>SLB 3Q25 earnings release EX-99 (S3) | Adjusted EBITDA reconciliation by Division (Net Interest Expense (Income) column) | 0</t>
      </text>
    </comment>
    <comment ref="D65" authorId="0">
      <text>
        <t>SLB 4Q25-FY25 earnings release EX-99 (S4) | Adjusted EBITDA reconciliation by Division (Net Interest Expense (Income) column) | 0</t>
      </text>
    </comment>
    <comment ref="E65" authorId="0">
      <text>
        <t>SLB 1Q26 earnings release EX-99 (S5) | Adjusted EBITDA reconciliation by Division (Net Interest Expense (Income) column) | (1)</t>
      </text>
    </comment>
    <comment ref="F65" authorId="0">
      <text>
        <t>SLB 2Q26 earnings release EX-99 (S6) | Adjusted EBITDA reconciliation by Division (Net Interest Expense (Income) column) | 0</t>
      </text>
    </comment>
    <comment ref="C74" authorId="0">
      <text>
        <t>SLB 3Q25 earnings release EX-99 (S3) | Adjusted EBITDA by Division table | 728</t>
      </text>
    </comment>
    <comment ref="D74" authorId="0">
      <text>
        <t>SLB 4Q25-FY25 earnings release EX-99 (S4) | Adjusted EBITDA by Division table | 719</t>
      </text>
    </comment>
    <comment ref="E74" authorId="0">
      <text>
        <t>SLB 1Q26 earnings release EX-99 (S5) | Adjusted EBITDA by Division table | 584</t>
      </text>
    </comment>
    <comment ref="F74" authorId="0">
      <text>
        <t>SLB 2Q26 earnings release EX-99 (S6) | Adjusted EBITDA by Division table | 578</t>
      </text>
    </comment>
    <comment ref="G74" authorId="0">
      <text>
        <t>SLB 4Q25-FY25 earnings release EX-99 (S4) | Adjusted EBITDA by Division table | 2,919</t>
      </text>
    </comment>
    <comment ref="C78" authorId="0">
      <text>
        <t>SLB 3Q25 earnings release EX-99 (S3) | Division revenue by geography: International (prior-year column) | 2,675</t>
      </text>
    </comment>
    <comment ref="D78" authorId="0">
      <text>
        <t>SLB 4Q25-FY25 earnings release EX-99 (S4) | Division revenue by geography: International (prior-year column) | 2,625</t>
      </text>
    </comment>
    <comment ref="E78" authorId="0">
      <text>
        <t>SLB 1Q26 earnings release EX-99 (S5) | Division revenue by geography: International (prior-year column) | 2,381</t>
      </text>
    </comment>
    <comment ref="F78" authorId="0">
      <text>
        <t>SLB 2Q26 earnings release EX-99 (S6) | Division revenue by geography: International (prior-year column) | 2,394</t>
      </text>
    </comment>
    <comment ref="C79" authorId="0">
      <text>
        <t>SLB 3Q25 earnings release EX-99 (S3) | Division revenue by geography: North America (prior-year column) | 581</t>
      </text>
    </comment>
    <comment ref="D79" authorId="0">
      <text>
        <t>SLB 4Q25-FY25 earnings release EX-99 (S4) | Division revenue by geography: North America (prior-year column) | 583</t>
      </text>
    </comment>
    <comment ref="E79" authorId="0">
      <text>
        <t>SLB 1Q26 earnings release EX-99 (S5) | Division revenue by geography: North America (prior-year column) | 541</t>
      </text>
    </comment>
    <comment ref="F79" authorId="0">
      <text>
        <t>SLB 2Q26 earnings release EX-99 (S6) | Division revenue by geography: North America (prior-year column) | 512</t>
      </text>
    </comment>
    <comment ref="C80" authorId="0">
      <text>
        <t>SLB 3Q25 earnings release EX-99 (S3) | Division revenue by geography: Other (prior-year column) | 56</t>
      </text>
    </comment>
    <comment ref="D80" authorId="0">
      <text>
        <t>SLB 4Q25-FY25 earnings release EX-99 (S4) | Division revenue by geography: Other (prior-year column) | 59</t>
      </text>
    </comment>
    <comment ref="E80" authorId="0">
      <text>
        <t>SLB 1Q26 earnings release EX-99 (S5) | Division revenue by geography: Other (prior-year column) | 55</t>
      </text>
    </comment>
    <comment ref="F80" authorId="0">
      <text>
        <t>SLB 2Q26 earnings release EX-99 (S6) | Division revenue by geography: Other (prior-year column) | 57</t>
      </text>
    </comment>
    <comment ref="G81" authorId="0">
      <text>
        <t>SLB 4Q25-FY25 earnings release EX-99 (S4) | Revenue by Division (FY24 column) | 13,357</t>
      </text>
    </comment>
    <comment ref="C82" authorId="0">
      <text>
        <t>SLB 3Q25 earnings release EX-99 (S3) | ChampionX contribution disclosure (prior-year column) | 0</t>
      </text>
    </comment>
    <comment ref="D82" authorId="0">
      <text>
        <t>SLB 4Q25-FY25 earnings release EX-99 (S4) | ChampionX contribution disclosure (prior-year column) | 0</t>
      </text>
    </comment>
    <comment ref="E82" authorId="0">
      <text>
        <t>SLB 1Q26 earnings release EX-99 (S5) | ChampionX contribution disclosure (prior-year column) | 0</t>
      </text>
    </comment>
    <comment ref="F82" authorId="0">
      <text>
        <t>SLB 2Q26 earnings release EX-99 (S6) | ChampionX contribution disclosure (prior-year column) | 0</t>
      </text>
    </comment>
    <comment ref="G82" authorId="0">
      <text>
        <t>SLB 4Q25-FY25 earnings release EX-99 (S4) | ChampionX contribution disclosure (prior-year column) | 0</t>
      </text>
    </comment>
    <comment ref="C83" authorId="0">
      <text>
        <t>SLB 3Q25 earnings release EX-99 (S3) | Pretax segment operating income table (prior-year column) | 714</t>
      </text>
    </comment>
    <comment ref="D83" authorId="0">
      <text>
        <t>SLB 4Q25-FY25 earnings release EX-99 (S4) | Pretax segment operating income table (prior-year column) | 681</t>
      </text>
    </comment>
    <comment ref="E83" authorId="0">
      <text>
        <t>SLB 1Q26 earnings release EX-99 (S5) | Pretax segment operating income table (prior-year column) | 589</t>
      </text>
    </comment>
    <comment ref="F83" authorId="0">
      <text>
        <t>SLB 2Q26 earnings release EX-99 (S6) | Pretax segment operating income table (prior-year column) | 551</t>
      </text>
    </comment>
    <comment ref="G83" authorId="0">
      <text>
        <t>SLB 4Q25-FY25 earnings release EX-99 (S4) | Pretax segment operating income table (prior-year column) | 2,826</t>
      </text>
    </comment>
    <comment ref="C85" authorId="0">
      <text>
        <t>SLB 3Q25 earnings release EX-99 (S3) | Adjusted EBITDA reconciliation by Division (Depreciation and Amortization column) (prior-year column) | 166</t>
      </text>
    </comment>
    <comment ref="E85" authorId="0">
      <text>
        <t>SLB 1Q26 earnings release EX-99 (S5) | Adjusted EBITDA reconciliation by Division (Depreciation and Amortization column) (prior-year column) | 164</t>
      </text>
    </comment>
    <comment ref="F85" authorId="0">
      <text>
        <t>SLB 2Q26 earnings release EX-99 (S6) | Adjusted EBITDA reconciliation by Division (Depreciation and Amortization column) (prior-year column) | 169</t>
      </text>
    </comment>
    <comment ref="G85" authorId="0">
      <text>
        <t>SLB 4Q25-FY25 earnings release EX-99 (S4) | Adjusted EBITDA reconciliation by Division (Depreciation and Amortization column) (prior-year column) | 649</t>
      </text>
    </comment>
    <comment ref="C87" authorId="0">
      <text>
        <t>SLB 3Q25 earnings release EX-99 (S3) | Adjusted EBITDA reconciliation by Division (Net Interest Expense (Income) column) (prior-year column) | (5)</t>
      </text>
    </comment>
    <comment ref="E87" authorId="0">
      <text>
        <t>SLB 1Q26 earnings release EX-99 (S5) | Adjusted EBITDA reconciliation by Division (Net Interest Expense (Income) column) (prior-year column) | 0</t>
      </text>
    </comment>
    <comment ref="F87" authorId="0">
      <text>
        <t>SLB 2Q26 earnings release EX-99 (S6) | Adjusted EBITDA reconciliation by Division (Net Interest Expense (Income) column) (prior-year column) | 0</t>
      </text>
    </comment>
    <comment ref="G87" authorId="0">
      <text>
        <t>SLB 4Q25-FY25 earnings release EX-99 (S4) | Adjusted EBITDA reconciliation by Division (Net Interest Expense (Income) column) (prior-year column) | (14)</t>
      </text>
    </comment>
    <comment ref="D88" authorId="0">
      <text>
        <t>SLB 4Q25-FY25 earnings release EX-99 (S4) | Adjusted EBITDA by Division table (prior-year column) | 841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C12" authorId="0">
      <text>
        <t>SLB 3Q25 earnings release EX-99 (S3) | Division revenue by geography: International | 2,440</t>
      </text>
    </comment>
    <comment ref="D12" authorId="0">
      <text>
        <t>SLB 4Q25-FY25 earnings release EX-99 (S4) | Division revenue by geography: International | 2,853</t>
      </text>
    </comment>
    <comment ref="E12" authorId="0">
      <text>
        <t>SLB 1Q26 earnings release EX-99 (S5) | Division revenue by geography: International | 2,272</t>
      </text>
    </comment>
    <comment ref="F12" authorId="0">
      <text>
        <t>SLB 2Q26 earnings release EX-99 (S6) | Division revenue by geography: International | 2,478</t>
      </text>
    </comment>
    <comment ref="C19" authorId="0">
      <text>
        <t>SLB 3Q25 earnings release EX-99 (S3) | Division revenue by geography: North America | 1,008</t>
      </text>
    </comment>
    <comment ref="D19" authorId="0">
      <text>
        <t>SLB 4Q25-FY25 earnings release EX-99 (S4) | Division revenue by geography: North America | 1,200</t>
      </text>
    </comment>
    <comment ref="E19" authorId="0">
      <text>
        <t>SLB 1Q26 earnings release EX-99 (S5) | Division revenue by geography: North America | 1,206</t>
      </text>
    </comment>
    <comment ref="F19" authorId="0">
      <text>
        <t>SLB 2Q26 earnings release EX-99 (S6) | Division revenue by geography: North America | 1,259</t>
      </text>
    </comment>
    <comment ref="C26" authorId="0">
      <text>
        <t>SLB 3Q25 earnings release EX-99 (S3) | Division revenue by geography: Other | 26</t>
      </text>
    </comment>
    <comment ref="D26" authorId="0">
      <text>
        <t>SLB 4Q25-FY25 earnings release EX-99 (S4) | Division revenue by geography: Other | 25</t>
      </text>
    </comment>
    <comment ref="E26" authorId="0">
      <text>
        <t>SLB 1Q26 earnings release EX-99 (S5) | Division revenue by geography: Other | 30</t>
      </text>
    </comment>
    <comment ref="F26" authorId="0">
      <text>
        <t>SLB 2Q26 earnings release EX-99 (S6) | Division revenue by geography: Other | 34</t>
      </text>
    </comment>
    <comment ref="C36" authorId="0">
      <text>
        <t>SLB 3Q25 earnings release EX-99 (S3) | ChampionX contribution disclosure | 575</t>
      </text>
    </comment>
    <comment ref="D36" authorId="0">
      <text>
        <t>SLB 4Q25-FY25 earnings release EX-99 (S4) | ChampionX contribution disclosure | 874</t>
      </text>
    </comment>
    <comment ref="E36" authorId="0">
      <text>
        <t>SLB 1Q26 earnings release EX-99 (S5) | ChampionX contribution disclosure | 833</t>
      </text>
    </comment>
    <comment ref="F36" authorId="0">
      <text>
        <t>SLB 2Q26 earnings release EX-99 (S6) | ChampionX contribution disclosure | 865</t>
      </text>
    </comment>
    <comment ref="C48" authorId="0">
      <text>
        <t>SLB 3Q25 earnings release EX-99 (S3) | Revenue by Division table | 3,474</t>
      </text>
    </comment>
    <comment ref="D48" authorId="0">
      <text>
        <t>SLB 4Q25-FY25 earnings release EX-99 (S4) | Revenue by Division table | 4,078</t>
      </text>
    </comment>
    <comment ref="E48" authorId="0">
      <text>
        <t>SLB 1Q26 earnings release EX-99 (S5) | Revenue by Division table | 3,508</t>
      </text>
    </comment>
    <comment ref="F48" authorId="0">
      <text>
        <t>SLB 2Q26 earnings release EX-99 (S6) | Revenue by Division table | 3,771</t>
      </text>
    </comment>
    <comment ref="G48" authorId="0">
      <text>
        <t>SLB 4Q25-FY25 earnings release EX-99 (S4) | Revenue by Division table | 13,325</t>
      </text>
    </comment>
    <comment ref="C52" authorId="0">
      <text>
        <t>SLB 3Q25 earnings release EX-99 (S3) | Pretax segment operating income table | 559</t>
      </text>
    </comment>
    <comment ref="D52" authorId="0">
      <text>
        <t>SLB 4Q25-FY25 earnings release EX-99 (S4) | Pretax segment operating income table | 664</t>
      </text>
    </comment>
    <comment ref="E52" authorId="0">
      <text>
        <t>SLB 1Q26 earnings release EX-99 (S5) | Pretax segment operating income table | 497</t>
      </text>
    </comment>
    <comment ref="F52" authorId="0">
      <text>
        <t>SLB 2Q26 earnings release EX-99 (S6) | Pretax segment operating income table | 586</t>
      </text>
    </comment>
    <comment ref="C59" authorId="0">
      <text>
        <t>SLB 3Q25 earnings release EX-99 (S3) | Adjusted EBITDA reconciliation by Division (Depreciation and Amortization column) | 131</t>
      </text>
    </comment>
    <comment ref="D59" authorId="0">
      <text>
        <t>SLB 4Q25-FY25 earnings release EX-99 (S4) | Adjusted EBITDA reconciliation by Division (Depreciation and Amortization column) | 151</t>
      </text>
    </comment>
    <comment ref="E59" authorId="0">
      <text>
        <t>SLB 1Q26 earnings release EX-99 (S5) | Adjusted EBITDA reconciliation by Division (Depreciation and Amortization column) | 152</t>
      </text>
    </comment>
    <comment ref="F59" authorId="0">
      <text>
        <t>SLB 2Q26 earnings release EX-99 (S6) | Adjusted EBITDA reconciliation by Division (Depreciation and Amortization column) | 152</t>
      </text>
    </comment>
    <comment ref="C65" authorId="0">
      <text>
        <t>SLB 3Q25 earnings release EX-99 (S3) | Adjusted EBITDA reconciliation by Division (Net Interest Expense (Income) column) | 0</t>
      </text>
    </comment>
    <comment ref="D65" authorId="0">
      <text>
        <t>SLB 4Q25-FY25 earnings release EX-99 (S4) | Adjusted EBITDA reconciliation by Division (Net Interest Expense (Income) column) | 0</t>
      </text>
    </comment>
    <comment ref="E65" authorId="0">
      <text>
        <t>SLB 1Q26 earnings release EX-99 (S5) | Adjusted EBITDA reconciliation by Division (Net Interest Expense (Income) column) | (1)</t>
      </text>
    </comment>
    <comment ref="F65" authorId="0">
      <text>
        <t>SLB 2Q26 earnings release EX-99 (S6) | Adjusted EBITDA reconciliation by Division (Net Interest Expense (Income) column) | 0</t>
      </text>
    </comment>
    <comment ref="C74" authorId="0">
      <text>
        <t>SLB 3Q25 earnings release EX-99 (S3) | Adjusted EBITDA by Division table | 690</t>
      </text>
    </comment>
    <comment ref="D74" authorId="0">
      <text>
        <t>SLB 4Q25-FY25 earnings release EX-99 (S4) | Adjusted EBITDA by Division table | 815</t>
      </text>
    </comment>
    <comment ref="E74" authorId="0">
      <text>
        <t>SLB 1Q26 earnings release EX-99 (S5) | Adjusted EBITDA by Division table | 648</t>
      </text>
    </comment>
    <comment ref="F74" authorId="0">
      <text>
        <t>SLB 2Q26 earnings release EX-99 (S6) | Adjusted EBITDA by Division table | 738</t>
      </text>
    </comment>
    <comment ref="G74" authorId="0">
      <text>
        <t>SLB 4Q25-FY25 earnings release EX-99 (S4) | Adjusted EBITDA by Division table | 2,648</t>
      </text>
    </comment>
    <comment ref="C77" authorId="0">
      <text>
        <t>SLB 3Q25 earnings release EX-99 (S3) | ChampionX contribution disclosure (Production Systems) | 106</t>
      </text>
    </comment>
    <comment ref="D77" authorId="0">
      <text>
        <t>SLB 4Q25-FY25 earnings release EX-99 (S4) | ChampionX contribution disclosure (Production Systems) | 153</t>
      </text>
    </comment>
    <comment ref="E77" authorId="0">
      <text>
        <t>SLB 1Q26 earnings release EX-99 (S5) | ChampionX contribution disclosure (Production Systems) | 148</t>
      </text>
    </comment>
    <comment ref="F77" authorId="0">
      <text>
        <t>SLB 2Q26 earnings release EX-99 (S6) | ChampionX contribution disclosure (Production Systems) | 155</t>
      </text>
    </comment>
    <comment ref="C95" authorId="0">
      <text>
        <t>SLB 3Q25 earnings release EX-99 (S3) | Production Systems pro forma table | 3,774</t>
      </text>
    </comment>
    <comment ref="C103" authorId="0">
      <text>
        <t>SLB 3Q25 earnings release EX-99 (S3) | Division revenue by geography: International (prior-year column) | 2,373</t>
      </text>
    </comment>
    <comment ref="D103" authorId="0">
      <text>
        <t>SLB 4Q25-FY25 earnings release EX-99 (S4) | Division revenue by geography: International (prior-year column) | 2,471</t>
      </text>
    </comment>
    <comment ref="E103" authorId="0">
      <text>
        <t>SLB 1Q26 earnings release EX-99 (S5) | Division revenue by geography: International (prior-year column) | 2,166</t>
      </text>
    </comment>
    <comment ref="F103" authorId="0">
      <text>
        <t>SLB 2Q26 earnings release EX-99 (S6) | Division revenue by geography: International (prior-year column) | 2,243</t>
      </text>
    </comment>
    <comment ref="C104" authorId="0">
      <text>
        <t>SLB 3Q25 earnings release EX-99 (S3) | Division revenue by geography: North America (prior-year column) | 657</t>
      </text>
    </comment>
    <comment ref="D104" authorId="0">
      <text>
        <t>SLB 4Q25-FY25 earnings release EX-99 (S4) | Division revenue by geography: North America (prior-year column) | 646</t>
      </text>
    </comment>
    <comment ref="E104" authorId="0">
      <text>
        <t>SLB 1Q26 earnings release EX-99 (S5) | Division revenue by geography: North America (prior-year column) | 671</t>
      </text>
    </comment>
    <comment ref="F104" authorId="0">
      <text>
        <t>SLB 2Q26 earnings release EX-99 (S6) | Division revenue by geography: North America (prior-year column) | 685</t>
      </text>
    </comment>
    <comment ref="C105" authorId="0">
      <text>
        <t>SLB 3Q25 earnings release EX-99 (S3) | Division revenue by geography: Other (prior-year column) | 7</t>
      </text>
    </comment>
    <comment ref="D105" authorId="0">
      <text>
        <t>SLB 4Q25-FY25 earnings release EX-99 (S4) | Division revenue by geography: Other (prior-year column) | 10</t>
      </text>
    </comment>
    <comment ref="E105" authorId="0">
      <text>
        <t>SLB 1Q26 earnings release EX-99 (S5) | Division revenue by geography: Other (prior-year column) | 4</t>
      </text>
    </comment>
    <comment ref="F105" authorId="0">
      <text>
        <t>SLB 2Q26 earnings release EX-99 (S6) | Division revenue by geography: Other (prior-year column) | 4</t>
      </text>
    </comment>
    <comment ref="G106" authorId="0">
      <text>
        <t>SLB 4Q25-FY25 earnings release EX-99 (S4) | Revenue by Division (FY24 column) | 11,935</t>
      </text>
    </comment>
    <comment ref="C107" authorId="0">
      <text>
        <t>SLB 3Q25 earnings release EX-99 (S3) | ChampionX contribution disclosure (prior-year column) | 0</t>
      </text>
    </comment>
    <comment ref="D107" authorId="0">
      <text>
        <t>SLB 4Q25-FY25 earnings release EX-99 (S4) | ChampionX contribution disclosure (prior-year column) | 0</t>
      </text>
    </comment>
    <comment ref="E107" authorId="0">
      <text>
        <t>SLB 1Q26 earnings release EX-99 (S5) | ChampionX contribution disclosure (prior-year column) | 0</t>
      </text>
    </comment>
    <comment ref="F107" authorId="0">
      <text>
        <t>SLB 2Q26 earnings release EX-99 (S6) | ChampionX contribution disclosure (prior-year column) | 0</t>
      </text>
    </comment>
    <comment ref="G107" authorId="0">
      <text>
        <t>SLB 4Q25-FY25 earnings release EX-99 (S4) | ChampionX contribution disclosure (prior-year column) | 0</t>
      </text>
    </comment>
    <comment ref="C108" authorId="0">
      <text>
        <t>SLB 3Q25 earnings release EX-99 (S3) | Pretax segment operating income table (prior-year column) | 518</t>
      </text>
    </comment>
    <comment ref="D108" authorId="0">
      <text>
        <t>SLB 4Q25-FY25 earnings release EX-99 (S4) | Pretax segment operating income table (prior-year column) | 509</t>
      </text>
    </comment>
    <comment ref="E108" authorId="0">
      <text>
        <t>SLB 1Q26 earnings release EX-99 (S5) | Pretax segment operating income table (prior-year column) | 471</t>
      </text>
    </comment>
    <comment ref="F108" authorId="0">
      <text>
        <t>SLB 2Q26 earnings release EX-99 (S6) | Pretax segment operating income table (prior-year column) | 491</t>
      </text>
    </comment>
    <comment ref="G108" authorId="0">
      <text>
        <t>SLB 4Q25-FY25 earnings release EX-99 (S4) | Pretax segment operating income table (prior-year column) | 1,900</t>
      </text>
    </comment>
    <comment ref="C110" authorId="0">
      <text>
        <t>SLB 3Q25 earnings release EX-99 (S3) | Adjusted EBITDA reconciliation by Division (Depreciation and Amortization column) (prior-year column) | 92</t>
      </text>
    </comment>
    <comment ref="E110" authorId="0">
      <text>
        <t>SLB 1Q26 earnings release EX-99 (S5) | Adjusted EBITDA reconciliation by Division (Depreciation and Amortization column) (prior-year column) | 90</t>
      </text>
    </comment>
    <comment ref="F110" authorId="0">
      <text>
        <t>SLB 2Q26 earnings release EX-99 (S6) | Adjusted EBITDA reconciliation by Division (Depreciation and Amortization column) (prior-year column) | 91</t>
      </text>
    </comment>
    <comment ref="G110" authorId="0">
      <text>
        <t>SLB 4Q25-FY25 earnings release EX-99 (S4) | Adjusted EBITDA reconciliation by Division (Depreciation and Amortization column) (prior-year column) | 347</t>
      </text>
    </comment>
    <comment ref="C112" authorId="0">
      <text>
        <t>SLB 3Q25 earnings release EX-99 (S3) | Adjusted EBITDA reconciliation by Division (Net Interest Expense (Income) column) (prior-year column) | (1)</t>
      </text>
    </comment>
    <comment ref="E112" authorId="0">
      <text>
        <t>SLB 1Q26 earnings release EX-99 (S5) | Adjusted EBITDA reconciliation by Division (Net Interest Expense (Income) column) (prior-year column) | 0</t>
      </text>
    </comment>
    <comment ref="F112" authorId="0">
      <text>
        <t>SLB 2Q26 earnings release EX-99 (S6) | Adjusted EBITDA reconciliation by Division (Net Interest Expense (Income) column) (prior-year column) | 0</t>
      </text>
    </comment>
    <comment ref="G112" authorId="0">
      <text>
        <t>SLB 4Q25-FY25 earnings release EX-99 (S4) | Adjusted EBITDA reconciliation by Division (Net Interest Expense (Income) column) (prior-year column) | (4)</t>
      </text>
    </comment>
    <comment ref="D113" authorId="0">
      <text>
        <t>SLB 4Q25-FY25 earnings release EX-99 (S4) | Adjusted EBITDA by Division table (prior-year column) | 598</t>
      </text>
    </comment>
    <comment ref="C115" authorId="0">
      <text>
        <t>SLB 3Q25 earnings release EX-99 (S3) | ChampionX contribution disclosure (Production Systems) (prior-year column) | 0</t>
      </text>
    </comment>
    <comment ref="D115" authorId="0">
      <text>
        <t>SLB 4Q25-FY25 earnings release EX-99 (S4) | ChampionX contribution disclosure (Production Systems) (prior-year column) | 0</t>
      </text>
    </comment>
    <comment ref="E115" authorId="0">
      <text>
        <t>SLB 1Q26 earnings release EX-99 (S5) | ChampionX contribution disclosure (Production Systems) (prior-year column) | 0</t>
      </text>
    </comment>
    <comment ref="F115" authorId="0">
      <text>
        <t>SLB 2Q26 earnings release EX-99 (S6) | ChampionX contribution disclosure (Production Systems) (prior-year column) | 0</t>
      </text>
    </comment>
    <comment ref="G115" authorId="0">
      <text>
        <t>SLB 4Q25-FY25 earnings release EX-99 (S4) | ChampionX contribution disclosure (Production Systems) (prior-year column) | 0</t>
      </text>
    </comment>
    <comment ref="C119" authorId="0">
      <text>
        <t>SLB 3Q25 earnings release EX-99 (S3) | Production Systems pro forma table (prior-year column) | 3,887</t>
      </text>
    </comment>
    <comment ref="D119" authorId="0">
      <text>
        <t>SLB 4Q25-FY25 earnings release EX-99 (S4) | Production Systems pro forma table (prior-year column) | 3,983</t>
      </text>
    </comment>
    <comment ref="E119" authorId="0">
      <text>
        <t>SLB 1Q26 earnings release EX-99 (S5) | Production Systems pro forma table (prior-year column) | 3,650</t>
      </text>
    </comment>
    <comment ref="F119" authorId="0">
      <text>
        <t>SLB 2Q26 earnings release EX-99 (S6) | Production Systems pro forma table (prior-year column) | 3,780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C11" authorId="0">
      <text>
        <t>SLB 3Q25 earnings release EX-99 (S3) | Data Center Solutions revenue was $331 million for the first nine months of 2025 | 331</t>
      </text>
    </comment>
    <comment ref="D12" authorId="0">
      <text>
        <t>SLB 1Q26 earnings release EX-99 (S5) | Question 13: $128 million in the fourth quarter of 2025 | 128</t>
      </text>
    </comment>
    <comment ref="E12" authorId="0">
      <text>
        <t>SLB 1Q26 earnings release EX-99 (S5) | Question 13: $141 million in the first quarter of 2026 | 141</t>
      </text>
    </comment>
    <comment ref="F12" authorId="0">
      <text>
        <t>SLB 2Q26 earnings release EX-99 (S6) | Question 14: $186 million in the second quarter of 2026 | 186</t>
      </text>
    </comment>
    <comment ref="C21" authorId="0">
      <text>
        <t>SLB 3Q25 earnings release EX-99 (S3) | Revenue by Division: All Other | 397</t>
      </text>
    </comment>
    <comment ref="D21" authorId="0">
      <text>
        <t>SLB 4Q25-FY25 earnings release EX-99 (S4) | Revenue by Division: All Other | 445</t>
      </text>
    </comment>
    <comment ref="E21" authorId="0">
      <text>
        <t>SLB 1Q26 earnings release EX-99 (S5) | Revenue by Division: All Other | 443</t>
      </text>
    </comment>
    <comment ref="F21" authorId="0">
      <text>
        <t>SLB 2Q26 earnings release EX-99 (S6) | Revenue by Division: All Other | 505</t>
      </text>
    </comment>
    <comment ref="G21" authorId="0">
      <text>
        <t>SLB 4Q25-FY25 earnings release EX-99 (S4) | Revenue by Division: All Other | 1,987</t>
      </text>
    </comment>
    <comment ref="C33" authorId="0">
      <text>
        <t>SLB 3Q25 earnings release EX-99 (S3) | ChampionX contribution disclosure | 0</t>
      </text>
    </comment>
    <comment ref="D33" authorId="0">
      <text>
        <t>SLB 4Q25-FY25 earnings release EX-99 (S4) | ChampionX contribution disclosure | 0</t>
      </text>
    </comment>
    <comment ref="E33" authorId="0">
      <text>
        <t>SLB 1Q26 earnings release EX-99 (S5) | ChampionX contribution disclosure | 0</t>
      </text>
    </comment>
    <comment ref="F33" authorId="0">
      <text>
        <t>SLB 2Q26 earnings release EX-99 (S6) | ChampionX contribution disclosure | 0</t>
      </text>
    </comment>
    <comment ref="C46" authorId="0">
      <text>
        <t>SLB 3Q25 earnings release EX-99 (S3) | Pretax segment operating income table | 96</t>
      </text>
    </comment>
    <comment ref="D46" authorId="0">
      <text>
        <t>SLB 4Q25-FY25 earnings release EX-99 (S4) | Pretax segment operating income table | 85</t>
      </text>
    </comment>
    <comment ref="E46" authorId="0">
      <text>
        <t>SLB 1Q26 earnings release EX-99 (S5) | Pretax segment operating income table | 113</t>
      </text>
    </comment>
    <comment ref="F46" authorId="0">
      <text>
        <t>SLB 2Q26 earnings release EX-99 (S6) | Pretax segment operating income table | 142</t>
      </text>
    </comment>
    <comment ref="D53" authorId="0">
      <text>
        <t>SLB 4Q25-FY25 earnings release EX-99 (S4) | Adjusted EBITDA reconciliation by Division (Depreciation and Amortization column) | 85</t>
      </text>
    </comment>
    <comment ref="E53" authorId="0">
      <text>
        <t>SLB 1Q26 earnings release EX-99 (S5) | Adjusted EBITDA reconciliation by Division (Depreciation and Amortization column) | 84</t>
      </text>
    </comment>
    <comment ref="F53" authorId="0">
      <text>
        <t>SLB 2Q26 earnings release EX-99 (S6) | Adjusted EBITDA reconciliation by Division (Depreciation and Amortization column) | 85</t>
      </text>
    </comment>
    <comment ref="C59" authorId="0">
      <text>
        <t>SLB 3Q25 earnings release EX-99 (S3) | Adjusted EBITDA reconciliation by Division (Net Interest Expense (Income) column) | 0</t>
      </text>
    </comment>
    <comment ref="D59" authorId="0">
      <text>
        <t>SLB 4Q25-FY25 earnings release EX-99 (S4) | Adjusted EBITDA reconciliation by Division (Net Interest Expense (Income) column) | 0</t>
      </text>
    </comment>
    <comment ref="E59" authorId="0">
      <text>
        <t>SLB 1Q26 earnings release EX-99 (S5) | Adjusted EBITDA reconciliation by Division (Net Interest Expense (Income) column) | 0</t>
      </text>
    </comment>
    <comment ref="F59" authorId="0">
      <text>
        <t>SLB 2Q26 earnings release EX-99 (S6) | Adjusted EBITDA reconciliation by Division (Net Interest Expense (Income) column) | 0</t>
      </text>
    </comment>
    <comment ref="C68" authorId="0">
      <text>
        <t>SLB 3Q25 earnings release EX-99 (S3) | Adjusted EBITDA by Division table | 158</t>
      </text>
    </comment>
    <comment ref="D68" authorId="0">
      <text>
        <t>SLB 4Q25-FY25 earnings release EX-99 (S4) | Adjusted EBITDA by Division table | 170</t>
      </text>
    </comment>
    <comment ref="E68" authorId="0">
      <text>
        <t>SLB 1Q26 earnings release EX-99 (S5) | Adjusted EBITDA by Division table | 197</t>
      </text>
    </comment>
    <comment ref="F68" authorId="0">
      <text>
        <t>SLB 2Q26 earnings release EX-99 (S6) | Adjusted EBITDA by Division table | 227</t>
      </text>
    </comment>
    <comment ref="G68" authorId="0">
      <text>
        <t>SLB 4Q25-FY25 earnings release EX-99 (S4) | Adjusted EBITDA by Division table | 880</t>
      </text>
    </comment>
    <comment ref="D72" authorId="0">
      <text>
        <t>SLB 4Q25-FY25 earnings release EX-99 (S4) | derived: FY24 $208m less 9M24 $138m | 70</t>
      </text>
    </comment>
    <comment ref="E72" authorId="0">
      <text>
        <t>SLB 1Q26 earnings release EX-99 (S5) | Question 13: $97 million in the first quarter of 2025 | 97</t>
      </text>
    </comment>
    <comment ref="F72" authorId="0">
      <text>
        <t>SLB 2Q26 earnings release EX-99 (S6) | Question 14: $104 million in the second quarter of 2025 | 104</t>
      </text>
    </comment>
    <comment ref="G72" authorId="0">
      <text>
        <t>SLB 4Q25-FY25 earnings release EX-99 (S4) | Question 15: $208 million for the full year of 2024 | 208</t>
      </text>
    </comment>
    <comment ref="C74" authorId="0">
      <text>
        <t>SLB 3Q25 earnings release EX-99 (S3) | Revenue by Division: All Other (prior-year column) | 554</t>
      </text>
    </comment>
    <comment ref="D74" authorId="0">
      <text>
        <t>SLB 4Q25-FY25 earnings release EX-99 (S4) | Revenue by Division: All Other (prior-year column) | 582</t>
      </text>
    </comment>
    <comment ref="E74" authorId="0">
      <text>
        <t>SLB 1Q26 earnings release EX-99 (S5) | Revenue by Division: All Other (prior-year column) | 562</t>
      </text>
    </comment>
    <comment ref="F74" authorId="0">
      <text>
        <t>SLB 2Q26 earnings release EX-99 (S6) | Revenue by Division: All Other (prior-year column) | 583</t>
      </text>
    </comment>
    <comment ref="G74" authorId="0">
      <text>
        <t>SLB 4Q25-FY25 earnings release EX-99 (S4) | Revenue by Division: All Other (prior-year column) | 2,117</t>
      </text>
    </comment>
    <comment ref="C75" authorId="0">
      <text>
        <t>SLB 3Q25 earnings release EX-99 (S3) | ChampionX contribution disclosure (prior-year column) | 0</t>
      </text>
    </comment>
    <comment ref="D75" authorId="0">
      <text>
        <t>SLB 4Q25-FY25 earnings release EX-99 (S4) | ChampionX contribution disclosure (prior-year column) | 0</t>
      </text>
    </comment>
    <comment ref="E75" authorId="0">
      <text>
        <t>SLB 1Q26 earnings release EX-99 (S5) | ChampionX contribution disclosure (prior-year column) | 0</t>
      </text>
    </comment>
    <comment ref="F75" authorId="0">
      <text>
        <t>SLB 2Q26 earnings release EX-99 (S6) | ChampionX contribution disclosure (prior-year column) | 0</t>
      </text>
    </comment>
    <comment ref="G75" authorId="0">
      <text>
        <t>SLB 4Q25-FY25 earnings release EX-99 (S4) | ChampionX contribution disclosure (prior-year column) | 0</t>
      </text>
    </comment>
    <comment ref="C76" authorId="0">
      <text>
        <t>SLB 3Q25 earnings release EX-99 (S3) | Pretax segment operating income table (prior-year column) | 188</t>
      </text>
    </comment>
    <comment ref="D76" authorId="0">
      <text>
        <t>SLB 4Q25-FY25 earnings release EX-99 (S4) | Pretax segment operating income table (prior-year column) | 187</t>
      </text>
    </comment>
    <comment ref="E76" authorId="0">
      <text>
        <t>SLB 1Q26 earnings release EX-99 (S5) | Pretax segment operating income table (prior-year column) | 162</t>
      </text>
    </comment>
    <comment ref="F76" authorId="0">
      <text>
        <t>SLB 2Q26 earnings release EX-99 (S6) | Pretax segment operating income table (prior-year column) | 155</t>
      </text>
    </comment>
    <comment ref="G76" authorId="0">
      <text>
        <t>SLB 4Q25-FY25 earnings release EX-99 (S4) | Pretax segment operating income table (prior-year column) | 775</t>
      </text>
    </comment>
    <comment ref="E78" authorId="0">
      <text>
        <t>SLB 1Q26 earnings release EX-99 (S5) | Adjusted EBITDA reconciliation by Division (Depreciation and Amortization column) (prior-year column) | 111</t>
      </text>
    </comment>
    <comment ref="F78" authorId="0">
      <text>
        <t>SLB 2Q26 earnings release EX-99 (S6) | Adjusted EBITDA reconciliation by Division (Depreciation and Amortization column) (prior-year column) | 117</t>
      </text>
    </comment>
    <comment ref="G78" authorId="0">
      <text>
        <t>SLB 4Q25-FY25 earnings release EX-99 (S4) | Adjusted EBITDA reconciliation by Division (Depreciation and Amortization column) (prior-year column) | 483</t>
      </text>
    </comment>
    <comment ref="E80" authorId="0">
      <text>
        <t>SLB 1Q26 earnings release EX-99 (S5) | Adjusted EBITDA reconciliation by Division (Net Interest Expense (Income) column) (prior-year column) | 3</t>
      </text>
    </comment>
    <comment ref="F80" authorId="0">
      <text>
        <t>SLB 2Q26 earnings release EX-99 (S6) | Adjusted EBITDA reconciliation by Division (Net Interest Expense (Income) column) (prior-year column) | 3</t>
      </text>
    </comment>
    <comment ref="G80" authorId="0">
      <text>
        <t>SLB 4Q25-FY25 earnings release EX-99 (S4) | Adjusted EBITDA reconciliation by Division (Net Interest Expense (Income) column) (prior-year column) | 13</t>
      </text>
    </comment>
    <comment ref="D81" authorId="0">
      <text>
        <t>SLB 4Q25-FY25 earnings release EX-99 (S4) | Adjusted EBITDA by Division table (prior-year column) | 317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C17" authorId="0">
      <text>
        <t>SLB 3Q25 earnings release EX-99 (S3) | Condensed Consolidated Statement of Income | 78</t>
      </text>
    </comment>
    <comment ref="D17" authorId="0">
      <text>
        <t>SLB 4Q25-FY25 earnings release EX-99 (S4) | Condensed Consolidated Statement of Income | 73</t>
      </text>
    </comment>
    <comment ref="E17" authorId="0">
      <text>
        <t>SLB 1Q26 earnings release EX-99 (S5) | Condensed Consolidated Statement of Income | 43</t>
      </text>
    </comment>
    <comment ref="F17" authorId="0">
      <text>
        <t>SLB 2Q26 earnings release EX-99 (S6) | Condensed Consolidated Statement of Income | 76</t>
      </text>
    </comment>
    <comment ref="C20" authorId="0">
      <text>
        <t>SLB 3Q25 earnings release EX-99 (S3) | Adjusted EBITDA reconciliation: Interest income | 37</t>
      </text>
    </comment>
    <comment ref="D20" authorId="0">
      <text>
        <t>SLB 4Q25-FY25 earnings release EX-99 (S4) | Adjusted EBITDA reconciliation: Interest income | 31</t>
      </text>
    </comment>
    <comment ref="E20" authorId="0">
      <text>
        <t>SLB 1Q26 earnings release EX-99 (S5) | Adjusted EBITDA reconciliation: Interest income | 25</t>
      </text>
    </comment>
    <comment ref="F20" authorId="0">
      <text>
        <t>SLB 2Q26 earnings release EX-99 (S6) | Adjusted EBITDA reconciliation: Interest income | 29</t>
      </text>
    </comment>
    <comment ref="C27" authorId="0">
      <text>
        <t>SLB 3Q25 earnings release EX-99 (S3) | Condensed Consolidated Statement of Income | 7,370</t>
      </text>
    </comment>
    <comment ref="D27" authorId="0">
      <text>
        <t>SLB 4Q25-FY25 earnings release EX-99 (S4) | Condensed Consolidated Statement of Income | 8,017</t>
      </text>
    </comment>
    <comment ref="E27" authorId="0">
      <text>
        <t>SLB 1Q26 earnings release EX-99 (S5) | Condensed Consolidated Statement of Income | 7,390</t>
      </text>
    </comment>
    <comment ref="F27" authorId="0">
      <text>
        <t>SLB 2Q26 earnings release EX-99 (S6) | Condensed Consolidated Statement of Income | 7,577</t>
      </text>
    </comment>
    <comment ref="C39" authorId="0">
      <text>
        <t>SLB 3Q25 earnings release EX-99 (S3) | Condensed Consolidated Statement of Income | 170</t>
      </text>
    </comment>
    <comment ref="D39" authorId="0">
      <text>
        <t>SLB 4Q25-FY25 earnings release EX-99 (S4) | Condensed Consolidated Statement of Income | 187</t>
      </text>
    </comment>
    <comment ref="E39" authorId="0">
      <text>
        <t>SLB 1Q26 earnings release EX-99 (S5) | Condensed Consolidated Statement of Income | 164</t>
      </text>
    </comment>
    <comment ref="F39" authorId="0">
      <text>
        <t>SLB 2Q26 earnings release EX-99 (S6) | Condensed Consolidated Statement of Income | 171</t>
      </text>
    </comment>
    <comment ref="C45" authorId="0">
      <text>
        <t>SLB 3Q25 earnings release EX-99 (S3) | Condensed Consolidated Statement of Income | 72</t>
      </text>
    </comment>
    <comment ref="D45" authorId="0">
      <text>
        <t>SLB 4Q25-FY25 earnings release EX-99 (S4) | Condensed Consolidated Statement of Income | 84</t>
      </text>
    </comment>
    <comment ref="E45" authorId="0">
      <text>
        <t>SLB 1Q26 earnings release EX-99 (S5) | Condensed Consolidated Statement of Income | 97</t>
      </text>
    </comment>
    <comment ref="F45" authorId="0">
      <text>
        <t>SLB 2Q26 earnings release EX-99 (S6) | Condensed Consolidated Statement of Income | 84</t>
      </text>
    </comment>
    <comment ref="C70" authorId="0">
      <text>
        <t>SLB 3Q25 earnings release EX-99 (S3) | Condensed Consolidated Statement of Income | 226</t>
      </text>
    </comment>
    <comment ref="D70" authorId="0">
      <text>
        <t>SLB 4Q25-FY25 earnings release EX-99 (S4) | Condensed Consolidated Statement of Income | 143</t>
      </text>
    </comment>
    <comment ref="E70" authorId="0">
      <text>
        <t>SLB 1Q26 earnings release EX-99 (S5) | Condensed Consolidated Statement of Income | 195</t>
      </text>
    </comment>
    <comment ref="F70" authorId="0">
      <text>
        <t>SLB 2Q26 earnings release EX-99 (S6) | Condensed Consolidated Statement of Income | 204</t>
      </text>
    </comment>
    <comment ref="C79" authorId="0">
      <text>
        <t>SLB 3Q25 earnings release EX-99 (S3) | Condensed Consolidated Statement of Income | 35</t>
      </text>
    </comment>
    <comment ref="D79" authorId="0">
      <text>
        <t>SLB 4Q25-FY25 earnings release EX-99 (S4) | Condensed Consolidated Statement of Income | (24)</t>
      </text>
    </comment>
    <comment ref="E79" authorId="0">
      <text>
        <t>SLB 1Q26 earnings release EX-99 (S5) | Condensed Consolidated Statement of Income | 9</t>
      </text>
    </comment>
    <comment ref="F79" authorId="0">
      <text>
        <t>SLB 2Q26 earnings release EX-99 (S6) | Condensed Consolidated Statement of Income | 29</t>
      </text>
    </comment>
    <comment ref="G94" authorId="0">
      <text>
        <t>SLB 4Q25-FY25 earnings release EX-99 (S4) | Condensed Consolidated Statement of Income: Diluted earnings per share of SLB $2.35 (Twelve Months 2025) | 2.35</t>
      </text>
    </comment>
    <comment ref="C103" authorId="0">
      <text>
        <t>SLB 3Q25 earnings release EX-99 (S3) | Components of depreciation and amortization | 453</t>
      </text>
    </comment>
    <comment ref="D103" authorId="0">
      <text>
        <t>SLB 4Q25-FY25 earnings release EX-99 (S4) | Components of depreciation and amortization | 475</t>
      </text>
    </comment>
    <comment ref="E103" authorId="0">
      <text>
        <t>SLB 1Q26 earnings release EX-99 (S5) | Components of depreciation and amortization | 464</t>
      </text>
    </comment>
    <comment ref="F103" authorId="0">
      <text>
        <t>SLB 2Q26 earnings release EX-99 (S6) | Components of depreciation and amortization | 473</t>
      </text>
    </comment>
    <comment ref="C106" authorId="0">
      <text>
        <t>SLB 3Q25 earnings release EX-99 (S3) | Components of depreciation and amortization | 101</t>
      </text>
    </comment>
    <comment ref="D106" authorId="0">
      <text>
        <t>SLB 4Q25-FY25 earnings release EX-99 (S4) | Components of depreciation and amortization | 111</t>
      </text>
    </comment>
    <comment ref="E106" authorId="0">
      <text>
        <t>SLB 1Q26 earnings release EX-99 (S5) | Components of depreciation and amortization | 110</t>
      </text>
    </comment>
    <comment ref="F106" authorId="0">
      <text>
        <t>SLB 2Q26 earnings release EX-99 (S6) | Components of depreciation and amortization | 111</t>
      </text>
    </comment>
    <comment ref="C109" authorId="0">
      <text>
        <t>SLB 3Q25 earnings release EX-99 (S3) | Components of depreciation and amortization | 60</t>
      </text>
    </comment>
    <comment ref="D109" authorId="0">
      <text>
        <t>SLB 4Q25-FY25 earnings release EX-99 (S4) | Components of depreciation and amortization | 84</t>
      </text>
    </comment>
    <comment ref="E109" authorId="0">
      <text>
        <t>SLB 1Q26 earnings release EX-99 (S5) | Components of depreciation and amortization | 82</t>
      </text>
    </comment>
    <comment ref="F109" authorId="0">
      <text>
        <t>SLB 2Q26 earnings release EX-99 (S6) | Components of depreciation and amortization | 83</t>
      </text>
    </comment>
    <comment ref="C112" authorId="0">
      <text>
        <t>SLB 3Q25 earnings release EX-99 (S3) | Components of depreciation and amortization | 24</t>
      </text>
    </comment>
    <comment ref="D112" authorId="0">
      <text>
        <t>SLB 4Q25-FY25 earnings release EX-99 (S4) | Components of depreciation and amortization | 62</t>
      </text>
    </comment>
    <comment ref="E112" authorId="0">
      <text>
        <t>SLB 1Q26 earnings release EX-99 (S5) | Components of depreciation and amortization | 29</t>
      </text>
    </comment>
    <comment ref="F112" authorId="0">
      <text>
        <t>SLB 2Q26 earnings release EX-99 (S6) | Components of depreciation and amortization | 45</t>
      </text>
    </comment>
    <comment ref="C127" authorId="0">
      <text>
        <t>SLB 3Q25 earnings release EX-99 (S3) | Pretax segment operating income: Eliminations | (86)</t>
      </text>
    </comment>
    <comment ref="D127" authorId="0">
      <text>
        <t>SLB 4Q25-FY25 earnings release EX-99 (S4) | Pretax segment operating income: Eliminations | (114)</t>
      </text>
    </comment>
    <comment ref="E127" authorId="0">
      <text>
        <t>SLB 1Q26 earnings release EX-99 (S5) | Pretax segment operating income: Eliminations | (104)</t>
      </text>
    </comment>
    <comment ref="F127" authorId="0">
      <text>
        <t>SLB 2Q26 earnings release EX-99 (S6) | Pretax segment operating income: Eliminations | (167)</t>
      </text>
    </comment>
    <comment ref="C137" authorId="0">
      <text>
        <t>SLB 3Q25 earnings release EX-99 (S3) | Divisions reconciliation: Corporate &amp; other | (203)</t>
      </text>
    </comment>
    <comment ref="D137" authorId="0">
      <text>
        <t>SLB 4Q25-FY25 earnings release EX-99 (S4) | Divisions reconciliation: Corporate &amp; other | (208)</t>
      </text>
    </comment>
    <comment ref="E137" authorId="0">
      <text>
        <t>SLB 1Q26 earnings release EX-99 (S5) | Divisions reconciliation: Corporate &amp; other | (228)</t>
      </text>
    </comment>
    <comment ref="F137" authorId="0">
      <text>
        <t>SLB 2Q26 earnings release EX-99 (S6) | Divisions reconciliation: Corporate &amp; other | (211)</t>
      </text>
    </comment>
    <comment ref="C140" authorId="0">
      <text>
        <t>SLB 3Q25 earnings release EX-99 (S3) | Divisions reconciliation: Interest income | 37</t>
      </text>
    </comment>
    <comment ref="D140" authorId="0">
      <text>
        <t>SLB 4Q25-FY25 earnings release EX-99 (S4) | Divisions reconciliation: Interest income | 31</t>
      </text>
    </comment>
    <comment ref="E140" authorId="0">
      <text>
        <t>SLB 1Q26 earnings release EX-99 (S5) | Divisions reconciliation: Interest income | 20</t>
      </text>
    </comment>
    <comment ref="F140" authorId="0">
      <text>
        <t>SLB 2Q26 earnings release EX-99 (S6) | Divisions reconciliation: Interest income | 23</t>
      </text>
    </comment>
    <comment ref="C143" authorId="0">
      <text>
        <t>SLB 3Q25 earnings release EX-99 (S3) | Divisions reconciliation: Interest expense | 142</t>
      </text>
    </comment>
    <comment ref="D143" authorId="0">
      <text>
        <t>SLB 4Q25-FY25 earnings release EX-99 (S4) | Divisions reconciliation: Interest expense | 126</t>
      </text>
    </comment>
    <comment ref="E143" authorId="0">
      <text>
        <t>SLB 1Q26 earnings release EX-99 (S5) | Divisions reconciliation: Interest expense | 116</t>
      </text>
    </comment>
    <comment ref="F143" authorId="0">
      <text>
        <t>SLB 2Q26 earnings release EX-99 (S6) | Divisions reconciliation: Interest expense | 128</t>
      </text>
    </comment>
    <comment ref="D151" authorId="0">
      <text>
        <t>SLB 4Q25-FY25 earnings release EX-99 (S4) | Adjusted EBITDA reconciliation: Eliminations &amp; other D&amp;A | 74</t>
      </text>
    </comment>
    <comment ref="E151" authorId="0">
      <text>
        <t>SLB 1Q26 earnings release EX-99 (S5) | Adjusted EBITDA reconciliation: Eliminations &amp; other D&amp;A | 69</t>
      </text>
    </comment>
    <comment ref="F151" authorId="0">
      <text>
        <t>SLB 2Q26 earnings release EX-99 (S6) | Adjusted EBITDA reconciliation: Eliminations &amp; other D&amp;A | 71</t>
      </text>
    </comment>
    <comment ref="G151" authorId="0">
      <text>
        <t>SLB 4Q25-FY25 earnings release EX-99 (S4) | Adjusted EBITDA reconciliation: Eliminations &amp; other D&amp;A | 286</t>
      </text>
    </comment>
    <comment ref="C154" authorId="0">
      <text>
        <t>SLB 3Q25 earnings release EX-99 (S3) | Adjusted EBITDA reconciliation: Eliminations &amp; other net interest | 0</t>
      </text>
    </comment>
    <comment ref="D154" authorId="0">
      <text>
        <t>SLB 4Q25-FY25 earnings release EX-99 (S4) | Adjusted EBITDA reconciliation: Eliminations &amp; other net interest | 0</t>
      </text>
    </comment>
    <comment ref="E154" authorId="0">
      <text>
        <t>SLB 1Q26 earnings release EX-99 (S5) | Adjusted EBITDA reconciliation: Eliminations &amp; other net interest | (2)</t>
      </text>
    </comment>
    <comment ref="F154" authorId="0">
      <text>
        <t>SLB 2Q26 earnings release EX-99 (S6) | Adjusted EBITDA reconciliation: Eliminations &amp; other net interest | (5)</t>
      </text>
    </comment>
    <comment ref="G154" authorId="0">
      <text>
        <t>SLB 4Q25-FY25 earnings release EX-99 (S4) | Adjusted EBITDA reconciliation: Eliminations &amp; other net interest | 0</t>
      </text>
    </comment>
    <comment ref="C157" authorId="0">
      <text>
        <t>SLB 4Q25-FY25 earnings release EX-99 (S4) | Adjusted EBITDA: Eliminations (13) for Sept. 30, 2025 | (13)</t>
      </text>
    </comment>
    <comment ref="D157" authorId="0">
      <text>
        <t>SLB 1Q26 earnings release EX-99 (S5) | Adjusted EBITDA: Eliminations (40) for Dec. 31, 2025 | (40)</t>
      </text>
    </comment>
    <comment ref="E157" authorId="0">
      <text>
        <t>SLB 2Q26 earnings release EX-99 (S6) | Adjusted EBITDA: Eliminations (37) for Mar. 31, 2026 | (37)</t>
      </text>
    </comment>
    <comment ref="F157" authorId="0">
      <text>
        <t>SLB 2Q26 earnings release EX-99 (S6) | Adjusted EBITDA: Eliminations (101) | (101)</t>
      </text>
    </comment>
    <comment ref="D158" authorId="0">
      <text>
        <t>SLB 4Q25-FY25 earnings release EX-99 (S4) | Adjusted EBITDA reconciliation: Corporate &amp; other D&amp;A | 73</t>
      </text>
    </comment>
    <comment ref="E158" authorId="0">
      <text>
        <t>SLB 1Q26 earnings release EX-99 (S5) | Adjusted EBITDA reconciliation: Corporate &amp; other D&amp;A | 73</t>
      </text>
    </comment>
    <comment ref="F158" authorId="0">
      <text>
        <t>SLB 2Q26 earnings release EX-99 (S6) | Adjusted EBITDA reconciliation: Corporate &amp; other D&amp;A | 77</t>
      </text>
    </comment>
    <comment ref="G158" authorId="0">
      <text>
        <t>SLB 4Q25-FY25 earnings release EX-99 (S4) | Adjusted EBITDA reconciliation: Corporate &amp; other D&amp;A | 227</t>
      </text>
    </comment>
    <comment ref="C161" authorId="0">
      <text>
        <t>SLB 4Q25-FY25 earnings release EX-99 (S4) | Corporate &amp; other (139) for Sept. 30, 2025 | (139)</t>
      </text>
    </comment>
    <comment ref="D161" authorId="0">
      <text>
        <t>SLB 1Q26 earnings release EX-99 (S5) | Corporate &amp; other (135) for Dec. 31, 2025 | (135)</t>
      </text>
    </comment>
    <comment ref="E161" authorId="0">
      <text>
        <t>SLB 2Q26 earnings release EX-99 (S6) | Corporate &amp; other (155) | (155)</t>
      </text>
    </comment>
    <comment ref="F161" authorId="0">
      <text>
        <t>SLB 2Q26 earnings release EX-99 (S6) | Corporate &amp; other (134) | (134)</t>
      </text>
    </comment>
    <comment ref="C173" authorId="0">
      <text>
        <t>SLB 3Q25 earnings release EX-99 (S3) | Charges &amp; Credits reconciliation | 143</t>
      </text>
    </comment>
    <comment ref="D173" authorId="0">
      <text>
        <t>SLB 4Q25-FY25 earnings release EX-99 (S4) | Charges &amp; Credits reconciliation | 75</t>
      </text>
    </comment>
    <comment ref="E173" authorId="0">
      <text>
        <t>SLB 1Q26 earnings release EX-99 (S5) | Charges &amp; Credits reconciliation | 41</t>
      </text>
    </comment>
    <comment ref="F173" authorId="0">
      <text>
        <t>SLB 2Q26 earnings release EX-99 (S6) | Charges &amp; Credits reconciliation | 69</t>
      </text>
    </comment>
    <comment ref="C176" authorId="0">
      <text>
        <t>SLB 3Q25 earnings release EX-99 (S3) | Charges &amp; Credits reconciliation | 57</t>
      </text>
    </comment>
    <comment ref="D176" authorId="0">
      <text>
        <t>SLB 4Q25-FY25 earnings release EX-99 (S4) | Charges &amp; Credits reconciliation | 126</t>
      </text>
    </comment>
    <comment ref="E176" authorId="0">
      <text>
        <t>SLB 1Q26 earnings release EX-99 (S5) | Charges &amp; Credits reconciliation | 0</t>
      </text>
    </comment>
    <comment ref="F176" authorId="0">
      <text>
        <t>SLB 2Q26 earnings release EX-99 (S6) | Charges &amp; Credits reconciliation | 0</t>
      </text>
    </comment>
    <comment ref="C179" authorId="0">
      <text>
        <t>SLB 3Q25 earnings release EX-99 (S3) | Charges &amp; Credits reconciliation | 0</t>
      </text>
    </comment>
    <comment ref="D179" authorId="0">
      <text>
        <t>SLB 4Q25-FY25 earnings release EX-99 (S4) | Charges &amp; Credits reconciliation | 50</t>
      </text>
    </comment>
    <comment ref="E179" authorId="0">
      <text>
        <t>SLB 1Q26 earnings release EX-99 (S5) | Charges &amp; Credits reconciliation | 0</t>
      </text>
    </comment>
    <comment ref="F179" authorId="0">
      <text>
        <t>SLB 2Q26 earnings release EX-99 (S6) | Charges &amp; Credits reconciliation | 0</t>
      </text>
    </comment>
    <comment ref="C182" authorId="0">
      <text>
        <t>SLB 3Q25 earnings release EX-99 (S3) | Charges &amp; Credits reconciliation | 52</t>
      </text>
    </comment>
    <comment ref="D182" authorId="0">
      <text>
        <t>SLB 4Q25-FY25 earnings release EX-99 (S4) | Charges &amp; Credits reconciliation | 0</t>
      </text>
    </comment>
    <comment ref="E182" authorId="0">
      <text>
        <t>SLB 1Q26 earnings release EX-99 (S5) | Charges &amp; Credits reconciliation | 0</t>
      </text>
    </comment>
    <comment ref="F182" authorId="0">
      <text>
        <t>SLB 2Q26 earnings release EX-99 (S6) | Charges &amp; Credits reconciliation | 0</t>
      </text>
    </comment>
    <comment ref="C185" authorId="0">
      <text>
        <t>SLB 3Q25 earnings release EX-99 (S3) | Charges &amp; Credits reconciliation | 0</t>
      </text>
    </comment>
    <comment ref="D185" authorId="0">
      <text>
        <t>SLB 4Q25-FY25 earnings release EX-99 (S4) | Charges &amp; Credits reconciliation | 210</t>
      </text>
    </comment>
    <comment ref="E185" authorId="0">
      <text>
        <t>SLB 1Q26 earnings release EX-99 (S5) | Charges &amp; Credits reconciliation | 0</t>
      </text>
    </comment>
    <comment ref="F185" authorId="0">
      <text>
        <t>SLB 2Q26 earnings release EX-99 (S6) | Charges &amp; Credits reconciliation | 0</t>
      </text>
    </comment>
    <comment ref="C188" authorId="0">
      <text>
        <t>SLB 3Q25 earnings release EX-99 (S3) | Charges &amp; Credits reconciliation | 66</t>
      </text>
    </comment>
    <comment ref="D188" authorId="0">
      <text>
        <t>SLB 4Q25-FY25 earnings release EX-99 (S4) | Charges &amp; Credits reconciliation | 100</t>
      </text>
    </comment>
    <comment ref="E188" authorId="0">
      <text>
        <t>SLB 1Q26 earnings release EX-99 (S5) | Charges &amp; Credits reconciliation | 0</t>
      </text>
    </comment>
    <comment ref="F188" authorId="0">
      <text>
        <t>SLB 2Q26 earnings release EX-99 (S6) | Charges &amp; Credits reconciliation | 0</t>
      </text>
    </comment>
    <comment ref="C191" authorId="0">
      <text>
        <t>SLB 3Q25 earnings release EX-99 (S3) | Charges &amp; Credits reconciliation | 0</t>
      </text>
    </comment>
    <comment ref="D191" authorId="0">
      <text>
        <t>SLB 4Q25-FY25 earnings release EX-99 (S4) | Charges &amp; Credits reconciliation | 0</t>
      </text>
    </comment>
    <comment ref="E191" authorId="0">
      <text>
        <t>SLB 1Q26 earnings release EX-99 (S5) | Charges &amp; Credits reconciliation | 0</t>
      </text>
    </comment>
    <comment ref="F191" authorId="0">
      <text>
        <t>SLB 2Q26 earnings release EX-99 (S6) | Charges &amp; Credits reconciliation | 0</t>
      </text>
    </comment>
    <comment ref="C197" authorId="0">
      <text>
        <t>SLB 3Q25 earnings release EX-99 (S3) | Charges &amp; Credits reconciliation (Tax column) | 27</t>
      </text>
    </comment>
    <comment ref="D197" authorId="0">
      <text>
        <t>SLB 4Q25-FY25 earnings release EX-99 (S4) | Charges &amp; Credits reconciliation (Tax column) | 58</t>
      </text>
    </comment>
    <comment ref="E197" authorId="0">
      <text>
        <t>SLB 1Q26 earnings release EX-99 (S5) | Charges &amp; Credits reconciliation (Tax column) | 8</t>
      </text>
    </comment>
    <comment ref="F197" authorId="0">
      <text>
        <t>SLB 2Q26 earnings release EX-99 (S6) | Charges &amp; Credits reconciliation (Tax column) | 19</t>
      </text>
    </comment>
    <comment ref="C200" authorId="0">
      <text>
        <t>SLB 3Q25 earnings release EX-99 (S3) | Charges &amp; Credits reconciliation | 0</t>
      </text>
    </comment>
    <comment ref="D200" authorId="0">
      <text>
        <t>SLB 4Q25-FY25 earnings release EX-99 (S4) | Charges &amp; Credits reconciliation | 92</t>
      </text>
    </comment>
    <comment ref="E200" authorId="0">
      <text>
        <t>SLB 1Q26 earnings release EX-99 (S5) | Charges &amp; Credits reconciliation | 0</t>
      </text>
    </comment>
    <comment ref="F200" authorId="0">
      <text>
        <t>SLB 2Q26 earnings release EX-99 (S6) | Charges &amp; Credits reconciliation | 0</t>
      </text>
    </comment>
    <comment ref="C203" authorId="0">
      <text>
        <t>SLB 3Q25 earnings release EX-99 (S3) | Charges &amp; Credits reconciliation (Noncont. Interests column) | 3</t>
      </text>
    </comment>
    <comment ref="D203" authorId="0">
      <text>
        <t>SLB 4Q25-FY25 earnings release EX-99 (S4) | Charges &amp; Credits reconciliation (Noncont. Interests column) | 56</t>
      </text>
    </comment>
    <comment ref="E203" authorId="0">
      <text>
        <t>SLB 1Q26 earnings release EX-99 (S5) | Charges &amp; Credits reconciliation (Noncont. Interests column) | 2</t>
      </text>
    </comment>
    <comment ref="F203" authorId="0">
      <text>
        <t>SLB 2Q26 earnings release EX-99 (S6) | Charges &amp; Credits reconciliation (Noncont. Interests column) | 3</t>
      </text>
    </comment>
    <comment ref="G215" authorId="0">
      <text>
        <t>SLB 4Q25-FY25 earnings release EX-99 (S4) | Full-year EPS, excluding charges and credits, of $2.93 | 2.93</t>
      </text>
    </comment>
    <comment ref="C236" authorId="0">
      <text>
        <t>SLB 3Q25 earnings release EX-99 (S3) | Condensed Consolidated Statement of Income (prior-year column) | 96</t>
      </text>
    </comment>
    <comment ref="D236" authorId="0">
      <text>
        <t>SLB 4Q25-FY25 earnings release EX-99 (S4) | Condensed Consolidated Statement of Income (prior-year column) | 115</t>
      </text>
    </comment>
    <comment ref="E236" authorId="0">
      <text>
        <t>SLB 1Q26 earnings release EX-99 (S5) | Condensed Consolidated Statement of Income (prior-year column) | 78</t>
      </text>
    </comment>
    <comment ref="F236" authorId="0">
      <text>
        <t>SLB 2Q26 earnings release EX-99 (S6) | Condensed Consolidated Statement of Income (prior-year column) | 252</t>
      </text>
    </comment>
    <comment ref="G236" authorId="0">
      <text>
        <t>SLB 4Q25-FY25 earnings release EX-99 (S4) | Condensed Consolidated Statement of Income (prior-year column) | 380</t>
      </text>
    </comment>
    <comment ref="C237" authorId="0">
      <text>
        <t>SLB 3Q25 earnings release EX-99 (S3) | Adjusted EBITDA reconciliation: Interest income (prior-year column) | 52</t>
      </text>
    </comment>
    <comment ref="D237" authorId="0">
      <text>
        <t>SLB 4Q25-FY25 earnings release EX-99 (S4) | Adjusted EBITDA reconciliation: Interest income (prior-year column) | 46</t>
      </text>
    </comment>
    <comment ref="E237" authorId="0">
      <text>
        <t>SLB 1Q26 earnings release EX-99 (S5) | Adjusted EBITDA reconciliation: Interest income (prior-year column) | 36</t>
      </text>
    </comment>
    <comment ref="F237" authorId="0">
      <text>
        <t>SLB 2Q26 earnings release EX-99 (S6) | Adjusted EBITDA reconciliation: Interest income (prior-year column) | 30</t>
      </text>
    </comment>
    <comment ref="G237" authorId="0">
      <text>
        <t>SLB 4Q25-FY25 earnings release EX-99 (S4) | Adjusted EBITDA reconciliation: Interest income (prior-year column) | 174</t>
      </text>
    </comment>
    <comment ref="C239" authorId="0">
      <text>
        <t>SLB 3Q25 earnings release EX-99 (S3) | Condensed Consolidated Statement of Income (prior-year column) | 7,237</t>
      </text>
    </comment>
    <comment ref="D239" authorId="0">
      <text>
        <t>SLB 4Q25-FY25 earnings release EX-99 (S4) | Condensed Consolidated Statement of Income (prior-year column) | 7,322</t>
      </text>
    </comment>
    <comment ref="E239" authorId="0">
      <text>
        <t>SLB 1Q26 earnings release EX-99 (S5) | Condensed Consolidated Statement of Income (prior-year column) | 6,884</t>
      </text>
    </comment>
    <comment ref="F239" authorId="0">
      <text>
        <t>SLB 2Q26 earnings release EX-99 (S6) | Condensed Consolidated Statement of Income (prior-year column) | 6,934</t>
      </text>
    </comment>
    <comment ref="G239" authorId="0">
      <text>
        <t>SLB 4Q25-FY25 earnings release EX-99 (S4) | Condensed Consolidated Statement of Income (prior-year column) | 28,829</t>
      </text>
    </comment>
    <comment ref="C243" authorId="0">
      <text>
        <t>SLB 3Q25 earnings release EX-99 (S3) | Condensed Consolidated Statement of Income (prior-year column) | 187</t>
      </text>
    </comment>
    <comment ref="D243" authorId="0">
      <text>
        <t>SLB 4Q25-FY25 earnings release EX-99 (S4) | Condensed Consolidated Statement of Income (prior-year column) | 192</t>
      </text>
    </comment>
    <comment ref="E243" authorId="0">
      <text>
        <t>SLB 1Q26 earnings release EX-99 (S5) | Condensed Consolidated Statement of Income (prior-year column) | 172</t>
      </text>
    </comment>
    <comment ref="F243" authorId="0">
      <text>
        <t>SLB 2Q26 earnings release EX-99 (S6) | Condensed Consolidated Statement of Income (prior-year column) | 180</t>
      </text>
    </comment>
    <comment ref="G243" authorId="0">
      <text>
        <t>SLB 4Q25-FY25 earnings release EX-99 (S4) | Condensed Consolidated Statement of Income (prior-year column) | 749</t>
      </text>
    </comment>
    <comment ref="C245" authorId="0">
      <text>
        <t>SLB 3Q25 earnings release EX-99 (S3) | Condensed Consolidated Statement of Income (prior-year column) | 90</t>
      </text>
    </comment>
    <comment ref="D245" authorId="0">
      <text>
        <t>SLB 4Q25-FY25 earnings release EX-99 (S4) | Condensed Consolidated Statement of Income (prior-year column) | 81</t>
      </text>
    </comment>
    <comment ref="E245" authorId="0">
      <text>
        <t>SLB 1Q26 earnings release EX-99 (S5) | Condensed Consolidated Statement of Income (prior-year column) | 96</t>
      </text>
    </comment>
    <comment ref="F245" authorId="0">
      <text>
        <t>SLB 2Q26 earnings release EX-99 (S6) | Condensed Consolidated Statement of Income (prior-year column) | 87</t>
      </text>
    </comment>
    <comment ref="G245" authorId="0">
      <text>
        <t>SLB 4Q25-FY25 earnings release EX-99 (S4) | Condensed Consolidated Statement of Income (prior-year column) | 385</t>
      </text>
    </comment>
    <comment ref="C250" authorId="0">
      <text>
        <t>SLB 3Q25 earnings release EX-99 (S3) | Condensed Consolidated Statement of Income (prior-year column) | 136</t>
      </text>
    </comment>
    <comment ref="D250" authorId="0">
      <text>
        <t>SLB 4Q25-FY25 earnings release EX-99 (S4) | Condensed Consolidated Statement of Income (prior-year column) | 131</t>
      </text>
    </comment>
    <comment ref="E250" authorId="0">
      <text>
        <t>SLB 1Q26 earnings release EX-99 (S5) | Condensed Consolidated Statement of Income (prior-year column) | 147</t>
      </text>
    </comment>
    <comment ref="F250" authorId="0">
      <text>
        <t>SLB 2Q26 earnings release EX-99 (S6) | Condensed Consolidated Statement of Income (prior-year column) | 142</t>
      </text>
    </comment>
    <comment ref="G250" authorId="0">
      <text>
        <t>SLB 4Q25-FY25 earnings release EX-99 (S4) | Condensed Consolidated Statement of Income (prior-year column) | 512</t>
      </text>
    </comment>
    <comment ref="C253" authorId="0">
      <text>
        <t>SLB 3Q25 earnings release EX-99 (S3) | Condensed Consolidated Statement of Income (prior-year column) | 289</t>
      </text>
    </comment>
    <comment ref="D253" authorId="0">
      <text>
        <t>SLB 4Q25-FY25 earnings release EX-99 (S4) | Condensed Consolidated Statement of Income (prior-year column) | 269</t>
      </text>
    </comment>
    <comment ref="E253" authorId="0">
      <text>
        <t>SLB 1Q26 earnings release EX-99 (S5) | Condensed Consolidated Statement of Income (prior-year column) | 234</t>
      </text>
    </comment>
    <comment ref="F253" authorId="0">
      <text>
        <t>SLB 2Q26 earnings release EX-99 (S6) | Condensed Consolidated Statement of Income (prior-year column) | 237</t>
      </text>
    </comment>
    <comment ref="G253" authorId="0">
      <text>
        <t>SLB 4Q25-FY25 earnings release EX-99 (S4) | Condensed Consolidated Statement of Income (prior-year column) | 1,093</t>
      </text>
    </comment>
    <comment ref="C256" authorId="0">
      <text>
        <t>SLB 3Q25 earnings release EX-99 (S3) | Condensed Consolidated Statement of Income (prior-year column) | 32</t>
      </text>
    </comment>
    <comment ref="D256" authorId="0">
      <text>
        <t>SLB 4Q25-FY25 earnings release EX-99 (S4) | Condensed Consolidated Statement of Income (prior-year column) | 23</t>
      </text>
    </comment>
    <comment ref="E256" authorId="0">
      <text>
        <t>SLB 1Q26 earnings release EX-99 (S5) | Condensed Consolidated Statement of Income (prior-year column) | 32</t>
      </text>
    </comment>
    <comment ref="F256" authorId="0">
      <text>
        <t>SLB 2Q26 earnings release EX-99 (S6) | Condensed Consolidated Statement of Income (prior-year column) | 34</t>
      </text>
    </comment>
    <comment ref="G256" authorId="0">
      <text>
        <t>SLB 4Q25-FY25 earnings release EX-99 (S4) | Condensed Consolidated Statement of Income (prior-year column) | 118</t>
      </text>
    </comment>
    <comment ref="C259" authorId="0">
      <text>
        <t>SLB 3Q25 earnings release EX-99 (S3) | Condensed Consolidated Statement of Income: Average shares outstanding assuming dilution (prior-year column) | 1,432</t>
      </text>
    </comment>
    <comment ref="D259" authorId="0">
      <text>
        <t>SLB 4Q25-FY25 earnings release EX-99 (S4) | Condensed Consolidated Statement of Income: Average shares outstanding assuming dilution (prior-year column) | 1,420</t>
      </text>
    </comment>
    <comment ref="E259" authorId="0">
      <text>
        <t>SLB 1Q26 earnings release EX-99 (S5) | Condensed Consolidated Statement of Income: Average shares outstanding assuming dilution (prior-year column) | 1,380</t>
      </text>
    </comment>
    <comment ref="F259" authorId="0">
      <text>
        <t>SLB 2Q26 earnings release EX-99 (S6) | Condensed Consolidated Statement of Income: Average shares outstanding assuming dilution (prior-year column) | 1,366</t>
      </text>
    </comment>
    <comment ref="G259" authorId="0">
      <text>
        <t>SLB 4Q25-FY25 earnings release EX-99 (S4) | Condensed Consolidated Statement of Income: Average shares outstanding assuming dilution (prior-year column) | 1,436</t>
      </text>
    </comment>
    <comment ref="C263" authorId="0">
      <text>
        <t>SLB 3Q25 earnings release EX-99 (S3) | Components of depreciation and amortization (prior-year column) | 394</t>
      </text>
    </comment>
    <comment ref="D263" authorId="0">
      <text>
        <t>SLB 4Q25-FY25 earnings release EX-99 (S4) | Components of depreciation and amortization (prior-year column) | 396</t>
      </text>
    </comment>
    <comment ref="E263" authorId="0">
      <text>
        <t>SLB 1Q26 earnings release EX-99 (S5) | Components of depreciation and amortization (prior-year column) | 397</t>
      </text>
    </comment>
    <comment ref="F263" authorId="0">
      <text>
        <t>SLB 2Q26 earnings release EX-99 (S6) | Components of depreciation and amortization (prior-year column) | 408</t>
      </text>
    </comment>
    <comment ref="G263" authorId="0">
      <text>
        <t>SLB 4Q25-FY25 earnings release EX-99 (S4) | Components of depreciation and amortization (prior-year column) | 1,551</t>
      </text>
    </comment>
    <comment ref="C264" authorId="0">
      <text>
        <t>SLB 3Q25 earnings release EX-99 (S3) | Components of depreciation and amortization (prior-year column) | 87</t>
      </text>
    </comment>
    <comment ref="D264" authorId="0">
      <text>
        <t>SLB 4Q25-FY25 earnings release EX-99 (S4) | Components of depreciation and amortization (prior-year column) | 84</t>
      </text>
    </comment>
    <comment ref="E264" authorId="0">
      <text>
        <t>SLB 1Q26 earnings release EX-99 (S5) | Components of depreciation and amortization (prior-year column) | 82</t>
      </text>
    </comment>
    <comment ref="F264" authorId="0">
      <text>
        <t>SLB 2Q26 earnings release EX-99 (S6) | Components of depreciation and amortization (prior-year column) | 82</t>
      </text>
    </comment>
    <comment ref="G264" authorId="0">
      <text>
        <t>SLB 4Q25-FY25 earnings release EX-99 (S4) | Components of depreciation and amortization (prior-year column) | 334</t>
      </text>
    </comment>
    <comment ref="C265" authorId="0">
      <text>
        <t>SLB 3Q25 earnings release EX-99 (S3) | Components of depreciation and amortization (prior-year column) | 124</t>
      </text>
    </comment>
    <comment ref="D265" authorId="0">
      <text>
        <t>SLB 4Q25-FY25 earnings release EX-99 (S4) | Components of depreciation and amortization (prior-year column) | 126</t>
      </text>
    </comment>
    <comment ref="E265" authorId="0">
      <text>
        <t>SLB 1Q26 earnings release EX-99 (S5) | Components of depreciation and amortization (prior-year column) | 110</t>
      </text>
    </comment>
    <comment ref="F265" authorId="0">
      <text>
        <t>SLB 2Q26 earnings release EX-99 (S6) | Components of depreciation and amortization (prior-year column) | 115</t>
      </text>
    </comment>
    <comment ref="G265" authorId="0">
      <text>
        <t>SLB 4Q25-FY25 earnings release EX-99 (S4) | Components of depreciation and amortization (prior-year column) | 481</t>
      </text>
    </comment>
    <comment ref="C266" authorId="0">
      <text>
        <t>SLB 3Q25 earnings release EX-99 (S3) | Components of depreciation and amortization (prior-year column) | 35</t>
      </text>
    </comment>
    <comment ref="D266" authorId="0">
      <text>
        <t>SLB 4Q25-FY25 earnings release EX-99 (S4) | Components of depreciation and amortization (prior-year column) | 42</t>
      </text>
    </comment>
    <comment ref="E266" authorId="0">
      <text>
        <t>SLB 1Q26 earnings release EX-99 (S5) | Components of depreciation and amortization (prior-year column) | 51</t>
      </text>
    </comment>
    <comment ref="F266" authorId="0">
      <text>
        <t>SLB 2Q26 earnings release EX-99 (S6) | Components of depreciation and amortization (prior-year column) | 28</t>
      </text>
    </comment>
    <comment ref="G266" authorId="0">
      <text>
        <t>SLB 4Q25-FY25 earnings release EX-99 (S4) | Components of depreciation and amortization (prior-year column) | 153</t>
      </text>
    </comment>
    <comment ref="C272" authorId="0">
      <text>
        <t>SLB 3Q25 earnings release EX-99 (S3) | Pretax segment operating income: Eliminations (prior-year column) | (75)</t>
      </text>
    </comment>
    <comment ref="D272" authorId="0">
      <text>
        <t>SLB 4Q25-FY25 earnings release EX-99 (S4) | Pretax segment operating income: Eliminations (prior-year column) | (71)</t>
      </text>
    </comment>
    <comment ref="E272" authorId="0">
      <text>
        <t>SLB 1Q26 earnings release EX-99 (S5) | Pretax segment operating income: Eliminations (prior-year column) | (73)</t>
      </text>
    </comment>
    <comment ref="F272" authorId="0">
      <text>
        <t>SLB 2Q26 earnings release EX-99 (S6) | Pretax segment operating income: Eliminations (prior-year column) | (80)</t>
      </text>
    </comment>
    <comment ref="G272" authorId="0">
      <text>
        <t>SLB 4Q25-FY25 earnings release EX-99 (S4) | Pretax segment operating income: Eliminations (prior-year column) | (244)</t>
      </text>
    </comment>
    <comment ref="C275" authorId="0">
      <text>
        <t>SLB 3Q25 earnings release EX-99 (S3) | Divisions reconciliation: Corporate &amp; other (prior-year column) | (187)</t>
      </text>
    </comment>
    <comment ref="D275" authorId="0">
      <text>
        <t>SLB 4Q25-FY25 earnings release EX-99 (S4) | Divisions reconciliation: Corporate &amp; other (prior-year column) | (177)</t>
      </text>
    </comment>
    <comment ref="E275" authorId="0">
      <text>
        <t>SLB 1Q26 earnings release EX-99 (S5) | Divisions reconciliation: Corporate &amp; other (prior-year column) | (179)</t>
      </text>
    </comment>
    <comment ref="F275" authorId="0">
      <text>
        <t>SLB 2Q26 earnings release EX-99 (S6) | Divisions reconciliation: Corporate &amp; other (prior-year column) | (169)</t>
      </text>
    </comment>
    <comment ref="G275" authorId="0">
      <text>
        <t>SLB 4Q25-FY25 earnings release EX-99 (S4) | Divisions reconciliation: Corporate &amp; other (prior-year column) | (744)</t>
      </text>
    </comment>
    <comment ref="C276" authorId="0">
      <text>
        <t>SLB 3Q25 earnings release EX-99 (S3) | Divisions reconciliation: Interest income (prior-year column) | 36</t>
      </text>
    </comment>
    <comment ref="D276" authorId="0">
      <text>
        <t>SLB 4Q25-FY25 earnings release EX-99 (S4) | Divisions reconciliation: Interest income (prior-year column) | 36</t>
      </text>
    </comment>
    <comment ref="E276" authorId="0">
      <text>
        <t>SLB 1Q26 earnings release EX-99 (S5) | Divisions reconciliation: Interest income (prior-year column) | 36</t>
      </text>
    </comment>
    <comment ref="F276" authorId="0">
      <text>
        <t>SLB 2Q26 earnings release EX-99 (S6) | Divisions reconciliation: Interest income (prior-year column) | 30</t>
      </text>
    </comment>
    <comment ref="G276" authorId="0">
      <text>
        <t>SLB 4Q25-FY25 earnings release EX-99 (S4) | Divisions reconciliation: Interest income (prior-year column) | 134</t>
      </text>
    </comment>
    <comment ref="C277" authorId="0">
      <text>
        <t>SLB 3Q25 earnings release EX-99 (S3) | Divisions reconciliation: Interest expense (prior-year column) | 132</t>
      </text>
    </comment>
    <comment ref="D277" authorId="0">
      <text>
        <t>SLB 4Q25-FY25 earnings release EX-99 (S4) | Divisions reconciliation: Interest expense (prior-year column) | 128</t>
      </text>
    </comment>
    <comment ref="E277" authorId="0">
      <text>
        <t>SLB 1Q26 earnings release EX-99 (S5) | Divisions reconciliation: Interest expense (prior-year column) | 144</t>
      </text>
    </comment>
    <comment ref="F277" authorId="0">
      <text>
        <t>SLB 2Q26 earnings release EX-99 (S6) | Divisions reconciliation: Interest expense (prior-year column) | 139</t>
      </text>
    </comment>
    <comment ref="G277" authorId="0">
      <text>
        <t>SLB 4Q25-FY25 earnings release EX-99 (S4) | Divisions reconciliation: Interest expense (prior-year column) | 498</t>
      </text>
    </comment>
    <comment ref="E278" authorId="0">
      <text>
        <t>SLB 1Q26 earnings release EX-99 (S5) | Adjusted EBITDA reconciliation: Eliminations &amp; other D&amp;A (prior-year column) | 70</t>
      </text>
    </comment>
    <comment ref="F278" authorId="0">
      <text>
        <t>SLB 2Q26 earnings release EX-99 (S6) | Adjusted EBITDA reconciliation: Eliminations &amp; other D&amp;A (prior-year column) | 71</t>
      </text>
    </comment>
    <comment ref="G278" authorId="0">
      <text>
        <t>SLB 4Q25-FY25 earnings release EX-99 (S4) | Adjusted EBITDA reconciliation: Eliminations &amp; other D&amp;A (prior-year column) | 286</t>
      </text>
    </comment>
    <comment ref="E279" authorId="0">
      <text>
        <t>SLB 1Q26 earnings release EX-99 (S5) | Adjusted EBITDA reconciliation: Eliminations &amp; other net interest (prior-year column) | 1</t>
      </text>
    </comment>
    <comment ref="F279" authorId="0">
      <text>
        <t>SLB 2Q26 earnings release EX-99 (S6) | Adjusted EBITDA reconciliation: Eliminations &amp; other net interest (prior-year column) | (1)</t>
      </text>
    </comment>
    <comment ref="G279" authorId="0">
      <text>
        <t>SLB 4Q25-FY25 earnings release EX-99 (S4) | Adjusted EBITDA reconciliation: Eliminations &amp; other net interest (prior-year column) | (6)</t>
      </text>
    </comment>
    <comment ref="E280" authorId="0">
      <text>
        <t>SLB 1Q26 earnings release EX-99 (S5) | Adjusted EBITDA reconciliation: Corporate &amp; other D&amp;A (prior-year column) | 45</t>
      </text>
    </comment>
    <comment ref="F280" authorId="0">
      <text>
        <t>SLB 2Q26 earnings release EX-99 (S6) | Adjusted EBITDA reconciliation: Corporate &amp; other D&amp;A (prior-year column) | 45</t>
      </text>
    </comment>
    <comment ref="G280" authorId="0">
      <text>
        <t>SLB 4Q25-FY25 earnings release EX-99 (S4) | Adjusted EBITDA reconciliation: Corporate &amp; other D&amp;A (prior-year column) | 178</t>
      </text>
    </comment>
    <comment ref="C283" authorId="0">
      <text>
        <t>SLB 3Q25 earnings release EX-99 (S3) | Charges &amp; Credits reconciliation (prior-year column) | 33</t>
      </text>
    </comment>
    <comment ref="D283" authorId="0">
      <text>
        <t>SLB 4Q25-FY25 earnings release EX-99 (S4) | Charges &amp; Credits reconciliation (prior-year column) | 63</t>
      </text>
    </comment>
    <comment ref="E283" authorId="0">
      <text>
        <t>SLB 1Q26 earnings release EX-99 (S5) | Charges &amp; Credits reconciliation (prior-year column) | 48</t>
      </text>
    </comment>
    <comment ref="F283" authorId="0">
      <text>
        <t>SLB 2Q26 earnings release EX-99 (S6) | Charges &amp; Credits reconciliation (prior-year column) | 35</t>
      </text>
    </comment>
    <comment ref="G283" authorId="0">
      <text>
        <t>SLB 4Q25-FY25 earnings release EX-99 (S4) | Charges &amp; Credits reconciliation (prior-year column) | 123</t>
      </text>
    </comment>
    <comment ref="C284" authorId="0">
      <text>
        <t>SLB 3Q25 earnings release EX-99 (S3) | Charges &amp; Credits reconciliation (prior-year column) | 65</t>
      </text>
    </comment>
    <comment ref="D284" authorId="0">
      <text>
        <t>SLB 4Q25-FY25 earnings release EX-99 (S4) | Charges &amp; Credits reconciliation (prior-year column) | 61</t>
      </text>
    </comment>
    <comment ref="E284" authorId="0">
      <text>
        <t>SLB 1Q26 earnings release EX-99 (S5) | Charges &amp; Credits reconciliation (prior-year column) | 158</t>
      </text>
    </comment>
    <comment ref="F284" authorId="0">
      <text>
        <t>SLB 2Q26 earnings release EX-99 (S6) | Charges &amp; Credits reconciliation (prior-year column) | 66</t>
      </text>
    </comment>
    <comment ref="G284" authorId="0">
      <text>
        <t>SLB 4Q25-FY25 earnings release EX-99 (S4) | Charges &amp; Credits reconciliation (prior-year column) | 237</t>
      </text>
    </comment>
    <comment ref="C285" authorId="0">
      <text>
        <t>SLB 3Q25 earnings release EX-99 (S3) | Charges &amp; Credits reconciliation (prior-year column) | 0</t>
      </text>
    </comment>
    <comment ref="D285" authorId="0">
      <text>
        <t>SLB 4Q25-FY25 earnings release EX-99 (S4) | Charges &amp; Credits reconciliation (prior-year column) | 0</t>
      </text>
    </comment>
    <comment ref="E285" authorId="0">
      <text>
        <t>SLB 1Q26 earnings release EX-99 (S5) | Charges &amp; Credits reconciliation (prior-year column) | 0</t>
      </text>
    </comment>
    <comment ref="F285" authorId="0">
      <text>
        <t>SLB 2Q26 earnings release EX-99 (S6) | Charges &amp; Credits reconciliation (prior-year column) | 0</t>
      </text>
    </comment>
    <comment ref="G285" authorId="0">
      <text>
        <t>SLB 4Q25-FY25 earnings release EX-99 (S4) | Charges &amp; Credits reconciliation (prior-year column) | 0</t>
      </text>
    </comment>
    <comment ref="C286" authorId="0">
      <text>
        <t>SLB 3Q25 earnings release EX-99 (S3) | Charges &amp; Credits reconciliation (prior-year column) | 0</t>
      </text>
    </comment>
    <comment ref="D286" authorId="0">
      <text>
        <t>SLB 4Q25-FY25 earnings release EX-99 (S4) | Charges &amp; Credits reconciliation (prior-year column) | 0</t>
      </text>
    </comment>
    <comment ref="E286" authorId="0">
      <text>
        <t>SLB 1Q26 earnings release EX-99 (S5) | Charges &amp; Credits reconciliation (prior-year column) | 0</t>
      </text>
    </comment>
    <comment ref="F286" authorId="0">
      <text>
        <t>SLB 2Q26 earnings release EX-99 (S6) | Charges &amp; Credits reconciliation (prior-year column) | 69</t>
      </text>
    </comment>
    <comment ref="G286" authorId="0">
      <text>
        <t>SLB 4Q25-FY25 earnings release EX-99 (S4) | Charges &amp; Credits reconciliation (prior-year column) | 0</t>
      </text>
    </comment>
    <comment ref="C287" authorId="0">
      <text>
        <t>SLB 3Q25 earnings release EX-99 (S3) | Charges &amp; Credits reconciliation (prior-year column) | 0</t>
      </text>
    </comment>
    <comment ref="D287" authorId="0">
      <text>
        <t>SLB 4Q25-FY25 earnings release EX-99 (S4) | Charges &amp; Credits reconciliation (prior-year column) | 162</t>
      </text>
    </comment>
    <comment ref="E287" authorId="0">
      <text>
        <t>SLB 1Q26 earnings release EX-99 (S5) | Charges &amp; Credits reconciliation (prior-year column) | 0</t>
      </text>
    </comment>
    <comment ref="F287" authorId="0">
      <text>
        <t>SLB 2Q26 earnings release EX-99 (S6) | Charges &amp; Credits reconciliation (prior-year column) | 0</t>
      </text>
    </comment>
    <comment ref="G287" authorId="0">
      <text>
        <t>SLB 4Q25-FY25 earnings release EX-99 (S4) | Charges &amp; Credits reconciliation (prior-year column) | 162</t>
      </text>
    </comment>
    <comment ref="C288" authorId="0">
      <text>
        <t>SLB 3Q25 earnings release EX-99 (S3) | Charges &amp; Credits reconciliation (prior-year column) | 14</t>
      </text>
    </comment>
    <comment ref="D288" authorId="0">
      <text>
        <t>SLB 4Q25-FY25 earnings release EX-99 (S4) | Charges &amp; Credits reconciliation (prior-year column) | 0</t>
      </text>
    </comment>
    <comment ref="E288" authorId="0">
      <text>
        <t>SLB 1Q26 earnings release EX-99 (S5) | Charges &amp; Credits reconciliation (prior-year column) | 0</t>
      </text>
    </comment>
    <comment ref="F288" authorId="0">
      <text>
        <t>SLB 2Q26 earnings release EX-99 (S6) | Charges &amp; Credits reconciliation (prior-year column) | 0</t>
      </text>
    </comment>
    <comment ref="G288" authorId="0">
      <text>
        <t>SLB 4Q25-FY25 earnings release EX-99 (S4) | Charges &amp; Credits reconciliation (prior-year column) | 43</t>
      </text>
    </comment>
    <comment ref="C289" authorId="0">
      <text>
        <t>SLB 3Q25 earnings release EX-99 (S3) | Charges &amp; Credits reconciliation (prior-year column) | 0</t>
      </text>
    </comment>
    <comment ref="D289" authorId="0">
      <text>
        <t>SLB 4Q25-FY25 earnings release EX-99 (S4) | Charges &amp; Credits reconciliation (prior-year column) | (24)</t>
      </text>
    </comment>
    <comment ref="E289" authorId="0">
      <text>
        <t>SLB 1Q26 earnings release EX-99 (S5) | Charges &amp; Credits reconciliation (prior-year column) | 0</t>
      </text>
    </comment>
    <comment ref="F289" authorId="0">
      <text>
        <t>SLB 2Q26 earnings release EX-99 (S6) | Charges &amp; Credits reconciliation (prior-year column) | (149)</t>
      </text>
    </comment>
    <comment ref="G289" authorId="0">
      <text>
        <t>SLB 4Q25-FY25 earnings release EX-99 (S4) | Charges &amp; Credits reconciliation (prior-year column) | (24)</t>
      </text>
    </comment>
    <comment ref="C291" authorId="0">
      <text>
        <t>SLB 3Q25 earnings release EX-99 (S3) | Charges &amp; Credits reconciliation (Tax column) (prior-year column) | 20</t>
      </text>
    </comment>
    <comment ref="D291" authorId="0">
      <text>
        <t>SLB 4Q25-FY25 earnings release EX-99 (S4) | Charges &amp; Credits reconciliation (Tax column) (prior-year column) | 39</t>
      </text>
    </comment>
    <comment ref="E291" authorId="0">
      <text>
        <t>SLB 1Q26 earnings release EX-99 (S5) | Charges &amp; Credits reconciliation (Tax column) (prior-year column) | 11</t>
      </text>
    </comment>
    <comment ref="F291" authorId="0">
      <text>
        <t>SLB 2Q26 earnings release EX-99 (S6) | Charges &amp; Credits reconciliation (Tax column) (prior-year column) | 15</t>
      </text>
    </comment>
    <comment ref="G291" authorId="0">
      <text>
        <t>SLB 4Q25-FY25 earnings release EX-99 (S4) | Charges &amp; Credits reconciliation (Tax column) (prior-year column) | 87</t>
      </text>
    </comment>
    <comment ref="C292" authorId="0">
      <text>
        <t>SLB 3Q25 earnings release EX-99 (S3) | Charges &amp; Credits reconciliation (prior-year column) | 0</t>
      </text>
    </comment>
    <comment ref="D292" authorId="0">
      <text>
        <t>SLB 4Q25-FY25 earnings release EX-99 (S4) | Charges &amp; Credits reconciliation (prior-year column) | 0</t>
      </text>
    </comment>
    <comment ref="E292" authorId="0">
      <text>
        <t>SLB 1Q26 earnings release EX-99 (S5) | Charges &amp; Credits reconciliation (prior-year column) | 0</t>
      </text>
    </comment>
    <comment ref="F292" authorId="0">
      <text>
        <t>SLB 2Q26 earnings release EX-99 (S6) | Charges &amp; Credits reconciliation (prior-year column) | 0</t>
      </text>
    </comment>
    <comment ref="G292" authorId="0">
      <text>
        <t>SLB 4Q25-FY25 earnings release EX-99 (S4) | Charges &amp; Credits reconciliation (prior-year column) | 0</t>
      </text>
    </comment>
    <comment ref="C293" authorId="0">
      <text>
        <t>SLB 3Q25 earnings release EX-99 (S3) | Charges &amp; Credits reconciliation (Noncont. Interests column) (prior-year column) | 7</t>
      </text>
    </comment>
    <comment ref="D293" authorId="0">
      <text>
        <t>SLB 4Q25-FY25 earnings release EX-99 (S4) | Charges &amp; Credits reconciliation (Noncont. Interests column) (prior-year column) | 7</t>
      </text>
    </comment>
    <comment ref="E293" authorId="0">
      <text>
        <t>SLB 1Q26 earnings release EX-99 (S5) | Charges &amp; Credits reconciliation (Noncont. Interests column) (prior-year column) | 4</t>
      </text>
    </comment>
    <comment ref="F293" authorId="0">
      <text>
        <t>SLB 2Q26 earnings release EX-99 (S6) | Charges &amp; Credits reconciliation (Noncont. Interests column) (prior-year column) | 4</t>
      </text>
    </comment>
    <comment ref="G293" authorId="0">
      <text>
        <t>SLB 4Q25-FY25 earnings release EX-99 (S4) | Charges &amp; Credits reconciliation (Noncont. Interests column) (prior-year column) | 27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C13" authorId="0">
      <text>
        <t>SLB 3Q25 Form 10-Q Consolidated Balance Sheet (S10) | Sep. 30, 2025 | 571</t>
      </text>
    </comment>
    <comment ref="D13" authorId="0">
      <text>
        <t>SLB 2Q26 Form 10-Q Consolidated Balance Sheet (S8) | Dec. 31, 2025 column | 1,176</t>
      </text>
    </comment>
    <comment ref="E13" authorId="0">
      <text>
        <t>SLB 1Q26 Form 10-Q Consolidated Balance Sheet (S9) | Mar. 31, 2026 | 568</t>
      </text>
    </comment>
    <comment ref="F13" authorId="0">
      <text>
        <t>SLB 2Q26 Form 10-Q Consolidated Balance Sheet (S8) | Jun. 30, 2026 | 1,328</t>
      </text>
    </comment>
    <comment ref="C16" authorId="0">
      <text>
        <t>SLB 3Q25 Form 10-Q Consolidated Balance Sheet (S10) | Sep. 30, 2025 | 9,101</t>
      </text>
    </comment>
    <comment ref="D16" authorId="0">
      <text>
        <t>SLB 2Q26 Form 10-Q Consolidated Balance Sheet (S8) | Dec. 31, 2025 column | 8,689</t>
      </text>
    </comment>
    <comment ref="E16" authorId="0">
      <text>
        <t>SLB 1Q26 Form 10-Q Consolidated Balance Sheet (S9) | Mar. 31, 2026 | 9,037</t>
      </text>
    </comment>
    <comment ref="F16" authorId="0">
      <text>
        <t>SLB 2Q26 Form 10-Q Consolidated Balance Sheet (S8) | Jun. 30, 2026 | 9,132</t>
      </text>
    </comment>
    <comment ref="C19" authorId="0">
      <text>
        <t>SLB 3Q25 Form 10-Q Consolidated Balance Sheet (S10) | Sep. 30, 2025 | 5,321</t>
      </text>
    </comment>
    <comment ref="D19" authorId="0">
      <text>
        <t>SLB 2Q26 Form 10-Q Consolidated Balance Sheet (S8) | Dec. 31, 2025 column | 5,032</t>
      </text>
    </comment>
    <comment ref="E19" authorId="0">
      <text>
        <t>SLB 1Q26 Form 10-Q Consolidated Balance Sheet (S9) | Mar. 31, 2026 | 5,274</t>
      </text>
    </comment>
    <comment ref="F19" authorId="0">
      <text>
        <t>SLB 2Q26 Form 10-Q Consolidated Balance Sheet (S8) | Jun. 30, 2026 | 5,436</t>
      </text>
    </comment>
    <comment ref="C22" authorId="0">
      <text>
        <t>SLB 3Q25 Form 10-Q Consolidated Balance Sheet (S10) | Sep. 30, 2025 | 1,461</t>
      </text>
    </comment>
    <comment ref="D22" authorId="0">
      <text>
        <t>SLB 2Q26 Form 10-Q Consolidated Balance Sheet (S8) | Dec. 31, 2025 column | 1,580</t>
      </text>
    </comment>
    <comment ref="E22" authorId="0">
      <text>
        <t>SLB 1Q26 Form 10-Q Consolidated Balance Sheet (S9) | Mar. 31, 2026 | 1,637</t>
      </text>
    </comment>
    <comment ref="F22" authorId="0">
      <text>
        <t>SLB 2Q26 Form 10-Q Consolidated Balance Sheet (S8) | Jun. 30, 2026 | 1,605</t>
      </text>
    </comment>
    <comment ref="C28" authorId="0">
      <text>
        <t>SLB 3Q25 Form 10-Q Consolidated Balance Sheet (S10) | Sep. 30, 2025 | 1,691</t>
      </text>
    </comment>
    <comment ref="D28" authorId="0">
      <text>
        <t>SLB 2Q26 Form 10-Q Consolidated Balance Sheet (S8) | Dec. 31, 2025 column | 1,783</t>
      </text>
    </comment>
    <comment ref="E28" authorId="0">
      <text>
        <t>SLB 1Q26 Form 10-Q Consolidated Balance Sheet (S9) | Mar. 31, 2026 | 1,784</t>
      </text>
    </comment>
    <comment ref="F28" authorId="0">
      <text>
        <t>SLB 2Q26 Form 10-Q Consolidated Balance Sheet (S8) | Jun. 30, 2026 | 1,691</t>
      </text>
    </comment>
    <comment ref="C31" authorId="0">
      <text>
        <t>SLB 3Q25 Form 10-Q Consolidated Balance Sheet (S10) | Sep. 30, 2025 | 7,999</t>
      </text>
    </comment>
    <comment ref="D31" authorId="0">
      <text>
        <t>SLB 2Q26 Form 10-Q Consolidated Balance Sheet (S8) | Dec. 31, 2025 column | 7,894</t>
      </text>
    </comment>
    <comment ref="E31" authorId="0">
      <text>
        <t>SLB 1Q26 Form 10-Q Consolidated Balance Sheet (S9) | Mar. 31, 2026 | 7,747</t>
      </text>
    </comment>
    <comment ref="F31" authorId="0">
      <text>
        <t>SLB 2Q26 Form 10-Q Consolidated Balance Sheet (S8) | Jun. 30, 2026 | 7,745</t>
      </text>
    </comment>
    <comment ref="C34" authorId="0">
      <text>
        <t>SLB 3Q25 Form 10-Q Consolidated Balance Sheet (S10) | Sep. 30, 2025 | 17,007</t>
      </text>
    </comment>
    <comment ref="D34" authorId="0">
      <text>
        <t>SLB 2Q26 Form 10-Q Consolidated Balance Sheet (S8) | Dec. 31, 2025 column | 16,794</t>
      </text>
    </comment>
    <comment ref="E34" authorId="0">
      <text>
        <t>SLB 1Q26 Form 10-Q Consolidated Balance Sheet (S9) | Mar. 31, 2026 | 16,852</t>
      </text>
    </comment>
    <comment ref="F34" authorId="0">
      <text>
        <t>SLB 2Q26 Form 10-Q Consolidated Balance Sheet (S8) | Jun. 30, 2026 | 17,001</t>
      </text>
    </comment>
    <comment ref="C37" authorId="0">
      <text>
        <t>SLB 3Q25 Form 10-Q Consolidated Balance Sheet (S10) | Sep. 30, 2025 | 5,089</t>
      </text>
    </comment>
    <comment ref="D37" authorId="0">
      <text>
        <t>SLB 2Q26 Form 10-Q Consolidated Balance Sheet (S8) | Dec. 31, 2025 column | 4,988</t>
      </text>
    </comment>
    <comment ref="E37" authorId="0">
      <text>
        <t>SLB 1Q26 Form 10-Q Consolidated Balance Sheet (S9) | Mar. 31, 2026 | 4,901</t>
      </text>
    </comment>
    <comment ref="F37" authorId="0">
      <text>
        <t>SLB 2Q26 Form 10-Q Consolidated Balance Sheet (S8) | Jun. 30, 2026 | 4,876</t>
      </text>
    </comment>
    <comment ref="C40" authorId="0">
      <text>
        <t>SLB 3Q25 Form 10-Q Consolidated Balance Sheet (S10) | Sep. 30, 2025 | 3,839</t>
      </text>
    </comment>
    <comment ref="D40" authorId="0">
      <text>
        <t>SLB 2Q26 Form 10-Q Consolidated Balance Sheet (S8) | Dec. 31, 2025 column | 3,896</t>
      </text>
    </comment>
    <comment ref="E40" authorId="0">
      <text>
        <t>SLB 1Q26 Form 10-Q Consolidated Balance Sheet (S9) | Mar. 31, 2026 | 3,907</t>
      </text>
    </comment>
    <comment ref="F40" authorId="0">
      <text>
        <t>SLB 2Q26 Form 10-Q Consolidated Balance Sheet (S8) | Jun. 30, 2026 | 3,975</t>
      </text>
    </comment>
    <comment ref="C48" authorId="0">
      <text>
        <t>SLB 3Q25 Form 10-Q Consolidated Balance Sheet (S10) | Sep. 30, 2025 | 10,857</t>
      </text>
    </comment>
    <comment ref="D48" authorId="0">
      <text>
        <t>SLB 2Q26 Form 10-Q Consolidated Balance Sheet (S8) | Dec. 31, 2025 column | 11,490</t>
      </text>
    </comment>
    <comment ref="E48" authorId="0">
      <text>
        <t>SLB 1Q26 Form 10-Q Consolidated Balance Sheet (S9) | Mar. 31, 2026 | 11,140</t>
      </text>
    </comment>
    <comment ref="F48" authorId="0">
      <text>
        <t>SLB 2Q26 Form 10-Q Consolidated Balance Sheet (S8) | Jun. 30, 2026 | 11,210</t>
      </text>
    </comment>
    <comment ref="C51" authorId="0">
      <text>
        <t>SLB 3Q25 Form 10-Q Consolidated Balance Sheet (S10) | Sep. 30, 2025 | 814</t>
      </text>
    </comment>
    <comment ref="D51" authorId="0">
      <text>
        <t>SLB 2Q26 Form 10-Q Consolidated Balance Sheet (S8) | Dec. 31, 2025 column | 894</t>
      </text>
    </comment>
    <comment ref="E51" authorId="0">
      <text>
        <t>SLB 1Q26 Form 10-Q Consolidated Balance Sheet (S9) | Mar. 31, 2026 | 878</t>
      </text>
    </comment>
    <comment ref="F51" authorId="0">
      <text>
        <t>SLB 2Q26 Form 10-Q Consolidated Balance Sheet (S8) | Jun. 30, 2026 | 742</t>
      </text>
    </comment>
    <comment ref="C54" authorId="0">
      <text>
        <t>SLB 3Q25 Form 10-Q Consolidated Balance Sheet (S10) | Sep. 30, 2025 | 1,923</t>
      </text>
    </comment>
    <comment ref="D54" authorId="0">
      <text>
        <t>SLB 2Q26 Form 10-Q Consolidated Balance Sheet (S8) | Dec. 31, 2025 column | 1,894</t>
      </text>
    </comment>
    <comment ref="E54" authorId="0">
      <text>
        <t>SLB 1Q26 Form 10-Q Consolidated Balance Sheet (S9) | Mar. 31, 2026 | 1,938</t>
      </text>
    </comment>
    <comment ref="F54" authorId="0">
      <text>
        <t>SLB 2Q26 Form 10-Q Consolidated Balance Sheet (S8) | Jun. 30, 2026 | 1,658</t>
      </text>
    </comment>
    <comment ref="C57" authorId="0">
      <text>
        <t>SLB 3Q25 Form 10-Q Consolidated Balance Sheet (S10) | Sep. 30, 2025 | 443</t>
      </text>
    </comment>
    <comment ref="D57" authorId="0">
      <text>
        <t>SLB 2Q26 Form 10-Q Consolidated Balance Sheet (S8) | Dec. 31, 2025 column | 443</t>
      </text>
    </comment>
    <comment ref="E57" authorId="0">
      <text>
        <t>SLB 1Q26 Form 10-Q Consolidated Balance Sheet (S9) | Mar. 31, 2026 | 457</t>
      </text>
    </comment>
    <comment ref="F57" authorId="0">
      <text>
        <t>SLB 2Q26 Form 10-Q Consolidated Balance Sheet (S8) | Jun. 30, 2026 | 456</t>
      </text>
    </comment>
    <comment ref="C63" authorId="0">
      <text>
        <t>SLB 3Q25 Form 10-Q Consolidated Balance Sheet (S10) | Sep. 30, 2025 | 10,843</t>
      </text>
    </comment>
    <comment ref="D63" authorId="0">
      <text>
        <t>SLB 2Q26 Form 10-Q Consolidated Balance Sheet (S8) | Dec. 31, 2025 column | 9,742</t>
      </text>
    </comment>
    <comment ref="E63" authorId="0">
      <text>
        <t>SLB 1Q26 Form 10-Q Consolidated Balance Sheet (S9) | Mar. 31, 2026 | 9,670</t>
      </text>
    </comment>
    <comment ref="F63" authorId="0">
      <text>
        <t>SLB 2Q26 Form 10-Q Consolidated Balance Sheet (S8) | Jun. 30, 2026 | 11,140</t>
      </text>
    </comment>
    <comment ref="C66" authorId="0">
      <text>
        <t>SLB 3Q25 Form 10-Q Consolidated Balance Sheet (S10) | Sep. 30, 2025 | 502</t>
      </text>
    </comment>
    <comment ref="D66" authorId="0">
      <text>
        <t>SLB 2Q26 Form 10-Q Consolidated Balance Sheet (S8) | Dec. 31, 2025 column | 479</t>
      </text>
    </comment>
    <comment ref="E66" authorId="0">
      <text>
        <t>SLB 1Q26 Form 10-Q Consolidated Balance Sheet (S9) | Mar. 31, 2026 | 474</t>
      </text>
    </comment>
    <comment ref="F66" authorId="0">
      <text>
        <t>SLB 2Q26 Form 10-Q Consolidated Balance Sheet (S8) | Jun. 30, 2026 | 475</t>
      </text>
    </comment>
    <comment ref="C69" authorId="0">
      <text>
        <t>SLB 3Q25 Form 10-Q Consolidated Balance Sheet (S10) | Sep. 30, 2025 | 827</t>
      </text>
    </comment>
    <comment ref="D69" authorId="0">
      <text>
        <t>SLB 2Q26 Form 10-Q Consolidated Balance Sheet (S8) | Dec. 31, 2025 column | 644</t>
      </text>
    </comment>
    <comment ref="E69" authorId="0">
      <text>
        <t>SLB 1Q26 Form 10-Q Consolidated Balance Sheet (S9) | Mar. 31, 2026 | 704</t>
      </text>
    </comment>
    <comment ref="F69" authorId="0">
      <text>
        <t>SLB 2Q26 Form 10-Q Consolidated Balance Sheet (S8) | Jun. 30, 2026 | 669</t>
      </text>
    </comment>
    <comment ref="C72" authorId="0">
      <text>
        <t>SLB 3Q25 Form 10-Q Consolidated Balance Sheet (S10) | Sep. 30, 2025 | 1,962</t>
      </text>
    </comment>
    <comment ref="D72" authorId="0">
      <text>
        <t>SLB 2Q26 Form 10-Q Consolidated Balance Sheet (S8) | Dec. 31, 2025 column | 1,991</t>
      </text>
    </comment>
    <comment ref="E72" authorId="0">
      <text>
        <t>SLB 1Q26 Form 10-Q Consolidated Balance Sheet (S9) | Mar. 31, 2026 | 1,912</t>
      </text>
    </comment>
    <comment ref="F72" authorId="0">
      <text>
        <t>SLB 2Q26 Form 10-Q Consolidated Balance Sheet (S8) | Jun. 30, 2026 | 1,928</t>
      </text>
    </comment>
    <comment ref="C79" authorId="0">
      <text>
        <t>SLB 3Q25 Form 10-Q Consolidated Balance Sheet (S10) | Sep. 30, 2025 | 16,338</t>
      </text>
    </comment>
    <comment ref="D79" authorId="0">
      <text>
        <t>SLB 2Q26 Form 10-Q Consolidated Balance Sheet (S8) | Dec. 31, 2025 column | 16,354</t>
      </text>
    </comment>
    <comment ref="E79" authorId="0">
      <text>
        <t>SLB 1Q26 Form 10-Q Consolidated Balance Sheet (S9) | Mar. 31, 2026 | 16,198</t>
      </text>
    </comment>
    <comment ref="F79" authorId="0">
      <text>
        <t>SLB 2Q26 Form 10-Q Consolidated Balance Sheet (S8) | Jun. 30, 2026 | 16,260</t>
      </text>
    </comment>
    <comment ref="C82" authorId="0">
      <text>
        <t>SLB 3Q25 Form 10-Q Consolidated Balance Sheet (S10) | Sep. 30, 2025 | (3,636)</t>
      </text>
    </comment>
    <comment ref="D82" authorId="0">
      <text>
        <t>SLB 2Q26 Form 10-Q Consolidated Balance Sheet (S8) | Dec. 31, 2025 column | (3,576)</t>
      </text>
    </comment>
    <comment ref="E82" authorId="0">
      <text>
        <t>SLB 1Q26 Form 10-Q Consolidated Balance Sheet (S9) | Mar. 31, 2026 | (3,650)</t>
      </text>
    </comment>
    <comment ref="F82" authorId="0">
      <text>
        <t>SLB 2Q26 Form 10-Q Consolidated Balance Sheet (S8) | Jun. 30, 2026 | (4,253)</t>
      </text>
    </comment>
    <comment ref="C85" authorId="0">
      <text>
        <t>SLB 3Q25 Form 10-Q Consolidated Balance Sheet (S10) | Sep. 30, 2025 | 17,746</t>
      </text>
    </comment>
    <comment ref="D85" authorId="0">
      <text>
        <t>SLB 2Q26 Form 10-Q Consolidated Balance Sheet (S8) | Dec. 31, 2025 column | 18,067</t>
      </text>
    </comment>
    <comment ref="E85" authorId="0">
      <text>
        <t>SLB 1Q26 Form 10-Q Consolidated Balance Sheet (S9) | Mar. 31, 2026 | 18,369</t>
      </text>
    </comment>
    <comment ref="F85" authorId="0">
      <text>
        <t>SLB 2Q26 Form 10-Q Consolidated Balance Sheet (S8) | Jun. 30, 2026 | 18,710</t>
      </text>
    </comment>
    <comment ref="C88" authorId="0">
      <text>
        <t>SLB 3Q25 Form 10-Q Consolidated Balance Sheet (S10) | Sep. 30, 2025 | (4,813)</t>
      </text>
    </comment>
    <comment ref="D88" authorId="0">
      <text>
        <t>SLB 2Q26 Form 10-Q Consolidated Balance Sheet (S8) | Dec. 31, 2025 column | (4,736)</t>
      </text>
    </comment>
    <comment ref="E88" authorId="0">
      <text>
        <t>SLB 1Q26 Form 10-Q Consolidated Balance Sheet (S9) | Mar. 31, 2026 | (4,740)</t>
      </text>
    </comment>
    <comment ref="F88" authorId="0">
      <text>
        <t>SLB 2Q26 Form 10-Q Consolidated Balance Sheet (S8) | Jun. 30, 2026 | (4,643)</t>
      </text>
    </comment>
    <comment ref="C94" authorId="0">
      <text>
        <t>SLB 3Q25 Form 10-Q Consolidated Balance Sheet (S10) | Sep. 30, 2025 | 1,287</t>
      </text>
    </comment>
    <comment ref="D94" authorId="0">
      <text>
        <t>SLB 2Q26 Form 10-Q Consolidated Balance Sheet (S8) | Dec. 31, 2025 column | 1,182</t>
      </text>
    </comment>
    <comment ref="E94" authorId="0">
      <text>
        <t>SLB 1Q26 Form 10-Q Consolidated Balance Sheet (S9) | Mar. 31, 2026 | 1,176</t>
      </text>
    </comment>
    <comment ref="F94" authorId="0">
      <text>
        <t>SLB 2Q26 Form 10-Q Consolidated Balance Sheet (S8) | Jun. 30, 2026 | 1,180</t>
      </text>
    </comment>
    <comment ref="C129" authorId="0">
      <text>
        <t>SLB 3Q24 Form 10-Q balance sheet, Sep. 30, 2024 (S32) | Short-term investments | 1,376</t>
      </text>
    </comment>
    <comment ref="D129" authorId="0">
      <text>
        <t>SLB 3Q25 Form 10-Q balance sheet, Dec. 31, 2024 column (S10) | Short-term investments | 1,125</t>
      </text>
    </comment>
    <comment ref="E129" authorId="0">
      <text>
        <t>SLB 1Q25 Form 10-Q balance sheet, Mar. 31, 2025 (S33) | Short-term investments | 961</t>
      </text>
    </comment>
    <comment ref="F129" authorId="0">
      <text>
        <t>SLB 2Q25 Form 10-Q balance sheet, Jun. 30, 2025 (S34) | Short-term investments | 511</t>
      </text>
    </comment>
    <comment ref="C130" authorId="0">
      <text>
        <t>SLB 3Q24 Form 10-Q balance sheet, Sep. 30, 2024 (S32) | Receivables | 8,260</t>
      </text>
    </comment>
    <comment ref="D130" authorId="0">
      <text>
        <t>SLB 3Q25 Form 10-Q balance sheet, Dec. 31, 2024 column (S10) | Receivables | 8,011</t>
      </text>
    </comment>
    <comment ref="E130" authorId="0">
      <text>
        <t>SLB 1Q25 Form 10-Q balance sheet, Mar. 31, 2025 (S33) | Receivables | 8,604</t>
      </text>
    </comment>
    <comment ref="F130" authorId="0">
      <text>
        <t>SLB 2Q25 Form 10-Q balance sheet, Jun. 30, 2025 (S34) | Receivables | 8,586</t>
      </text>
    </comment>
    <comment ref="C131" authorId="0">
      <text>
        <t>SLB 3Q24 Form 10-Q balance sheet, Sep. 30, 2024 (S32) | Inventories | 4,573</t>
      </text>
    </comment>
    <comment ref="D131" authorId="0">
      <text>
        <t>SLB 3Q25 Form 10-Q balance sheet, Dec. 31, 2024 column (S10) | Inventories | 4,375</t>
      </text>
    </comment>
    <comment ref="E131" authorId="0">
      <text>
        <t>SLB 1Q25 Form 10-Q balance sheet, Mar. 31, 2025 (S33) | Inventories | 4,650</t>
      </text>
    </comment>
    <comment ref="F131" authorId="0">
      <text>
        <t>SLB 2Q25 Form 10-Q balance sheet, Jun. 30, 2025 (S34) | Inventories | 4,740</t>
      </text>
    </comment>
    <comment ref="C132" authorId="0">
      <text>
        <t>SLB 3Q24 Form 10-Q balance sheet, Sep. 30, 2024 (S32) | Other current assets | 1,506</t>
      </text>
    </comment>
    <comment ref="D132" authorId="0">
      <text>
        <t>SLB 3Q25 Form 10-Q balance sheet, Dec. 31, 2024 column (S10) | Other current assets | 1,515</t>
      </text>
    </comment>
    <comment ref="E132" authorId="0">
      <text>
        <t>SLB 1Q25 Form 10-Q balance sheet, Mar. 31, 2025 (S33) | Other current assets | 1,444</t>
      </text>
    </comment>
    <comment ref="F132" authorId="0">
      <text>
        <t>SLB 2Q25 Form 10-Q balance sheet, Jun. 30, 2025 (S34) | Other current assets | 1,380</t>
      </text>
    </comment>
    <comment ref="C134" authorId="0">
      <text>
        <t>SLB 3Q24 Form 10-Q balance sheet, Sep. 30, 2024 (S32) | Investments in Affiliated Companies | 1,744</t>
      </text>
    </comment>
    <comment ref="D134" authorId="0">
      <text>
        <t>SLB 3Q25 Form 10-Q balance sheet, Dec. 31, 2024 column (S10) | Investments in Affiliated Companies | 1,635</t>
      </text>
    </comment>
    <comment ref="E134" authorId="0">
      <text>
        <t>SLB 1Q25 Form 10-Q balance sheet, Mar. 31, 2025 (S33) | Investments in Affiliated Companies | 1,641</t>
      </text>
    </comment>
    <comment ref="F134" authorId="0">
      <text>
        <t>SLB 2Q25 Form 10-Q balance sheet, Jun. 30, 2025 (S34) | Investments in Affiliated Companies | 1,676</t>
      </text>
    </comment>
    <comment ref="C135" authorId="0">
      <text>
        <t>SLB 3Q24 Form 10-Q balance sheet, Sep. 30, 2024 (S32) | Fixed Assets | 7,360</t>
      </text>
    </comment>
    <comment ref="D135" authorId="0">
      <text>
        <t>SLB 3Q25 Form 10-Q balance sheet, Dec. 31, 2024 column (S10) | Fixed Assets | 7,359</t>
      </text>
    </comment>
    <comment ref="E135" authorId="0">
      <text>
        <t>SLB 1Q25 Form 10-Q balance sheet, Mar. 31, 2025 (S33) | Fixed Assets | 7,399</t>
      </text>
    </comment>
    <comment ref="F135" authorId="0">
      <text>
        <t>SLB 2Q25 Form 10-Q balance sheet, Jun. 30, 2025 (S34) | Fixed Assets | 7,399</t>
      </text>
    </comment>
    <comment ref="C136" authorId="0">
      <text>
        <t>SLB 3Q24 Form 10-Q balance sheet, Sep. 30, 2024 (S32) | Goodwill | 14,559</t>
      </text>
    </comment>
    <comment ref="D136" authorId="0">
      <text>
        <t>SLB 3Q25 Form 10-Q balance sheet, Dec. 31, 2024 column (S10) | Goodwill | 14,593</t>
      </text>
    </comment>
    <comment ref="E136" authorId="0">
      <text>
        <t>SLB 1Q25 Form 10-Q balance sheet, Mar. 31, 2025 (S33) | Goodwill | 14,637</t>
      </text>
    </comment>
    <comment ref="F136" authorId="0">
      <text>
        <t>SLB 2Q25 Form 10-Q balance sheet, Jun. 30, 2025 (S34) | Goodwill | 14,658</t>
      </text>
    </comment>
    <comment ref="C137" authorId="0">
      <text>
        <t>SLB 3Q24 Form 10-Q balance sheet, Sep. 30, 2024 (S32) | Intangible Assets | 3,122</t>
      </text>
    </comment>
    <comment ref="D137" authorId="0">
      <text>
        <t>SLB 3Q25 Form 10-Q balance sheet, Dec. 31, 2024 column (S10) | Intangible Assets | 3,012</t>
      </text>
    </comment>
    <comment ref="E137" authorId="0">
      <text>
        <t>SLB 1Q25 Form 10-Q balance sheet, Mar. 31, 2025 (S33) | Intangible Assets | 2,963</t>
      </text>
    </comment>
    <comment ref="F137" authorId="0">
      <text>
        <t>SLB 2Q25 Form 10-Q balance sheet, Jun. 30, 2025 (S34) | Intangible Assets | 2,893</t>
      </text>
    </comment>
    <comment ref="C138" authorId="0">
      <text>
        <t>SLB 3Q24 Form 10-Q balance sheet, Sep. 30, 2024 (S32) | Other Assets | 4,189</t>
      </text>
    </comment>
    <comment ref="D138" authorId="0">
      <text>
        <t>SLB 3Q25 Form 10-Q balance sheet, Dec. 31, 2024 column (S10) | Other Assets | 3,766</t>
      </text>
    </comment>
    <comment ref="E138" authorId="0">
      <text>
        <t>SLB 1Q25 Form 10-Q balance sheet, Mar. 31, 2025 (S33) | Other Assets | 3,767</t>
      </text>
    </comment>
    <comment ref="F138" authorId="0">
      <text>
        <t>SLB 2Q25 Form 10-Q balance sheet, Jun. 30, 2025 (S34) | Other Assets | 3,690</t>
      </text>
    </comment>
    <comment ref="C140" authorId="0">
      <text>
        <t>SLB 3Q24 Form 10-Q balance sheet, Sep. 30, 2024 (S32) | Accounts payable and accrued liabilities | 10,346</t>
      </text>
    </comment>
    <comment ref="D140" authorId="0">
      <text>
        <t>SLB 3Q25 Form 10-Q balance sheet, Dec. 31, 2024 column (S10) | Accounts payable and accrued liabilities | 10,375</t>
      </text>
    </comment>
    <comment ref="E140" authorId="0">
      <text>
        <t>SLB 1Q25 Form 10-Q balance sheet, Mar. 31, 2025 (S33) | Accounts payable and accrued liabilities | 10,221</t>
      </text>
    </comment>
    <comment ref="F140" authorId="0">
      <text>
        <t>SLB 2Q25 Form 10-Q balance sheet, Jun. 30, 2025 (S34) | Accounts payable and accrued liabilities | 9,993</t>
      </text>
    </comment>
    <comment ref="C141" authorId="0">
      <text>
        <t>SLB 3Q24 Form 10-Q balance sheet, Sep. 30, 2024 (S32) | Estimated liability for taxes on income | 888</t>
      </text>
    </comment>
    <comment ref="D141" authorId="0">
      <text>
        <t>SLB 3Q25 Form 10-Q balance sheet, Dec. 31, 2024 column (S10) | Estimated liability for taxes on income | 982</t>
      </text>
    </comment>
    <comment ref="E141" authorId="0">
      <text>
        <t>SLB 1Q25 Form 10-Q balance sheet, Mar. 31, 2025 (S33) | Estimated liability for taxes on income | 936</t>
      </text>
    </comment>
    <comment ref="F141" authorId="0">
      <text>
        <t>SLB 2Q25 Form 10-Q balance sheet, Jun. 30, 2025 (S34) | Estimated liability for taxes on income | 833</t>
      </text>
    </comment>
    <comment ref="C142" authorId="0">
      <text>
        <t>SLB 3Q24 Form 10-Q balance sheet, Sep. 30, 2024 (S32) | Short-term borrowings and current portion of long-term debt | 1,059</t>
      </text>
    </comment>
    <comment ref="D142" authorId="0">
      <text>
        <t>SLB 3Q25 Form 10-Q balance sheet, Dec. 31, 2024 column (S10) | Short-term borrowings and current portion of long-term debt | 1,051</t>
      </text>
    </comment>
    <comment ref="E142" authorId="0">
      <text>
        <t>SLB 1Q25 Form 10-Q balance sheet, Mar. 31, 2025 (S33) | Short-term borrowings and current portion of long-term debt | 3,475</t>
      </text>
    </comment>
    <comment ref="F142" authorId="0">
      <text>
        <t>SLB 2Q25 Form 10-Q balance sheet, Jun. 30, 2025 (S34) | Short-term borrowings and current portion of long-term debt | 2,807</t>
      </text>
    </comment>
    <comment ref="C143" authorId="0">
      <text>
        <t>SLB 3Q24 Form 10-Q balance sheet, Sep. 30, 2024 (S32) | Dividends payable | 406</t>
      </text>
    </comment>
    <comment ref="D143" authorId="0">
      <text>
        <t>SLB 3Q25 Form 10-Q balance sheet, Dec. 31, 2024 column (S10) | Dividends payable | 403</t>
      </text>
    </comment>
    <comment ref="E143" authorId="0">
      <text>
        <t>SLB 1Q25 Form 10-Q balance sheet, Mar. 31, 2025 (S33) | Dividends payable | 404</t>
      </text>
    </comment>
    <comment ref="F143" authorId="0">
      <text>
        <t>SLB 2Q25 Form 10-Q balance sheet, Jun. 30, 2025 (S34) | Dividends payable | 402</t>
      </text>
    </comment>
    <comment ref="C145" authorId="0">
      <text>
        <t>SLB 3Q24 Form 10-Q balance sheet, Sep. 30, 2024 (S32) | Long-term Debt | 11,864</t>
      </text>
    </comment>
    <comment ref="D145" authorId="0">
      <text>
        <t>SLB 3Q25 Form 10-Q balance sheet, Dec. 31, 2024 column (S10) | Long-term Debt | 11,023</t>
      </text>
    </comment>
    <comment ref="E145" authorId="0">
      <text>
        <t>SLB 1Q25 Form 10-Q balance sheet, Mar. 31, 2025 (S33) | Long-term Debt | 10,527</t>
      </text>
    </comment>
    <comment ref="F145" authorId="0">
      <text>
        <t>SLB 2Q25 Form 10-Q balance sheet, Jun. 30, 2025 (S34) | Long-term Debt | 10,891</t>
      </text>
    </comment>
    <comment ref="C146" authorId="0">
      <text>
        <t>SLB 3Q24 Form 10-Q balance sheet, Sep. 30, 2024 (S32) | Postretirement Benefits | 176</t>
      </text>
    </comment>
    <comment ref="D146" authorId="0">
      <text>
        <t>SLB 3Q25 Form 10-Q balance sheet, Dec. 31, 2024 column (S10) | Postretirement Benefits | 512</t>
      </text>
    </comment>
    <comment ref="E146" authorId="0">
      <text>
        <t>SLB 1Q25 Form 10-Q balance sheet, Mar. 31, 2025 (S33) | Postretirement Benefits | 507</t>
      </text>
    </comment>
    <comment ref="F146" authorId="0">
      <text>
        <t>SLB 2Q25 Form 10-Q balance sheet, Jun. 30, 2025 (S34) | Postretirement Benefits | 502</t>
      </text>
    </comment>
    <comment ref="C147" authorId="0">
      <text>
        <t>SLB 3Q24 Form 10-Q balance sheet, Sep. 30, 2024 (S32) | Deferred Taxes | 171</t>
      </text>
    </comment>
    <comment ref="D147" authorId="0">
      <text>
        <t>SLB 3Q25 Form 10-Q balance sheet, Dec. 31, 2024 column (S10) | Deferred Taxes | 67</t>
      </text>
    </comment>
    <comment ref="E147" authorId="0">
      <text>
        <t>SLB 1Q25 Form 10-Q balance sheet, Mar. 31, 2025 (S33) | Deferred Taxes | 37</t>
      </text>
    </comment>
    <comment ref="F147" authorId="0">
      <text>
        <t>SLB 2Q25 Form 10-Q balance sheet, Jun. 30, 2025 (S34) | Deferred Taxes | 12</t>
      </text>
    </comment>
    <comment ref="C148" authorId="0">
      <text>
        <t>SLB 3Q24 Form 10-Q balance sheet, Sep. 30, 2024 (S32) | Other Liabilities | 2,137</t>
      </text>
    </comment>
    <comment ref="D148" authorId="0">
      <text>
        <t>SLB 3Q25 Form 10-Q balance sheet, Dec. 31, 2024 column (S10) | Other Liabilities | 2,172</t>
      </text>
    </comment>
    <comment ref="E148" authorId="0">
      <text>
        <t>SLB 1Q25 Form 10-Q balance sheet, Mar. 31, 2025 (S33) | Other Liabilities | 2,147</t>
      </text>
    </comment>
    <comment ref="F148" authorId="0">
      <text>
        <t>SLB 2Q25 Form 10-Q balance sheet, Jun. 30, 2025 (S34) | Other Liabilities | 1,778</t>
      </text>
    </comment>
    <comment ref="C150" authorId="0">
      <text>
        <t>SLB 3Q24 Form 10-Q balance sheet, Sep. 30, 2024 (S32) | Common stock | 11,408</t>
      </text>
    </comment>
    <comment ref="D150" authorId="0">
      <text>
        <t>SLB 3Q25 Form 10-Q balance sheet, Dec. 31, 2024 column (S10) | Common stock | 11,458</t>
      </text>
    </comment>
    <comment ref="E150" authorId="0">
      <text>
        <t>SLB 1Q25 Form 10-Q balance sheet, Mar. 31, 2025 (S33) | Common stock | 10,827</t>
      </text>
    </comment>
    <comment ref="F150" authorId="0">
      <text>
        <t>SLB 2Q25 Form 10-Q balance sheet, Jun. 30, 2025 (S34) | Common stock | 11,354</t>
      </text>
    </comment>
    <comment ref="C151" authorId="0">
      <text>
        <t>SLB 3Q24 Form 10-Q balance sheet, Sep. 30, 2024 (S32) | Treasury stock | (1,294)</t>
      </text>
    </comment>
    <comment ref="D151" authorId="0">
      <text>
        <t>SLB 3Q25 Form 10-Q balance sheet, Dec. 31, 2024 column (S10) | Treasury stock | (1,773)</t>
      </text>
    </comment>
    <comment ref="E151" authorId="0">
      <text>
        <t>SLB 1Q25 Form 10-Q balance sheet, Mar. 31, 2025 (S33) | Treasury stock | (3,292)</t>
      </text>
    </comment>
    <comment ref="F151" authorId="0">
      <text>
        <t>SLB 2Q25 Form 10-Q balance sheet, Jun. 30, 2025 (S34) | Treasury stock | (3,742)</t>
      </text>
    </comment>
    <comment ref="C152" authorId="0">
      <text>
        <t>SLB 3Q24 Form 10-Q balance sheet, Sep. 30, 2024 (S32) | Retained earnings | 15,687</t>
      </text>
    </comment>
    <comment ref="D152" authorId="0">
      <text>
        <t>SLB 3Q25 Form 10-Q balance sheet, Dec. 31, 2024 column (S10) | Retained earnings | 16,395</t>
      </text>
    </comment>
    <comment ref="E152" authorId="0">
      <text>
        <t>SLB 1Q25 Form 10-Q balance sheet, Mar. 31, 2025 (S33) | Retained earnings | 16,804</t>
      </text>
    </comment>
    <comment ref="F152" authorId="0">
      <text>
        <t>SLB 2Q25 Form 10-Q balance sheet, Jun. 30, 2025 (S34) | Retained earnings | 17,433</t>
      </text>
    </comment>
    <comment ref="C153" authorId="0">
      <text>
        <t>SLB 3Q24 Form 10-Q balance sheet, Sep. 30, 2024 (S32) | Accumulated other comprehensive loss | (4,290)</t>
      </text>
    </comment>
    <comment ref="D153" authorId="0">
      <text>
        <t>SLB 3Q25 Form 10-Q balance sheet, Dec. 31, 2024 column (S10) | Accumulated other comprehensive loss | (4,950)</t>
      </text>
    </comment>
    <comment ref="E153" authorId="0">
      <text>
        <t>SLB 1Q25 Form 10-Q balance sheet, Mar. 31, 2025 (S33) | Accumulated other comprehensive loss | (4,824)</t>
      </text>
    </comment>
    <comment ref="F153" authorId="0">
      <text>
        <t>SLB 2Q25 Form 10-Q balance sheet, Jun. 30, 2025 (S34) | Accumulated other comprehensive loss | (4,743)</t>
      </text>
    </comment>
    <comment ref="C155" authorId="0">
      <text>
        <t>SLB 3Q24 Form 10-Q balance sheet, Sep. 30, 2024 (S32) | Noncontrolling interests | 1,217</t>
      </text>
    </comment>
    <comment ref="D155" authorId="0">
      <text>
        <t>SLB 3Q25 Form 10-Q balance sheet, Dec. 31, 2024 column (S10) | Noncontrolling interests | 1,220</t>
      </text>
    </comment>
    <comment ref="E155" authorId="0">
      <text>
        <t>SLB 1Q25 Form 10-Q balance sheet, Mar. 31, 2025 (S33) | Noncontrolling interests | 1,233</t>
      </text>
    </comment>
    <comment ref="F155" authorId="0">
      <text>
        <t>SLB 2Q25 Form 10-Q balance sheet, Jun. 30, 2025 (S34) | Noncontrolling interests | 1,249</t>
      </text>
    </comment>
  </commentList>
</comments>
</file>

<file path=xl/comments10.xml><?xml version="1.0" encoding="utf-8"?>
<comments xmlns="http://schemas.openxmlformats.org/spreadsheetml/2006/main">
  <authors>
    <author>Shortcut</author>
  </authors>
  <commentList>
    <comment ref="C137" authorId="0">
      <text>
        <t>SLB 3Q25 earnings release EX-99 (S3) | Liquidity: Cash flow from operations, Third Quarter 2025 | 1,682</t>
      </text>
    </comment>
    <comment ref="D137" authorId="0">
      <text>
        <t>SLB 4Q25-FY25 earnings release EX-99 (S4) | Cash flow from operations, Fourth Quarter 2025 | 3,005</t>
      </text>
    </comment>
    <comment ref="F137" authorId="0">
      <text>
        <t>SLB 2Q26 earnings release EX-99 (S6) | Cash flow from operations, Second Quarter 2026 | 1,359</t>
      </text>
    </comment>
  </commentList>
</comments>
</file>

<file path=xl/comments11.xml><?xml version="1.0" encoding="utf-8"?>
<comments xmlns="http://schemas.openxmlformats.org/spreadsheetml/2006/main">
  <authors>
    <author>Shortcut</author>
  </authors>
  <commentList>
    <comment ref="C10" authorId="0">
      <text>
        <t>SLB 3Q25 earnings release EX-99 (S3) | ChampionX revenue by area | 387</t>
      </text>
    </comment>
    <comment ref="D10" authorId="0">
      <text>
        <t>SLB 4Q25-FY25 earnings release EX-99 (S4) | ChampionX revenue by area | 583</t>
      </text>
    </comment>
    <comment ref="E10" authorId="0">
      <text>
        <t>SLB 1Q26 earnings release EX-99 (S5) | ChampionX revenue by area | 579</t>
      </text>
    </comment>
    <comment ref="F10" authorId="0">
      <text>
        <t>SLB 2Q26 earnings release EX-99 (S6) | ChampionX revenue by area | 606</t>
      </text>
    </comment>
    <comment ref="C13" authorId="0">
      <text>
        <t>SLB 3Q25 earnings release EX-99 (S3) | ChampionX revenue by area | 171</t>
      </text>
    </comment>
    <comment ref="D13" authorId="0">
      <text>
        <t>SLB 4Q25-FY25 earnings release EX-99 (S4) | ChampionX revenue by area | 266</t>
      </text>
    </comment>
    <comment ref="E13" authorId="0">
      <text>
        <t>SLB 1Q26 earnings release EX-99 (S5) | ChampionX revenue by area | 231</t>
      </text>
    </comment>
    <comment ref="F13" authorId="0">
      <text>
        <t>SLB 2Q26 earnings release EX-99 (S6) | ChampionX revenue by area | 234</t>
      </text>
    </comment>
    <comment ref="C18" authorId="0">
      <text>
        <t>SLB 3Q25 earnings release EX-99 (S3) | Revenue by Geographical Area (as reported) | 1,930</t>
      </text>
    </comment>
    <comment ref="D18" authorId="0">
      <text>
        <t>SLB 4Q25-FY25 earnings release EX-99 (S4) | Revenue by Geographical Area (as reported) | 2,212</t>
      </text>
    </comment>
    <comment ref="E18" authorId="0">
      <text>
        <t>SLB 1Q26 earnings release EX-99 (S5) | Revenue by Geographical Area (as reported) | 2,167</t>
      </text>
    </comment>
    <comment ref="F18" authorId="0">
      <text>
        <t>SLB 2Q26 earnings release EX-99 (S6) | Revenue by Geographical Area (as reported) | 2,244</t>
      </text>
    </comment>
    <comment ref="C28" authorId="0">
      <text>
        <t>SLB 3Q25 earnings release EX-99 (S3) | Revenue by Geographical Area (as reported) | 1,482</t>
      </text>
    </comment>
    <comment ref="D28" authorId="0">
      <text>
        <t>SLB 4Q25-FY25 earnings release EX-99 (S4) | Revenue by Geographical Area (as reported) | 1,684</t>
      </text>
    </comment>
    <comment ref="E28" authorId="0">
      <text>
        <t>SLB 1Q26 earnings release EX-99 (S5) | Revenue by Geographical Area (as reported) | 1,528</t>
      </text>
    </comment>
    <comment ref="F28" authorId="0">
      <text>
        <t>SLB 2Q26 earnings release EX-99 (S6) | Revenue by Geographical Area (as reported) | 1,714</t>
      </text>
    </comment>
    <comment ref="C37" authorId="0">
      <text>
        <t>SLB 3Q25 earnings release EX-99 (S3) | Revenue by Geographical Area (as reported) | 2,434</t>
      </text>
    </comment>
    <comment ref="D37" authorId="0">
      <text>
        <t>SLB 4Q25-FY25 earnings release EX-99 (S4) | Revenue by Geographical Area (as reported) | 2,534</t>
      </text>
    </comment>
    <comment ref="E37" authorId="0">
      <text>
        <t>SLB 1Q26 earnings release EX-99 (S5) | Revenue by Geographical Area (as reported) | 2,256</t>
      </text>
    </comment>
    <comment ref="F37" authorId="0">
      <text>
        <t>SLB 2Q26 earnings release EX-99 (S6) | Revenue by Geographical Area (as reported) | 2,385</t>
      </text>
    </comment>
    <comment ref="C46" authorId="0">
      <text>
        <t>SLB 3Q25 earnings release EX-99 (S3) | Revenue by Geographical Area (as reported) | 3,000</t>
      </text>
    </comment>
    <comment ref="D46" authorId="0">
      <text>
        <t>SLB 4Q25-FY25 earnings release EX-99 (S4) | Revenue by Geographical Area (as reported) | 3,234</t>
      </text>
    </comment>
    <comment ref="E46" authorId="0">
      <text>
        <t>SLB 1Q26 earnings release EX-99 (S5) | Revenue by Geographical Area (as reported) | 2,687</t>
      </text>
    </comment>
    <comment ref="F46" authorId="0">
      <text>
        <t>SLB 2Q26 earnings release EX-99 (S6) | Revenue by Geographical Area (as reported) | 2,572</t>
      </text>
    </comment>
    <comment ref="C54" authorId="0">
      <text>
        <t>SLB 3Q25 earnings release EX-99 (S3) | Revenue by Geographical Area (as reported) | 82</t>
      </text>
    </comment>
    <comment ref="D54" authorId="0">
      <text>
        <t>SLB 4Q25-FY25 earnings release EX-99 (S4) | Revenue by Geographical Area (as reported) | 81</t>
      </text>
    </comment>
    <comment ref="E54" authorId="0">
      <text>
        <t>SLB 1Q26 earnings release EX-99 (S5) | Revenue by Geographical Area (as reported) | 83</t>
      </text>
    </comment>
    <comment ref="F54" authorId="0">
      <text>
        <t>SLB 2Q26 earnings release EX-99 (S6) | Revenue by Geographical Area (as reported) | 57</t>
      </text>
    </comment>
    <comment ref="F74" authorId="0">
      <text>
        <t>SLB 2Q26 earnings release EX-99 (S6) | reflecting a 13% decline in the Middle East | (0.13)</t>
      </text>
    </comment>
    <comment ref="F75" authorId="0">
      <text>
        <t>SLB 2Q26 prepared remarks (S7) | revenue fell 13% sequentially to $1.66 billion | 1,660</t>
      </text>
    </comment>
    <comment ref="C91" authorId="0">
      <text>
        <t>SLB 3Q25 earnings release EX-99 (S3) | Revenue by Geographical Area (pro forma) | 2,134</t>
      </text>
    </comment>
    <comment ref="C97" authorId="0">
      <text>
        <t>SLB 3Q25 earnings release EX-99 (S3) | Revenue by Geographical Area (pro forma) | 1,507</t>
      </text>
    </comment>
    <comment ref="C103" authorId="0">
      <text>
        <t>SLB 3Q25 earnings release EX-99 (S3) | Revenue by Geographical Area (pro forma) | 2,462</t>
      </text>
    </comment>
    <comment ref="C109" authorId="0">
      <text>
        <t>SLB 3Q25 earnings release EX-99 (S3) | Revenue by Geographical Area (pro forma) | 3,032</t>
      </text>
    </comment>
    <comment ref="C115" authorId="0">
      <text>
        <t>SLB 3Q25 earnings release EX-99 (S3) | Revenue by Geographical Area (pro forma) | 94</t>
      </text>
    </comment>
    <comment ref="C126" authorId="0">
      <text>
        <t>SLB 3Q25 earnings release EX-99 (S3) | ChampionX revenue by area (prior-year column) | 0</t>
      </text>
    </comment>
    <comment ref="D126" authorId="0">
      <text>
        <t>SLB 4Q25-FY25 earnings release EX-99 (S4) | ChampionX revenue by area (prior-year column) | 0</t>
      </text>
    </comment>
    <comment ref="E126" authorId="0">
      <text>
        <t>SLB 1Q26 earnings release EX-99 (S5) | ChampionX revenue by area (prior-year column) | 0</t>
      </text>
    </comment>
    <comment ref="F126" authorId="0">
      <text>
        <t>SLB 2Q26 earnings release EX-99 (S6) | ChampionX revenue by area (prior-year column) | 0</t>
      </text>
    </comment>
    <comment ref="G126" authorId="0">
      <text>
        <t>SLB 4Q25-FY25 earnings release EX-99 (S4) | ChampionX revenue by area (prior-year column) | 0</t>
      </text>
    </comment>
    <comment ref="C127" authorId="0">
      <text>
        <t>SLB 3Q25 earnings release EX-99 (S3) | ChampionX revenue by area (prior-year column) | 0</t>
      </text>
    </comment>
    <comment ref="D127" authorId="0">
      <text>
        <t>SLB 4Q25-FY25 earnings release EX-99 (S4) | ChampionX revenue by area (prior-year column) | 0</t>
      </text>
    </comment>
    <comment ref="E127" authorId="0">
      <text>
        <t>SLB 1Q26 earnings release EX-99 (S5) | ChampionX revenue by area (prior-year column) | 0</t>
      </text>
    </comment>
    <comment ref="F127" authorId="0">
      <text>
        <t>SLB 2Q26 earnings release EX-99 (S6) | ChampionX revenue by area (prior-year column) | 0</t>
      </text>
    </comment>
    <comment ref="G127" authorId="0">
      <text>
        <t>SLB 4Q25-FY25 earnings release EX-99 (S4) | ChampionX revenue by area (prior-year column) | 0</t>
      </text>
    </comment>
    <comment ref="C128" authorId="0">
      <text>
        <t>SLB 3Q25 earnings release EX-99 (S3) | Revenue by Geographical Area (as reported) (prior-year column) | 1,687</t>
      </text>
    </comment>
    <comment ref="D128" authorId="0">
      <text>
        <t>SLB 4Q25-FY25 earnings release EX-99 (S4) | Revenue by Geographical Area (as reported) (prior-year column) | 1,752</t>
      </text>
    </comment>
    <comment ref="E128" authorId="0">
      <text>
        <t>SLB 1Q26 earnings release EX-99 (S5) | Revenue by Geographical Area (as reported) (prior-year column) | 1,719</t>
      </text>
    </comment>
    <comment ref="F128" authorId="0">
      <text>
        <t>SLB 2Q26 earnings release EX-99 (S6) | Revenue by Geographical Area (as reported) (prior-year column) | 1,655</t>
      </text>
    </comment>
    <comment ref="G128" authorId="0">
      <text>
        <t>SLB 4Q25-FY25 earnings release EX-99 (S4) | Revenue by Geographical Area (as reported) (prior-year column) | 6,680</t>
      </text>
    </comment>
    <comment ref="C129" authorId="0">
      <text>
        <t>SLB 3Q25 earnings release EX-99 (S3) | Revenue by Geographical Area (as reported) (prior-year column) | 1,689</t>
      </text>
    </comment>
    <comment ref="D129" authorId="0">
      <text>
        <t>SLB 4Q25-FY25 earnings release EX-99 (S4) | Revenue by Geographical Area (as reported) (prior-year column) | 1,634</t>
      </text>
    </comment>
    <comment ref="E129" authorId="0">
      <text>
        <t>SLB 1Q26 earnings release EX-99 (S5) | Revenue by Geographical Area (as reported) (prior-year column) | 1,495</t>
      </text>
    </comment>
    <comment ref="F129" authorId="0">
      <text>
        <t>SLB 2Q26 earnings release EX-99 (S6) | Revenue by Geographical Area (as reported) (prior-year column) | 1,492</t>
      </text>
    </comment>
    <comment ref="G129" authorId="0">
      <text>
        <t>SLB 4Q25-FY25 earnings release EX-99 (S4) | Revenue by Geographical Area (as reported) (prior-year column) | 6,719</t>
      </text>
    </comment>
    <comment ref="C130" authorId="0">
      <text>
        <t>SLB 3Q25 earnings release EX-99 (S3) | Revenue by Geographical Area (as reported) (prior-year column) | 2,434</t>
      </text>
    </comment>
    <comment ref="D130" authorId="0">
      <text>
        <t>SLB 4Q25-FY25 earnings release EX-99 (S4) | Revenue by Geographical Area (as reported) (prior-year column) | 2,472</t>
      </text>
    </comment>
    <comment ref="E130" authorId="0">
      <text>
        <t>SLB 1Q26 earnings release EX-99 (S5) | Revenue by Geographical Area (as reported) (prior-year column) | 2,235</t>
      </text>
    </comment>
    <comment ref="F130" authorId="0">
      <text>
        <t>SLB 2Q26 earnings release EX-99 (S6) | Revenue by Geographical Area (as reported) (prior-year column) | 2,369</t>
      </text>
    </comment>
    <comment ref="G130" authorId="0">
      <text>
        <t>SLB 4Q25-FY25 earnings release EX-99 (S4) | Revenue by Geographical Area (as reported) (prior-year column) | 9,670</t>
      </text>
    </comment>
    <comment ref="C131" authorId="0">
      <text>
        <t>SLB 3Q25 earnings release EX-99 (S3) | Revenue by Geographical Area (as reported) (prior-year column) | 3,302</t>
      </text>
    </comment>
    <comment ref="D131" authorId="0">
      <text>
        <t>SLB 4Q25-FY25 earnings release EX-99 (S4) | Revenue by Geographical Area (as reported) (prior-year column) | 3,376</t>
      </text>
    </comment>
    <comment ref="E131" authorId="0">
      <text>
        <t>SLB 1Q26 earnings release EX-99 (S5) | Revenue by Geographical Area (as reported) (prior-year column) | 2,997</t>
      </text>
    </comment>
    <comment ref="F131" authorId="0">
      <text>
        <t>SLB 2Q26 earnings release EX-99 (S6) | Revenue by Geographical Area (as reported) (prior-year column) | 2,986</t>
      </text>
    </comment>
    <comment ref="G131" authorId="0">
      <text>
        <t>SLB 4Q25-FY25 earnings release EX-99 (S4) | Revenue by Geographical Area (as reported) (prior-year column) | 13,026</t>
      </text>
    </comment>
    <comment ref="C132" authorId="0">
      <text>
        <t>SLB 3Q25 earnings release EX-99 (S3) | Revenue by Geographical Area (as reported) (prior-year column) | 47</t>
      </text>
    </comment>
    <comment ref="D132" authorId="0">
      <text>
        <t>SLB 4Q25-FY25 earnings release EX-99 (S4) | Revenue by Geographical Area (as reported) (prior-year column) | 50</t>
      </text>
    </comment>
    <comment ref="E132" authorId="0">
      <text>
        <t>SLB 1Q26 earnings release EX-99 (S5) | Revenue by Geographical Area (as reported) (prior-year column) | 44</t>
      </text>
    </comment>
    <comment ref="F132" authorId="0">
      <text>
        <t>SLB 2Q26 earnings release EX-99 (S6) | Revenue by Geographical Area (as reported) (prior-year column) | 44</t>
      </text>
    </comment>
    <comment ref="G132" authorId="0">
      <text>
        <t>SLB 4Q25-FY25 earnings release EX-99 (S4) | Revenue by Geographical Area (as reported) (prior-year column) | 194</t>
      </text>
    </comment>
    <comment ref="C135" authorId="0">
      <text>
        <t>SLB 3Q25 earnings release EX-99 (S3) | Revenue by Geographical Area (pro forma) (prior-year column) | 2,240</t>
      </text>
    </comment>
    <comment ref="D135" authorId="0">
      <text>
        <t>SLB 4Q25-FY25 earnings release EX-99 (S4) | Revenue by Geographical Area (pro forma) (prior-year column) | 2,298</t>
      </text>
    </comment>
    <comment ref="E135" authorId="0">
      <text>
        <t>SLB 1Q26 earnings release EX-99 (S5) | Revenue by Geographical Area (pro forma) (prior-year column) | 2,258</t>
      </text>
    </comment>
    <comment ref="F135" authorId="0">
      <text>
        <t>SLB 2Q26 earnings release EX-99 (S6) | Revenue by Geographical Area (pro forma) (prior-year column) | 2,219</t>
      </text>
    </comment>
    <comment ref="C136" authorId="0">
      <text>
        <t>SLB 3Q25 earnings release EX-99 (S3) | Revenue by Geographical Area (pro forma) (prior-year column) | 1,758</t>
      </text>
    </comment>
    <comment ref="D136" authorId="0">
      <text>
        <t>SLB 4Q25-FY25 earnings release EX-99 (S4) | Revenue by Geographical Area (pro forma) (prior-year column) | 1,704</t>
      </text>
    </comment>
    <comment ref="E136" authorId="0">
      <text>
        <t>SLB 1Q26 earnings release EX-99 (S5) | Revenue by Geographical Area (pro forma) (prior-year column) | 1,561</t>
      </text>
    </comment>
    <comment ref="F136" authorId="0">
      <text>
        <t>SLB 2Q26 earnings release EX-99 (S6) | Revenue by Geographical Area (pro forma) (prior-year column) | 1,568</t>
      </text>
    </comment>
    <comment ref="C137" authorId="0">
      <text>
        <t>SLB 3Q25 earnings release EX-99 (S3) | Revenue by Geographical Area (pro forma) (prior-year column) | 2,535</t>
      </text>
    </comment>
    <comment ref="D137" authorId="0">
      <text>
        <t>SLB 4Q25-FY25 earnings release EX-99 (S4) | Revenue by Geographical Area (pro forma) (prior-year column) | 2,563</t>
      </text>
    </comment>
    <comment ref="E137" authorId="0">
      <text>
        <t>SLB 1Q26 earnings release EX-99 (S5) | Revenue by Geographical Area (pro forma) (prior-year column) | 2,315</t>
      </text>
    </comment>
    <comment ref="F137" authorId="0">
      <text>
        <t>SLB 2Q26 earnings release EX-99 (S6) | Revenue by Geographical Area (pro forma) (prior-year column) | 2,456</t>
      </text>
    </comment>
    <comment ref="C138" authorId="0">
      <text>
        <t>SLB 3Q25 earnings release EX-99 (S3) | Revenue by Geographical Area (pro forma) (prior-year column) | 3,398</t>
      </text>
    </comment>
    <comment ref="D138" authorId="0">
      <text>
        <t>SLB 4Q25-FY25 earnings release EX-99 (S4) | Revenue by Geographical Area (pro forma) (prior-year column) | 3,490</t>
      </text>
    </comment>
    <comment ref="E138" authorId="0">
      <text>
        <t>SLB 1Q26 earnings release EX-99 (S5) | Revenue by Geographical Area (pro forma) (prior-year column) | 3,093</t>
      </text>
    </comment>
    <comment ref="F138" authorId="0">
      <text>
        <t>SLB 2Q26 earnings release EX-99 (S6) | Revenue by Geographical Area (pro forma) (prior-year column) | 3,075</t>
      </text>
    </comment>
    <comment ref="C139" authorId="0">
      <text>
        <t>SLB 3Q25 earnings release EX-99 (S3) | Revenue by Geographical Area (pro forma) (prior-year column) | 83</t>
      </text>
    </comment>
    <comment ref="D139" authorId="0">
      <text>
        <t>SLB 4Q25-FY25 earnings release EX-99 (S4) | Revenue by Geographical Area (pro forma) (prior-year column) | 89</t>
      </text>
    </comment>
    <comment ref="E139" authorId="0">
      <text>
        <t>SLB 1Q26 earnings release EX-99 (S5) | Revenue by Geographical Area (pro forma) (prior-year column) | 76</t>
      </text>
    </comment>
    <comment ref="F139" authorId="0">
      <text>
        <t>SLB 2Q26 earnings release EX-99 (S6) | Revenue by Geographical Area (pro forma) (prior-year column) | 80</t>
      </text>
    </comment>
  </commentList>
</comments>
</file>

<file path=xl/comments12.xml><?xml version="1.0" encoding="utf-8"?>
<comments xmlns="http://schemas.openxmlformats.org/spreadsheetml/2006/main">
  <authors>
    <author>Shortcut</author>
  </authors>
  <commentList>
    <comment ref="C10" authorId="0">
      <text>
        <t>SLB 3Q25 earnings release EX-99 (S3) | Shares outstanding at June 30, 2025: 1,351 | 1,351</t>
      </text>
    </comment>
    <comment ref="G10" authorId="0">
      <text>
        <t>SLB FY25 Form 10-K statement of equity (S11) | Balance Shares Outstanding Dec. 31, 2024: 1,400,850,420 | 1,401</t>
      </text>
    </comment>
    <comment ref="C11" authorId="0">
      <text>
        <t>SLB 3Q25 earnings release EX-99 (S3) | Question: shares outstanding roll-forward | 141</t>
      </text>
    </comment>
    <comment ref="D11" authorId="0">
      <text>
        <t>SLB 4Q25-FY25 earnings release EX-99 (S4) | Question 7: shares outstanding roll-forward | 0</t>
      </text>
    </comment>
    <comment ref="E11" authorId="0">
      <text>
        <t>SLB 1Q26 earnings release EX-99 (S5) | Question 6: shares outstanding roll-forward | 0</t>
      </text>
    </comment>
    <comment ref="F11" authorId="0">
      <text>
        <t>SLB 2Q26 earnings release EX-99 (S6) | Question 6: shares outstanding roll-forward | 0</t>
      </text>
    </comment>
    <comment ref="C12" authorId="0">
      <text>
        <t>SLB 3Q25 earnings release EX-99 (S3) | Question: shares outstanding roll-forward | 4</t>
      </text>
    </comment>
    <comment ref="D12" authorId="0">
      <text>
        <t>SLB 4Q25-FY25 earnings release EX-99 (S4) | Question 7: shares outstanding roll-forward | 0</t>
      </text>
    </comment>
    <comment ref="E12" authorId="0">
      <text>
        <t>SLB 1Q26 earnings release EX-99 (S5) | Question 6: shares outstanding roll-forward | 4</t>
      </text>
    </comment>
    <comment ref="F12" authorId="0">
      <text>
        <t>SLB 2Q26 earnings release EX-99 (S6) | Question 6: shares outstanding roll-forward | 0</t>
      </text>
    </comment>
    <comment ref="C13" authorId="0">
      <text>
        <t>SLB 3Q25 earnings release EX-99 (S3) | Question: shares outstanding roll-forward | 0</t>
      </text>
    </comment>
    <comment ref="D13" authorId="0">
      <text>
        <t>SLB 4Q25-FY25 earnings release EX-99 (S4) | Question 7: shares outstanding roll-forward | 0</t>
      </text>
    </comment>
    <comment ref="E13" authorId="0">
      <text>
        <t>SLB 1Q26 earnings release EX-99 (S5) | Question 6: shares outstanding roll-forward | 2</t>
      </text>
    </comment>
    <comment ref="F13" authorId="0">
      <text>
        <t>SLB 2Q26 earnings release EX-99 (S6) | Question 6: shares outstanding roll-forward | 1</t>
      </text>
    </comment>
    <comment ref="C14" authorId="0">
      <text>
        <t>SLB 3Q25 earnings release EX-99 (S3) | Question: shares outstanding roll-forward | 1</t>
      </text>
    </comment>
    <comment ref="D14" authorId="0">
      <text>
        <t>SLB 4Q25-FY25 earnings release EX-99 (S4) | Question 7: shares outstanding roll-forward | 1</t>
      </text>
    </comment>
    <comment ref="E14" authorId="0">
      <text>
        <t>SLB 1Q26 earnings release EX-99 (S5) | Question 6: shares outstanding roll-forward | 3</t>
      </text>
    </comment>
    <comment ref="F14" authorId="0">
      <text>
        <t>SLB 2Q26 earnings release EX-99 (S6) | Question 6: shares outstanding roll-forward | 0</t>
      </text>
    </comment>
    <comment ref="C15" authorId="0">
      <text>
        <t>SLB 3Q25 earnings release EX-99 (S3) | Question: shares outstanding roll-forward | (3)</t>
      </text>
    </comment>
    <comment ref="D15" authorId="0">
      <text>
        <t>SLB 4Q25-FY25 earnings release EX-99 (S4) | Question 7: shares outstanding roll-forward | 0</t>
      </text>
    </comment>
    <comment ref="E15" authorId="0">
      <text>
        <t>SLB 1Q26 earnings release EX-99 (S5) | Question 6: shares outstanding roll-forward | (9)</t>
      </text>
    </comment>
    <comment ref="F15" authorId="0">
      <text>
        <t>SLB 2Q26 earnings release EX-99 (S6) | Question 6: shares outstanding roll-forward | (12)</t>
      </text>
    </comment>
    <comment ref="G15" authorId="0">
      <text>
        <t>SLB 4Q25-FY25 earnings release EX-99 (S4) | SLB repurchased a total of 60 million shares | (60)</t>
      </text>
    </comment>
    <comment ref="C18" authorId="0">
      <text>
        <t>SLB 3Q25 earnings release EX-99 (S3) | Question: shares outstanding roll-forward | 1,494</t>
      </text>
    </comment>
    <comment ref="D18" authorId="0">
      <text>
        <t>SLB 4Q25-FY25 earnings release EX-99 (S4) | Question 7: shares outstanding roll-forward | 1,495</t>
      </text>
    </comment>
    <comment ref="E18" authorId="0">
      <text>
        <t>SLB 1Q26 earnings release EX-99 (S5) | Question 6: shares outstanding roll-forward | 1,495</t>
      </text>
    </comment>
    <comment ref="F18" authorId="0">
      <text>
        <t>SLB 2Q26 earnings release EX-99 (S6) | Question 6: shares outstanding roll-forward | 1,484</t>
      </text>
    </comment>
    <comment ref="G18" authorId="0">
      <text>
        <t>SLB 4Q25-FY25 earnings release EX-99 (S4) | Question 7: shares outstanding roll-forward | 1,495</t>
      </text>
    </comment>
    <comment ref="C28" authorId="0">
      <text>
        <t>SLB 3Q25 earnings release EX-99 (S3) | quarterly cash dividend of $0.285 per share | 0.285</t>
      </text>
    </comment>
    <comment ref="D28" authorId="0">
      <text>
        <t>SLB 4Q25-FY25 earnings release EX-99 (S4) | dividend $0.285 (4Q25) | 0.285</t>
      </text>
    </comment>
    <comment ref="E28" authorId="0">
      <text>
        <t>SLB 1Q26 earnings release EX-99 (S5) | quarterly cash dividend of $0.295 per share | 0.295</t>
      </text>
    </comment>
    <comment ref="F28" authorId="0">
      <text>
        <t>SLB 2Q26 earnings release EX-99 (S6) | quarterly cash dividend of $0.295 per share | 0.295</t>
      </text>
    </comment>
    <comment ref="G28" authorId="0">
      <text>
        <t>SLB 4Q25-FY25 earnings release EX-99 (S4) | FY25 dividends declared $0.285 × 4 | 1.14</t>
      </text>
    </comment>
    <comment ref="C34" authorId="0">
      <text>
        <t>SLB 3Q25 earnings release EX-99 (S3) | Weighted average shares outstanding 1,471 | 1,471</t>
      </text>
    </comment>
    <comment ref="D34" authorId="0">
      <text>
        <t>SLB 4Q25-FY25 earnings release EX-99 (S4) | Weighted average shares outstanding 1,495 | 1,495</t>
      </text>
    </comment>
    <comment ref="E34" authorId="0">
      <text>
        <t>SLB 1Q26 earnings release EX-99 (S5) | Weighted average shares outstanding 1,499 | 1,499</t>
      </text>
    </comment>
    <comment ref="F34" authorId="0">
      <text>
        <t>SLB 2Q26 earnings release EX-99 (S6) | Weighted average shares outstanding 1,490 | 1,490</t>
      </text>
    </comment>
    <comment ref="G34" authorId="0">
      <text>
        <t>SLB 4Q25-FY25 earnings release EX-99 (S4) | Average shares outstanding 1,421 (Twelve Months 2025) | 1,421</t>
      </text>
    </comment>
    <comment ref="C37" authorId="0">
      <text>
        <t>SLB 3Q25 earnings release EX-99 (S3) | Unvested restricted stock 17 | 17</t>
      </text>
    </comment>
    <comment ref="D37" authorId="0">
      <text>
        <t>SLB 4Q25-FY25 earnings release EX-99 (S4) | Unvested restricted stock 16 | 16</t>
      </text>
    </comment>
    <comment ref="E37" authorId="0">
      <text>
        <t>SLB 1Q26 earnings release EX-99 (S5) | Unvested restricted stock 15 | 15</t>
      </text>
    </comment>
    <comment ref="F37" authorId="0">
      <text>
        <t>SLB 2Q26 earnings release EX-99 (S6) | Unvested restricted stock 15 | 15</t>
      </text>
    </comment>
    <comment ref="G37" authorId="0">
      <text>
        <t>SLB 4Q25-FY25 earnings release EX-99 (S4) | derived: 1,437 diluted − 1,421 basic | 16</t>
      </text>
    </comment>
    <comment ref="C40" authorId="0">
      <text>
        <t>SLB 3Q25 earnings release EX-99 (S3) | Question: shares outstanding roll-forward | 0</t>
      </text>
    </comment>
    <comment ref="D40" authorId="0">
      <text>
        <t>SLB 4Q25-FY25 earnings release EX-99 (S4) | Question 7: shares outstanding roll-forward | 0</t>
      </text>
    </comment>
    <comment ref="E40" authorId="0">
      <text>
        <t>SLB 1Q26 earnings release EX-99 (S5) | Assumed exercise of stock options 1 | 1</t>
      </text>
    </comment>
    <comment ref="F40" authorId="0">
      <text>
        <t>SLB 2Q26 earnings release EX-99 (S6) | Assumed exercise of stock options 1 | 1</t>
      </text>
    </comment>
    <comment ref="C44" authorId="0">
      <text>
        <t>SLB 3Q25 earnings release EX-99 (S3) | Average shares outstanding assuming dilution | 1,488</t>
      </text>
    </comment>
    <comment ref="D44" authorId="0">
      <text>
        <t>SLB 4Q25-FY25 earnings release EX-99 (S4) | Average shares outstanding assuming dilution | 1,511</t>
      </text>
    </comment>
    <comment ref="E44" authorId="0">
      <text>
        <t>SLB 1Q26 earnings release EX-99 (S5) | Average shares outstanding assuming dilution | 1,515</t>
      </text>
    </comment>
    <comment ref="F44" authorId="0">
      <text>
        <t>SLB 2Q26 earnings release EX-99 (S6) | Average shares outstanding assuming dilution | 1,506</t>
      </text>
    </comment>
    <comment ref="G44" authorId="0">
      <text>
        <t>SLB 4Q25-FY25 earnings release EX-99 (S4) | Average shares outstanding assuming dilution | 1,437</t>
      </text>
    </comment>
    <comment ref="C53" authorId="0">
      <text>
        <t>SLB 3Q25 earnings release EX-99 (S3) | Average shares outstanding 1,417 (Third Quarter 2024) | 1,417</t>
      </text>
    </comment>
    <comment ref="D53" authorId="0">
      <text>
        <t>SLB 4Q25-FY25 earnings release EX-99 (S4) | Average shares outstanding 1,406 (Fourth Quarter 2024) | 1,406</t>
      </text>
    </comment>
    <comment ref="E53" authorId="0">
      <text>
        <t>SLB 1Q26 earnings release EX-99 (S5) | Average shares outstanding 1,366 (First Quarter 2025) | 1,366</t>
      </text>
    </comment>
    <comment ref="F53" authorId="0">
      <text>
        <t>SLB 2Q26 earnings release EX-99 (S6) | Average shares outstanding 1,352 (Second Quarter 2025) | 1,352</t>
      </text>
    </comment>
    <comment ref="G53" authorId="0">
      <text>
        <t>SLB 4Q25-FY25 earnings release EX-99 (S4) | Average shares outstanding 1,421 (Twelve Months 2024) | 1,421</t>
      </text>
    </comment>
  </commentList>
</comments>
</file>

<file path=xl/comments13.xml><?xml version="1.0" encoding="utf-8"?>
<comments xmlns="http://schemas.openxmlformats.org/spreadsheetml/2006/main">
  <authors>
    <author>Shortcut</author>
  </authors>
  <commentList>
    <comment ref="E11" authorId="0">
      <text>
        <t>SLB 2Q25 earnings call (S15) | guidance | between $18.2 billion and $18.8 billion</t>
      </text>
    </comment>
    <comment ref="F11" authorId="0">
      <text>
        <t>SLB 2Q25 earnings call (S15) | guidance | between $18.2 billion and $18.8 billion</t>
      </text>
    </comment>
    <comment ref="E12" authorId="0">
      <text>
        <t>SLB 2Q25 earnings call (S15) | guidance | second half EBITDA margins to be flat compared to the second quarter</t>
      </text>
    </comment>
    <comment ref="E13" authorId="0">
      <text>
        <t>SLB 3Q25 earnings call (S14) | 4Q25 outlook | high single-digit topline growth</t>
      </text>
    </comment>
    <comment ref="E14" authorId="0">
      <text>
        <t>SLB 3Q25 earnings call (S14) | 4Q25 outlook | expand 50 to 150 bps sequentially</t>
      </text>
    </comment>
    <comment ref="F14" authorId="0">
      <text>
        <t>SLB 3Q25 earnings call (S14) | 4Q25 outlook | expand 50 to 150 bps sequentially</t>
      </text>
    </comment>
    <comment ref="E15" authorId="0">
      <text>
        <t>SLB 4Q25 prepared remarks (S13) | 1Q26 outlook | decline by high single-digits sequentially</t>
      </text>
    </comment>
    <comment ref="E16" authorId="0">
      <text>
        <t>SLB 4Q25 prepared remarks (S13) | 1Q26 outlook | decrease by 150 basis points to 200 basis points</t>
      </text>
    </comment>
    <comment ref="F16" authorId="0">
      <text>
        <t>SLB 4Q25 prepared remarks (S13) | 1Q26 outlook | decrease by 150 basis points to 200 basis points</t>
      </text>
    </comment>
    <comment ref="E17" authorId="0">
      <text>
        <t>SLB 4Q25 prepared remarks (S13) | outlook | adjusted EBITDA between $8.6 billion to $9.1 billion</t>
      </text>
    </comment>
    <comment ref="F17" authorId="0">
      <text>
        <t>SLB 4Q25 prepared remarks (S13) | outlook | adjusted EBITDA between $8.6 billion to $9.1 billion</t>
      </text>
    </comment>
    <comment ref="E18" authorId="0">
      <text>
        <t>SLB 1Q26 earnings call (S16) | 2Q26 outlook | $0.06-$0.08 EPS headwind</t>
      </text>
    </comment>
    <comment ref="F18" authorId="0">
      <text>
        <t>SLB 1Q26 earnings call (S16) | 2Q26 outlook | $0.06-$0.08 EPS headwind</t>
      </text>
    </comment>
    <comment ref="E19" authorId="0">
      <text>
        <t>SLB 1Q26 prepared remarks (S16) | 2Q26 outlook | North America revenue is expected to be flat sequentially</t>
      </text>
    </comment>
    <comment ref="E20" authorId="0">
      <text>
        <t>SLB 2Q26 prepared remarks (S7) | 3Q26 outlook | global sequential revenue growth between 3% and 4%</t>
      </text>
    </comment>
    <comment ref="F20" authorId="0">
      <text>
        <t>SLB 2Q26 prepared remarks (S7) | 3Q26 outlook | global sequential revenue growth between 3% and 4%</t>
      </text>
    </comment>
    <comment ref="E23" authorId="0">
      <text>
        <t>SLB 2Q26 prepared remarks (S7) | 3Q26 outlook | adjusted EBITDA margin expansion of approximately 75 basis points</t>
      </text>
    </comment>
    <comment ref="E26" authorId="0">
      <text>
        <t>SLB 2Q26 prepared remarks (S7) | downside | approximately $150 million lower</t>
      </text>
    </comment>
    <comment ref="E27" authorId="0">
      <text>
        <t>SLB 2Q26 prepared remarks (S7) | downside | adjusted EBITDA headwind of approximately $75 million</t>
      </text>
    </comment>
  </commentList>
</comments>
</file>

<file path=xl/comments14.xml><?xml version="1.0" encoding="utf-8"?>
<comments xmlns="http://schemas.openxmlformats.org/spreadsheetml/2006/main">
  <authors>
    <author>Shortcut</author>
  </authors>
  <commentList>
    <comment ref="C18" authorId="0">
      <text>
        <t>SLB_consensus.json | consensus_eps | 0.61</t>
      </text>
    </comment>
    <comment ref="C20" authorId="0">
      <text>
        <t>SLB_consensus.json | consensus_revenue_m | 9266.41</t>
      </text>
    </comment>
    <comment ref="C47" authorId="0">
      <text>
        <t>SLB_consensus.json | summary_row.eps_normalized_estimates | 24</t>
      </text>
    </comment>
    <comment ref="C48" authorId="0">
      <text>
        <t>SLB_consensus.json | summary_row.eps_normalized_contributors | 24</t>
      </text>
    </comment>
    <comment ref="C50" authorId="0">
      <text>
        <t>SLB_consensus.json | summary_row.eps_normalized_mean | 0.61</t>
      </text>
    </comment>
    <comment ref="C51" authorId="0">
      <text>
        <t>SLB_consensus.json | summary_row.eps_normalized_median | 0.62</t>
      </text>
    </comment>
    <comment ref="C52" authorId="0">
      <text>
        <t>SLB_consensus.json | summary_row.eps_normalized_high | 0.68</t>
      </text>
    </comment>
    <comment ref="C53" authorId="0">
      <text>
        <t>SLB_consensus.json | summary_row.eps_normalized_low | 0.51</t>
      </text>
    </comment>
    <comment ref="C54" authorId="0">
      <text>
        <t>SLB_consensus.json | summary_row.eps_normalized_std_dev | 0.03</t>
      </text>
    </comment>
    <comment ref="C55" authorId="0">
      <text>
        <t>SLB_consensus.json | summary_row.eps_normalized_n_est | 24</t>
      </text>
    </comment>
    <comment ref="C59" authorId="0">
      <text>
        <t>SLB_consensus.json | summary_row.eps_gaap_mean | 0.61</t>
      </text>
    </comment>
    <comment ref="C60" authorId="0">
      <text>
        <t>SLB_consensus.json | summary_row.eps_gaap_median | 0.62</t>
      </text>
    </comment>
    <comment ref="C61" authorId="0">
      <text>
        <t>SLB_consensus.json | summary_row.eps_gaap_high | 0.63</t>
      </text>
    </comment>
    <comment ref="C62" authorId="0">
      <text>
        <t>SLB_consensus.json | summary_row.eps_gaap_low | 0.55</t>
      </text>
    </comment>
    <comment ref="C63" authorId="0">
      <text>
        <t>SLB_consensus.json | summary_row.eps_gaap_std_dev | 0.03</t>
      </text>
    </comment>
    <comment ref="C64" authorId="0">
      <text>
        <t>SLB_consensus.json | summary_row.eps_gaap_n_est | 13</t>
      </text>
    </comment>
    <comment ref="C68" authorId="0">
      <text>
        <t>SLB_consensus.json | summary_row.revenue_mean | 9266.41</t>
      </text>
    </comment>
    <comment ref="C69" authorId="0">
      <text>
        <t>SLB_consensus.json | summary_row.revenue_median | 9286.0</t>
      </text>
    </comment>
    <comment ref="C70" authorId="0">
      <text>
        <t>SLB_consensus.json | summary_row.revenue_high | 9309.0</t>
      </text>
    </comment>
    <comment ref="C71" authorId="0">
      <text>
        <t>SLB_consensus.json | summary_row.revenue_low | 8943.3</t>
      </text>
    </comment>
    <comment ref="C72" authorId="0">
      <text>
        <t>SLB_consensus.json | summary_row.revenue_std_dev | 74.45</t>
      </text>
    </comment>
    <comment ref="C73" authorId="0">
      <text>
        <t>SLB_consensus.json | summary_row.revenue_n_est | 21</t>
      </text>
    </comment>
    <comment ref="C75" authorId="0">
      <text>
        <t>SLB_consensus.json | summary_row.revenue_guidance_low | 9241.16</t>
      </text>
    </comment>
    <comment ref="C76" authorId="0">
      <text>
        <t>SLB_consensus.json | summary_row.revenue_guidance_high | 9330.88</t>
      </text>
    </comment>
    <comment ref="C77" authorId="0">
      <text>
        <t>SLB_consensus.json | summary_row.ebitda | 2018.56</t>
      </text>
    </comment>
    <comment ref="C78" authorId="0">
      <text>
        <t>SLB_consensus.json | summary_row.ebit | 1299.85</t>
      </text>
    </comment>
    <comment ref="C79" authorId="0">
      <text>
        <t>SLB_consensus.json | summary_row.ebt_excl_excep | 1214.58</t>
      </text>
    </comment>
    <comment ref="C80" authorId="0">
      <text>
        <t>SLB_consensus.json | summary_row.ebt_gaap | 1173.43</t>
      </text>
    </comment>
    <comment ref="C81" authorId="0">
      <text>
        <t>SLB_consensus.json | summary_row.net_income_excl_excep | 934.02</t>
      </text>
    </comment>
    <comment ref="C82" authorId="0">
      <text>
        <t>SLB_consensus.json | summary_row.net_income_gaap | 899.12</t>
      </text>
    </comment>
    <comment ref="C89" authorId="0">
      <text>
        <t>SLB_consensus.json | summary_row.interest_expense | -130.16</t>
      </text>
    </comment>
    <comment ref="C90" authorId="0">
      <text>
        <t>SLB_consensus.json | summary_row.net_debt | 8897.33</t>
      </text>
    </comment>
    <comment ref="C93" authorId="0">
      <text>
        <t>SLB_consensus.json | summary_row.target_price_mean | 62.38</t>
      </text>
    </comment>
    <comment ref="C94" authorId="0">
      <text>
        <t>SLB_consensus.json | summary_row.target_price_median | 63.0</t>
      </text>
    </comment>
    <comment ref="C95" authorId="0">
      <text>
        <t>SLB_consensus.json | summary_row.target_price_high | 75.0</t>
      </text>
    </comment>
    <comment ref="C96" authorId="0">
      <text>
        <t>SLB_consensus.json | summary_row.target_price_low | 43.0</t>
      </text>
    </comment>
    <comment ref="C97" authorId="0">
      <text>
        <t>SLB_consensus.json | summary_row.target_price_std_dev | 6.35</t>
      </text>
    </comment>
    <comment ref="C98" authorId="0">
      <text>
        <t>SLB_consensus.json | summary_row.target_price_n_est | 29</t>
      </text>
    </comment>
    <comment ref="C100" authorId="0">
      <text>
        <t>SLB_consensus.json | summary_row.recommendation_score | 1.60</t>
      </text>
    </comment>
    <comment ref="C101" authorId="0">
      <text>
        <t>SLB_consensus.json | summary_row.last_close_price | 49.5</t>
      </text>
    </comment>
    <comment ref="D108" authorId="0">
      <text>
        <t>SLB_history.csv | row 1 eps_normalized_consensus | 0.73</t>
      </text>
    </comment>
    <comment ref="E108" authorId="0">
      <text>
        <t>SLB_history.csv | row 1 eps_normalized_actual | 0.72</t>
      </text>
    </comment>
    <comment ref="F108" authorId="0">
      <text>
        <t>SLB_history.csv | row 1 eps_gaap_consensus | 0.74</t>
      </text>
    </comment>
    <comment ref="G108" authorId="0">
      <text>
        <t>SLB_history.csv | row 1 eps_gaap_actual | 0.58</t>
      </text>
    </comment>
    <comment ref="H108" authorId="0">
      <text>
        <t>SLB_history.csv | row 1 revenue_m_consensus | 8592.52</t>
      </text>
    </comment>
    <comment ref="I108" authorId="0">
      <text>
        <t>SLB_history.csv | row 1 revenue_m_actual | 8490.0</t>
      </text>
    </comment>
    <comment ref="D109" authorId="0">
      <text>
        <t>SLB_history.csv | row 2 eps_normalized_consensus | 0.73</t>
      </text>
    </comment>
    <comment ref="E109" authorId="0">
      <text>
        <t>SLB_history.csv | row 2 eps_normalized_actual | 0.74</t>
      </text>
    </comment>
    <comment ref="F109" authorId="0">
      <text>
        <t>SLB_history.csv | row 2 eps_gaap_consensus | 0.73</t>
      </text>
    </comment>
    <comment ref="G109" authorId="0">
      <text>
        <t>SLB_history.csv | row 2 eps_gaap_actual | 0.74</t>
      </text>
    </comment>
    <comment ref="H109" authorId="0">
      <text>
        <t>SLB_history.csv | row 2 revenue_m_consensus | 8495.96</t>
      </text>
    </comment>
    <comment ref="I109" authorId="0">
      <text>
        <t>SLB_history.csv | row 2 revenue_m_actual | 8546.0</t>
      </text>
    </comment>
    <comment ref="D110" authorId="0">
      <text>
        <t>SLB_history.csv | row 3 eps_normalized_consensus | 0.66</t>
      </text>
    </comment>
    <comment ref="E110" authorId="0">
      <text>
        <t>SLB_history.csv | row 3 eps_normalized_actual | 0.69</t>
      </text>
    </comment>
    <comment ref="F110" authorId="0">
      <text>
        <t>SLB_history.csv | row 3 eps_gaap_consensus | 0.66</t>
      </text>
    </comment>
    <comment ref="G110" authorId="0">
      <text>
        <t>SLB_history.csv | row 3 eps_gaap_actual | 0.5</t>
      </text>
    </comment>
    <comment ref="H110" authorId="0">
      <text>
        <t>SLB_history.csv | row 3 revenue_m_consensus | 8918.59</t>
      </text>
    </comment>
    <comment ref="I110" authorId="0">
      <text>
        <t>SLB_history.csv | row 3 revenue_m_actual | 8928.0</t>
      </text>
    </comment>
    <comment ref="D111" authorId="0">
      <text>
        <t>SLB_history.csv | row 4 eps_normalized_consensus | 0.74</t>
      </text>
    </comment>
    <comment ref="E111" authorId="0">
      <text>
        <t>SLB_history.csv | row 4 eps_normalized_actual | 0.78</t>
      </text>
    </comment>
    <comment ref="F111" authorId="0">
      <text>
        <t>SLB_history.csv | row 4 eps_gaap_consensus | 0.75</t>
      </text>
    </comment>
    <comment ref="G111" authorId="0">
      <text>
        <t>SLB_history.csv | row 4 eps_gaap_actual | 0.55</t>
      </text>
    </comment>
    <comment ref="H111" authorId="0">
      <text>
        <t>SLB_history.csv | row 4 revenue_m_consensus | 9545.83</t>
      </text>
    </comment>
    <comment ref="I111" authorId="0">
      <text>
        <t>SLB_history.csv | row 4 revenue_m_actual | 9745.0</t>
      </text>
    </comment>
    <comment ref="D112" authorId="0">
      <text>
        <t>SLB_history.csv | row 5 eps_normalized_consensus | 0.51</t>
      </text>
    </comment>
    <comment ref="E112" authorId="0">
      <text>
        <t>SLB_history.csv | row 5 eps_normalized_actual | 0.52</t>
      </text>
    </comment>
    <comment ref="F112" authorId="0">
      <text>
        <t>SLB_history.csv | row 5 eps_gaap_consensus | 0.5</t>
      </text>
    </comment>
    <comment ref="G112" authorId="0">
      <text>
        <t>SLB_history.csv | row 5 eps_gaap_actual | 0.5</t>
      </text>
    </comment>
    <comment ref="H112" authorId="0">
      <text>
        <t>SLB_history.csv | row 5 revenue_m_consensus | 8647.57</t>
      </text>
    </comment>
    <comment ref="I112" authorId="0">
      <text>
        <t>SLB_history.csv | row 5 revenue_m_actual | 8721.0</t>
      </text>
    </comment>
    <comment ref="D113" authorId="0">
      <text>
        <t>SLB_history.csv | row 6 eps_normalized_consensus | 0.52</t>
      </text>
    </comment>
    <comment ref="E113" authorId="0">
      <text>
        <t>SLB_history.csv | row 6 eps_normalized_actual | 0.55</t>
      </text>
    </comment>
    <comment ref="F113" authorId="0">
      <text>
        <t>SLB_history.csv | row 6 eps_gaap_consensus | 0.52</t>
      </text>
    </comment>
    <comment ref="G113" authorId="0">
      <text>
        <t>SLB_history.csv | row 6 eps_gaap_actual | 0.52</t>
      </text>
    </comment>
    <comment ref="H113" authorId="0">
      <text>
        <t>SLB_history.csv | row 6 revenue_m_consensus | 8684.74</t>
      </text>
    </comment>
    <comment ref="I113" authorId="0">
      <text>
        <t>SLB_history.csv | row 6 revenue_m_actual | 8972.0</t>
      </text>
    </comment>
    <comment ref="C122" authorId="0">
      <text>
        <t>SLB 2Q26 Form 10-Q cash flow statement, 6 Months Ended Jun. 30, 2025 (S8) | Net income (incl. noncontrolling interests) | 1,877</t>
      </text>
    </comment>
    <comment ref="D122" authorId="0">
      <text>
        <t>SLB 3Q25 Form 10-Q cash flow statement, 9 Months Ended Sep. 30, 2025 (S10) | Net income (incl. noncontrolling interests) | 2,651</t>
      </text>
    </comment>
    <comment ref="E122" authorId="0">
      <text>
        <t>SLB FY25 Form 10-K cash flow statement, 12 Months Ended Dec. 31, 2025 (S11) | Net income (incl. noncontrolling interests) | 3,451</t>
      </text>
    </comment>
    <comment ref="F122" authorId="0">
      <text>
        <t>SLB 1Q26 Form 10-Q cash flow statement, 3 Months Ended Mar. 31, 2026 (S9) | Net income (incl. noncontrolling interests) | 761</t>
      </text>
    </comment>
    <comment ref="G122" authorId="0">
      <text>
        <t>SLB 2Q26 Form 10-Q cash flow statement, 6 Months Ended Jun. 30, 2026 (S8) | Net income (incl. noncontrolling interests) | 1,576</t>
      </text>
    </comment>
    <comment ref="H122" authorId="0">
      <text>
        <t>SLB 2Q25 Form 10-Q cash flow statement, 6 Months Ended Jun. 30, 2024 (S34) | Net income (incl. noncontrolling interests) | 2,243</t>
      </text>
    </comment>
    <comment ref="I122" authorId="0">
      <text>
        <t>SLB 3Q25 Form 10-Q cash flow statement, 9 Months Ended Sep. 30, 2024 (S10) | Net income (incl. noncontrolling interests) | 3,461</t>
      </text>
    </comment>
    <comment ref="J122" authorId="0">
      <text>
        <t>SLB FY25 Form 10-K cash flow statement, 12 Months Ended Dec. 31, 2024 (S11) | Net income (incl. noncontrolling interests) | 4,579</t>
      </text>
    </comment>
    <comment ref="K122" authorId="0">
      <text>
        <t>SLB 1Q26 Form 10-Q cash flow statement, 3 Months Ended Mar. 31, 2025 (S9) | Net income (incl. noncontrolling interests) | 829</t>
      </text>
    </comment>
    <comment ref="C123" authorId="0">
      <text>
        <t>SLB 2Q26 Form 10-Q cash flow statement, 6 Months Ended Jun. 30, 2025 (S8) | Depreciation &amp; amortization | 1,273</t>
      </text>
    </comment>
    <comment ref="D123" authorId="0">
      <text>
        <t>SLB 3Q25 Form 10-Q cash flow statement, 9 Months Ended Sep. 30, 2025 (S10) | Depreciation &amp; amortization | 1,911</t>
      </text>
    </comment>
    <comment ref="E123" authorId="0">
      <text>
        <t>SLB FY25 Form 10-K cash flow statement, 12 Months Ended Dec. 31, 2025 (S11) | Depreciation &amp; amortization | 2,643</t>
      </text>
    </comment>
    <comment ref="F123" authorId="0">
      <text>
        <t>SLB 1Q26 Form 10-Q cash flow statement, 3 Months Ended Mar. 31, 2026 (S9) | Depreciation &amp; amortization | 685</t>
      </text>
    </comment>
    <comment ref="G123" authorId="0">
      <text>
        <t>SLB 2Q26 Form 10-Q cash flow statement, 6 Months Ended Jun. 30, 2026 (S8) | Depreciation &amp; amortization | 1,397</t>
      </text>
    </comment>
    <comment ref="H123" authorId="0">
      <text>
        <t>SLB 2Q25 Form 10-Q cash flow statement, 6 Months Ended Jun. 30, 2024 (S34) | Depreciation &amp; amortization | 1,231</t>
      </text>
    </comment>
    <comment ref="I123" authorId="0">
      <text>
        <t>SLB 3Q25 Form 10-Q cash flow statement, 9 Months Ended Sep. 30, 2024 (S10) | Depreciation &amp; amortization | 1,871</t>
      </text>
    </comment>
    <comment ref="J123" authorId="0">
      <text>
        <t>SLB FY25 Form 10-K cash flow statement, 12 Months Ended Dec. 31, 2024 (S11) | Depreciation &amp; amortization | 2,519</t>
      </text>
    </comment>
    <comment ref="K123" authorId="0">
      <text>
        <t>SLB 1Q26 Form 10-Q cash flow statement, 3 Months Ended Mar. 31, 2025 (S9) | Depreciation &amp; amortization | 640</t>
      </text>
    </comment>
    <comment ref="C124" authorId="0">
      <text>
        <t>SLB 2Q26 Form 10-Q cash flow statement, 6 Months Ended Jun. 30, 2025 (S8) | Impairments, inventory FV amortization and gains (non-cash) (sum of impairment, inventory FV amortization and gain lines) | (80)</t>
      </text>
    </comment>
    <comment ref="D124" authorId="0">
      <text>
        <t>SLB 3Q25 Form 10-Q cash flow statement, 9 Months Ended Sep. 30, 2025 (S10) | Impairments, inventory FV amortization and gains (non-cash) (sum of impairment, inventory FV amortization and gain lines) | (28)</t>
      </text>
    </comment>
    <comment ref="E124" authorId="0">
      <text>
        <t>SLB FY25 Form 10-K cash flow statement, 12 Months Ended Dec. 31, 2025 (S11) | Impairments, inventory FV amortization and gains (non-cash) (sum of impairment, inventory FV amortization and gain lines) | 348</t>
      </text>
    </comment>
    <comment ref="F124" authorId="0">
      <text>
        <t>SLB 1Q26 Form 10-Q cash flow statement, 3 Months Ended Mar. 31, 2026 (S9) | Impairments, inventory FV amortization and gains (non-cash) (sum of impairment, inventory FV amortization and gain lines) | 0</t>
      </text>
    </comment>
    <comment ref="G124" authorId="0">
      <text>
        <t>SLB 2Q26 Form 10-Q cash flow statement, 6 Months Ended Jun. 30, 2026 (S8) | Impairments, inventory FV amortization and gains (non-cash) (sum of impairment, inventory FV amortization and gain lines) | 0</t>
      </text>
    </comment>
    <comment ref="H124" authorId="0">
      <text>
        <t>SLB 2Q25 Form 10-Q cash flow statement, 6 Months Ended Jun. 30, 2024 (S34) | Impairments, inventory FV amortization and gains (non-cash) (sum of impairment, inventory FV amortization and gain lines) | 0</t>
      </text>
    </comment>
    <comment ref="I124" authorId="0">
      <text>
        <t>SLB 3Q25 Form 10-Q cash flow statement, 9 Months Ended Sep. 30, 2024 (S10) | Impairments, inventory FV amortization and gains (non-cash) (sum of impairment, inventory FV amortization and gain lines) | 0</t>
      </text>
    </comment>
    <comment ref="J124" authorId="0">
      <text>
        <t>SLB FY25 Form 10-K cash flow statement, 12 Months Ended Dec. 31, 2024 (S11) | Impairments, inventory FV amortization and gains (non-cash) (sum of impairment, inventory FV amortization and gain lines) | 181</t>
      </text>
    </comment>
    <comment ref="K124" authorId="0">
      <text>
        <t>SLB 1Q26 Form 10-Q cash flow statement, 3 Months Ended Mar. 31, 2025 (S9) | Impairments, inventory FV amortization and gains (non-cash) (sum of impairment, inventory FV amortization and gain lines) | 0</t>
      </text>
    </comment>
    <comment ref="C125" authorId="0">
      <text>
        <t>SLB 2Q26 Form 10-Q cash flow statement, 6 Months Ended Jun. 30, 2025 (S8) | Deferred taxes | (60)</t>
      </text>
    </comment>
    <comment ref="D125" authorId="0">
      <text>
        <t>SLB 3Q25 Form 10-Q cash flow statement, 9 Months Ended Sep. 30, 2025 (S10) | Deferred taxes | (89)</t>
      </text>
    </comment>
    <comment ref="E125" authorId="0">
      <text>
        <t>SLB FY25 Form 10-K cash flow statement, 12 Months Ended Dec. 31, 2025 (S11) | Deferred taxes | (279)</t>
      </text>
    </comment>
    <comment ref="F125" authorId="0">
      <text>
        <t>SLB 1Q26 Form 10-Q cash flow statement, 3 Months Ended Mar. 31, 2026 (S9) | Deferred taxes | 53</t>
      </text>
    </comment>
    <comment ref="G125" authorId="0">
      <text>
        <t>SLB 2Q26 Form 10-Q cash flow statement, 6 Months Ended Jun. 30, 2026 (S8) | Deferred taxes | (5)</t>
      </text>
    </comment>
    <comment ref="H125" authorId="0">
      <text>
        <t>SLB 2Q25 Form 10-Q cash flow statement, 6 Months Ended Jun. 30, 2024 (S34) | Deferred taxes | (29)</t>
      </text>
    </comment>
    <comment ref="I125" authorId="0">
      <text>
        <t>SLB 3Q25 Form 10-Q cash flow statement, 9 Months Ended Sep. 30, 2024 (S10) | Deferred taxes | 32</t>
      </text>
    </comment>
    <comment ref="J125" authorId="0">
      <text>
        <t>SLB FY25 Form 10-K cash flow statement, 12 Months Ended Dec. 31, 2024 (S11) | Deferred taxes | (41)</t>
      </text>
    </comment>
    <comment ref="K125" authorId="0">
      <text>
        <t>SLB 1Q26 Form 10-Q cash flow statement, 3 Months Ended Mar. 31, 2025 (S9) | Deferred taxes | (37)</t>
      </text>
    </comment>
    <comment ref="C126" authorId="0">
      <text>
        <t>SLB 2Q26 Form 10-Q cash flow statement, 6 Months Ended Jun. 30, 2025 (S8) | Stock-based compensation | 168</t>
      </text>
    </comment>
    <comment ref="D126" authorId="0">
      <text>
        <t>SLB 3Q25 Form 10-Q cash flow statement, 9 Months Ended Sep. 30, 2025 (S10) | Stock-based compensation | 257</t>
      </text>
    </comment>
    <comment ref="E126" authorId="0">
      <text>
        <t>SLB FY25 Form 10-K cash flow statement, 12 Months Ended Dec. 31, 2025 (S11) | Stock-based compensation | 332</t>
      </text>
    </comment>
    <comment ref="F126" authorId="0">
      <text>
        <t>SLB 1Q26 Form 10-Q cash flow statement, 3 Months Ended Mar. 31, 2026 (S9) | Stock-based compensation | 101</t>
      </text>
    </comment>
    <comment ref="G126" authorId="0">
      <text>
        <t>SLB 2Q26 Form 10-Q cash flow statement, 6 Months Ended Jun. 30, 2026 (S8) | Stock-based compensation | 179</t>
      </text>
    </comment>
    <comment ref="H126" authorId="0">
      <text>
        <t>SLB 2Q25 Form 10-Q cash flow statement, 6 Months Ended Jun. 30, 2024 (S34) | Stock-based compensation | 173</t>
      </text>
    </comment>
    <comment ref="I126" authorId="0">
      <text>
        <t>SLB 3Q25 Form 10-Q cash flow statement, 9 Months Ended Sep. 30, 2024 (S10) | Stock-based compensation | 244</t>
      </text>
    </comment>
    <comment ref="J126" authorId="0">
      <text>
        <t>SLB FY25 Form 10-K cash flow statement, 12 Months Ended Dec. 31, 2024 (S11) | Stock-based compensation | 316</t>
      </text>
    </comment>
    <comment ref="K126" authorId="0">
      <text>
        <t>SLB 1Q26 Form 10-Q cash flow statement, 3 Months Ended Mar. 31, 2025 (S9) | Stock-based compensation | 91</t>
      </text>
    </comment>
    <comment ref="C127" authorId="0">
      <text>
        <t>SLB 2Q26 Form 10-Q cash flow statement, 6 Months Ended Jun. 30, 2025 (S8) | Equity-method earnings less dividends received | (47)</t>
      </text>
    </comment>
    <comment ref="D127" authorId="0">
      <text>
        <t>SLB 3Q25 Form 10-Q cash flow statement, 9 Months Ended Sep. 30, 2025 (S10) | Equity-method earnings less dividends received | (59)</t>
      </text>
    </comment>
    <comment ref="E127" authorId="0">
      <text>
        <t>SLB FY25 Form 10-K cash flow statement, 12 Months Ended Dec. 31, 2025 (S11) | Equity-method earnings less dividends received | (59)</t>
      </text>
    </comment>
    <comment ref="F127" authorId="0">
      <text>
        <t>SLB 1Q26 Form 10-Q cash flow statement, 3 Months Ended Mar. 31, 2026 (S9) | Equity-method earnings less dividends received | 3</t>
      </text>
    </comment>
    <comment ref="G127" authorId="0">
      <text>
        <t>SLB 2Q26 Form 10-Q cash flow statement, 6 Months Ended Jun. 30, 2026 (S8) | Equity-method earnings less dividends received | (21)</t>
      </text>
    </comment>
    <comment ref="H127" authorId="0">
      <text>
        <t>SLB 2Q25 Form 10-Q cash flow statement, 6 Months Ended Jun. 30, 2024 (S34) | Equity-method earnings less dividends received | 12</t>
      </text>
    </comment>
    <comment ref="I127" authorId="0">
      <text>
        <t>SLB 3Q25 Form 10-Q cash flow statement, 9 Months Ended Sep. 30, 2024 (S10) | Equity-method earnings less dividends received | (9)</t>
      </text>
    </comment>
    <comment ref="J127" authorId="0">
      <text>
        <t>SLB FY25 Form 10-K cash flow statement, 12 Months Ended Dec. 31, 2024 (S11) | Equity-method earnings less dividends received | (18)</t>
      </text>
    </comment>
    <comment ref="K127" authorId="0">
      <text>
        <t>SLB 1Q26 Form 10-Q cash flow statement, 3 Months Ended Mar. 31, 2025 (S9) | Equity-method earnings less dividends received | (10)</t>
      </text>
    </comment>
    <comment ref="C128" authorId="0">
      <text>
        <t>SLB 2Q26 Form 10-Q cash flow statement, 6 Months Ended Jun. 30, 2025 (S8) | Change in receivables | (480)</t>
      </text>
    </comment>
    <comment ref="D128" authorId="0">
      <text>
        <t>SLB 3Q25 Form 10-Q cash flow statement, 9 Months Ended Sep. 30, 2025 (S10) | Change in receivables | (528)</t>
      </text>
    </comment>
    <comment ref="E128" authorId="0">
      <text>
        <t>SLB FY25 Form 10-K cash flow statement, 12 Months Ended Dec. 31, 2025 (S11) | Change in receivables | (75)</t>
      </text>
    </comment>
    <comment ref="F128" authorId="0">
      <text>
        <t>SLB 1Q26 Form 10-Q cash flow statement, 3 Months Ended Mar. 31, 2026 (S9) | Change in receivables | (338)</t>
      </text>
    </comment>
    <comment ref="G128" authorId="0">
      <text>
        <t>SLB 2Q26 Form 10-Q cash flow statement, 6 Months Ended Jun. 30, 2026 (S8) | Change in receivables | (307)</t>
      </text>
    </comment>
    <comment ref="H128" authorId="0">
      <text>
        <t>SLB 2Q25 Form 10-Q cash flow statement, 6 Months Ended Jun. 30, 2024 (S34) | Change in receivables | (755)</t>
      </text>
    </comment>
    <comment ref="I128" authorId="0">
      <text>
        <t>SLB 3Q25 Form 10-Q cash flow statement, 9 Months Ended Sep. 30, 2024 (S10) | Change in receivables | (396)</t>
      </text>
    </comment>
    <comment ref="J128" authorId="0">
      <text>
        <t>SLB FY25 Form 10-K cash flow statement, 12 Months Ended Dec. 31, 2024 (S11) | Change in receivables | (236)</t>
      </text>
    </comment>
    <comment ref="K128" authorId="0">
      <text>
        <t>SLB 1Q26 Form 10-Q cash flow statement, 3 Months Ended Mar. 31, 2025 (S9) | Change in receivables | (472)</t>
      </text>
    </comment>
    <comment ref="C129" authorId="0">
      <text>
        <t>SLB 2Q26 Form 10-Q cash flow statement, 6 Months Ended Jun. 30, 2025 (S8) | Change in inventories | (288)</t>
      </text>
    </comment>
    <comment ref="D129" authorId="0">
      <text>
        <t>SLB 3Q25 Form 10-Q cash flow statement, 9 Months Ended Sep. 30, 2025 (S10) | Change in inventories | (249)</t>
      </text>
    </comment>
    <comment ref="E129" authorId="0">
      <text>
        <t>SLB FY25 Form 10-K cash flow statement, 12 Months Ended Dec. 31, 2025 (S11) | Change in inventories | (72)</t>
      </text>
    </comment>
    <comment ref="F129" authorId="0">
      <text>
        <t>SLB 1Q26 Form 10-Q cash flow statement, 3 Months Ended Mar. 31, 2026 (S9) | Change in inventories | (224)</t>
      </text>
    </comment>
    <comment ref="G129" authorId="0">
      <text>
        <t>SLB 2Q26 Form 10-Q cash flow statement, 6 Months Ended Jun. 30, 2026 (S8) | Change in inventories | (362)</t>
      </text>
    </comment>
    <comment ref="H129" authorId="0">
      <text>
        <t>SLB 2Q25 Form 10-Q cash flow statement, 6 Months Ended Jun. 30, 2024 (S34) | Change in inventories | (149)</t>
      </text>
    </comment>
    <comment ref="I129" authorId="0">
      <text>
        <t>SLB 3Q25 Form 10-Q cash flow statement, 9 Months Ended Sep. 30, 2024 (S10) | Change in inventories | (243)</t>
      </text>
    </comment>
    <comment ref="J129" authorId="0">
      <text>
        <t>SLB FY25 Form 10-K cash flow statement, 12 Months Ended Dec. 31, 2024 (S11) | Change in inventories | (101)</t>
      </text>
    </comment>
    <comment ref="K129" authorId="0">
      <text>
        <t>SLB 1Q26 Form 10-Q cash flow statement, 3 Months Ended Mar. 31, 2025 (S9) | Change in inventories | (214)</t>
      </text>
    </comment>
    <comment ref="C130" authorId="0">
      <text>
        <t>SLB 2Q26 Form 10-Q cash flow statement, 6 Months Ended Jun. 30, 2025 (S8) | Change in other current assets | 86</t>
      </text>
    </comment>
    <comment ref="D130" authorId="0">
      <text>
        <t>SLB 3Q25 Form 10-Q cash flow statement, 9 Months Ended Sep. 30, 2025 (S10) | Change in other current assets | 87</t>
      </text>
    </comment>
    <comment ref="E130" authorId="0">
      <text>
        <t>SLB FY25 Form 10-K cash flow statement, 12 Months Ended Dec. 31, 2025 (S11) | Change in other current assets | 10</t>
      </text>
    </comment>
    <comment ref="F130" authorId="0">
      <text>
        <t>SLB 1Q26 Form 10-Q cash flow statement, 3 Months Ended Mar. 31, 2026 (S9) | Change in other current assets | (55)</t>
      </text>
    </comment>
    <comment ref="G130" authorId="0">
      <text>
        <t>SLB 2Q26 Form 10-Q cash flow statement, 6 Months Ended Jun. 30, 2026 (S8) | Change in other current assets | (30)</t>
      </text>
    </comment>
    <comment ref="H130" authorId="0">
      <text>
        <t>SLB 2Q25 Form 10-Q cash flow statement, 6 Months Ended Jun. 30, 2024 (S34) | Change in other current assets | 107</t>
      </text>
    </comment>
    <comment ref="I130" authorId="0">
      <text>
        <t>SLB 3Q25 Form 10-Q cash flow statement, 9 Months Ended Sep. 30, 2024 (S10) | Change in other current assets | 23</t>
      </text>
    </comment>
    <comment ref="J130" authorId="0">
      <text>
        <t>SLB FY25 Form 10-K cash flow statement, 12 Months Ended Dec. 31, 2024 (S11) | Change in other current assets | 3</t>
      </text>
    </comment>
    <comment ref="K130" authorId="0">
      <text>
        <t>SLB 1Q26 Form 10-Q cash flow statement, 3 Months Ended Mar. 31, 2025 (S9) | Change in other current assets | 80</t>
      </text>
    </comment>
    <comment ref="C131" authorId="0">
      <text>
        <t>SLB 2Q26 Form 10-Q cash flow statement, 6 Months Ended Jun. 30, 2025 (S8) | Change in other assets | (44)</t>
      </text>
    </comment>
    <comment ref="D131" authorId="0">
      <text>
        <t>SLB 3Q25 Form 10-Q cash flow statement, 9 Months Ended Sep. 30, 2025 (S10) | Change in other assets | (39)</t>
      </text>
    </comment>
    <comment ref="E131" authorId="0">
      <text>
        <t>SLB FY25 Form 10-K cash flow statement, 12 Months Ended Dec. 31, 2025 (S11) | Change in other assets | (22)</t>
      </text>
    </comment>
    <comment ref="F131" authorId="0">
      <text>
        <t>SLB 1Q26 Form 10-Q cash flow statement, 3 Months Ended Mar. 31, 2026 (S9) | Change in other assets | 3</t>
      </text>
    </comment>
    <comment ref="G131" authorId="0">
      <text>
        <t>SLB 2Q26 Form 10-Q cash flow statement, 6 Months Ended Jun. 30, 2026 (S8) | Change in other assets | 6</t>
      </text>
    </comment>
    <comment ref="H131" authorId="0">
      <text>
        <t>SLB 2Q25 Form 10-Q cash flow statement, 6 Months Ended Jun. 30, 2024 (S34) | Change in other assets | (5)</t>
      </text>
    </comment>
    <comment ref="I131" authorId="0">
      <text>
        <t>SLB 3Q25 Form 10-Q cash flow statement, 9 Months Ended Sep. 30, 2024 (S10) | Change in other assets | (3)</t>
      </text>
    </comment>
    <comment ref="J131" authorId="0">
      <text>
        <t>SLB FY25 Form 10-K cash flow statement, 12 Months Ended Dec. 31, 2024 (S11) | Change in other assets | 13</t>
      </text>
    </comment>
    <comment ref="K131" authorId="0">
      <text>
        <t>SLB 1Q26 Form 10-Q cash flow statement, 3 Months Ended Mar. 31, 2025 (S9) | Change in other assets | (11)</t>
      </text>
    </comment>
    <comment ref="C132" authorId="0">
      <text>
        <t>SLB 2Q26 Form 10-Q cash flow statement, 6 Months Ended Jun. 30, 2025 (S8) | Change in accounts payable and accrued liabilities | (557)</t>
      </text>
    </comment>
    <comment ref="D132" authorId="0">
      <text>
        <t>SLB 3Q25 Form 10-Q cash flow statement, 9 Months Ended Sep. 30, 2025 (S10) | Change in accounts payable and accrued liabilities | (381)</t>
      </text>
    </comment>
    <comment ref="E132" authorId="0">
      <text>
        <t>SLB FY25 Form 10-K cash flow statement, 12 Months Ended Dec. 31, 2025 (S11) | Change in accounts payable and accrued liabilities | 218</t>
      </text>
    </comment>
    <comment ref="F132" authorId="0">
      <text>
        <t>SLB 1Q26 Form 10-Q cash flow statement, 3 Months Ended Mar. 31, 2026 (S9) | Change in accounts payable and accrued liabilities | (383)</t>
      </text>
    </comment>
    <comment ref="G132" authorId="0">
      <text>
        <t>SLB 2Q26 Form 10-Q cash flow statement, 6 Months Ended Jun. 30, 2026 (S8) | Change in accounts payable and accrued liabilities | (406)</t>
      </text>
    </comment>
    <comment ref="H132" authorId="0">
      <text>
        <t>SLB 2Q25 Form 10-Q cash flow statement, 6 Months Ended Jun. 30, 2024 (S34) | Change in accounts payable and accrued liabilities | (942)</t>
      </text>
    </comment>
    <comment ref="I132" authorId="0">
      <text>
        <t>SLB 3Q25 Form 10-Q cash flow statement, 9 Months Ended Sep. 30, 2024 (S10) | Change in accounts payable and accrued liabilities | (732)</t>
      </text>
    </comment>
    <comment ref="J132" authorId="0">
      <text>
        <t>SLB FY25 Form 10-K cash flow statement, 12 Months Ended Dec. 31, 2024 (S11) | Change in accounts payable and accrued liabilities | (635)</t>
      </text>
    </comment>
    <comment ref="K132" authorId="0">
      <text>
        <t>SLB 1Q26 Form 10-Q cash flow statement, 3 Months Ended Mar. 31, 2025 (S9) | Change in accounts payable and accrued liabilities | (275)</t>
      </text>
    </comment>
    <comment ref="C133" authorId="0">
      <text>
        <t>SLB 2Q26 Form 10-Q cash flow statement, 6 Months Ended Jun. 30, 2025 (S8) | Change in estimated liability for taxes on income | (162)</t>
      </text>
    </comment>
    <comment ref="D133" authorId="0">
      <text>
        <t>SLB 3Q25 Form 10-Q cash flow statement, 9 Months Ended Sep. 30, 2025 (S10) | Change in estimated liability for taxes on income | (202)</t>
      </text>
    </comment>
    <comment ref="E133" authorId="0">
      <text>
        <t>SLB FY25 Form 10-K cash flow statement, 12 Months Ended Dec. 31, 2025 (S11) | Change in estimated liability for taxes on income | (141)</t>
      </text>
    </comment>
    <comment ref="F133" authorId="0">
      <text>
        <t>SLB 1Q26 Form 10-Q cash flow statement, 3 Months Ended Mar. 31, 2026 (S9) | Change in estimated liability for taxes on income | (102)</t>
      </text>
    </comment>
    <comment ref="G133" authorId="0">
      <text>
        <t>SLB 2Q26 Form 10-Q cash flow statement, 6 Months Ended Jun. 30, 2026 (S8) | Change in estimated liability for taxes on income | (239)</t>
      </text>
    </comment>
    <comment ref="H133" authorId="0">
      <text>
        <t>SLB 2Q25 Form 10-Q cash flow statement, 6 Months Ended Jun. 30, 2024 (S34) | Change in estimated liability for taxes on income | (167)</t>
      </text>
    </comment>
    <comment ref="I133" authorId="0">
      <text>
        <t>SLB 3Q25 Form 10-Q cash flow statement, 9 Months Ended Sep. 30, 2024 (S10) | Change in estimated liability for taxes on income | (147)</t>
      </text>
    </comment>
    <comment ref="J133" authorId="0">
      <text>
        <t>SLB FY25 Form 10-K cash flow statement, 12 Months Ended Dec. 31, 2024 (S11) | Change in estimated liability for taxes on income | (51)</t>
      </text>
    </comment>
    <comment ref="K133" authorId="0">
      <text>
        <t>SLB 1Q26 Form 10-Q cash flow statement, 3 Months Ended Mar. 31, 2025 (S9) | Change in estimated liability for taxes on income | (56)</t>
      </text>
    </comment>
    <comment ref="C134" authorId="0">
      <text>
        <t>SLB 2Q26 Form 10-Q cash flow statement, 6 Months Ended Jun. 30, 2025 (S8) | Change in other liabilities | 73</t>
      </text>
    </comment>
    <comment ref="D134" authorId="0">
      <text>
        <t>SLB 3Q25 Form 10-Q cash flow statement, 9 Months Ended Sep. 30, 2025 (S10) | Change in other liabilities | 40</t>
      </text>
    </comment>
    <comment ref="E134" authorId="0">
      <text>
        <t>SLB FY25 Form 10-K cash flow statement, 12 Months Ended Dec. 31, 2025 (S11) | Change in other liabilities | 38</t>
      </text>
    </comment>
    <comment ref="F134" authorId="0">
      <text>
        <t>SLB 1Q26 Form 10-Q cash flow statement, 3 Months Ended Mar. 31, 2026 (S9) | Change in other liabilities | (26)</t>
      </text>
    </comment>
    <comment ref="G134" authorId="0">
      <text>
        <t>SLB 2Q26 Form 10-Q cash flow statement, 6 Months Ended Jun. 30, 2026 (S8) | Change in other liabilities | 0</t>
      </text>
    </comment>
    <comment ref="H134" authorId="0">
      <text>
        <t>SLB 2Q25 Form 10-Q cash flow statement, 6 Months Ended Jun. 30, 2024 (S34) | Change in other liabilities | 19</t>
      </text>
    </comment>
    <comment ref="I134" authorId="0">
      <text>
        <t>SLB 3Q25 Form 10-Q cash flow statement, 9 Months Ended Sep. 30, 2024 (S10) | Change in other liabilities | 39</t>
      </text>
    </comment>
    <comment ref="J134" authorId="0">
      <text>
        <t>SLB FY25 Form 10-K cash flow statement, 12 Months Ended Dec. 31, 2024 (S11) | Change in other liabilities | 34</t>
      </text>
    </comment>
    <comment ref="K134" authorId="0">
      <text>
        <t>SLB 1Q26 Form 10-Q cash flow statement, 3 Months Ended Mar. 31, 2025 (S9) | Change in other liabilities | 27</t>
      </text>
    </comment>
    <comment ref="C135" authorId="0">
      <text>
        <t>SLB 2Q26 Form 10-Q cash flow statement, 6 Months Ended Jun. 30, 2025 (S8) | Other operating items | 43</t>
      </text>
    </comment>
    <comment ref="D135" authorId="0">
      <text>
        <t>SLB 3Q25 Form 10-Q cash flow statement, 9 Months Ended Sep. 30, 2025 (S10) | Other operating items | 113</t>
      </text>
    </comment>
    <comment ref="E135" authorId="0">
      <text>
        <t>SLB FY25 Form 10-K cash flow statement, 12 Months Ended Dec. 31, 2025 (S11) | Other operating items | 97</t>
      </text>
    </comment>
    <comment ref="F135" authorId="0">
      <text>
        <t>SLB 1Q26 Form 10-Q cash flow statement, 3 Months Ended Mar. 31, 2026 (S9) | Other operating items | 9</t>
      </text>
    </comment>
    <comment ref="G135" authorId="0">
      <text>
        <t>SLB 2Q26 Form 10-Q cash flow statement, 6 Months Ended Jun. 30, 2026 (S8) | Other operating items | 58</t>
      </text>
    </comment>
    <comment ref="H135" authorId="0">
      <text>
        <t>SLB 2Q25 Form 10-Q cash flow statement, 6 Months Ended Jun. 30, 2024 (S34) | Other operating items | 25</t>
      </text>
    </comment>
    <comment ref="I135" authorId="0">
      <text>
        <t>SLB 3Q25 Form 10-Q cash flow statement, 9 Months Ended Sep. 30, 2024 (S10) | Other operating items | 72</t>
      </text>
    </comment>
    <comment ref="J135" authorId="0">
      <text>
        <t>SLB FY25 Form 10-K cash flow statement, 12 Months Ended Dec. 31, 2024 (S11) | Other operating items | 39</t>
      </text>
    </comment>
    <comment ref="K135" authorId="0">
      <text>
        <t>SLB 1Q26 Form 10-Q cash flow statement, 3 Months Ended Mar. 31, 2025 (S9) | Other operating items | 68</t>
      </text>
    </comment>
    <comment ref="C136" authorId="0">
      <text>
        <t>SLB 2Q26 Form 10-Q cash flow statement, 6 Months Ended Jun. 30, 2025 (S8) | Capital expenditures | (769)</t>
      </text>
    </comment>
    <comment ref="D136" authorId="0">
      <text>
        <t>SLB 3Q25 Form 10-Q cash flow statement, 9 Months Ended Sep. 30, 2025 (S10) | Capital expenditures | (1,178)</t>
      </text>
    </comment>
    <comment ref="E136" authorId="0">
      <text>
        <t>SLB FY25 Form 10-K cash flow statement, 12 Months Ended Dec. 31, 2025 (S11) | Capital expenditures | (1,694)</t>
      </text>
    </comment>
    <comment ref="F136" authorId="0">
      <text>
        <t>SLB 1Q26 Form 10-Q cash flow statement, 3 Months Ended Mar. 31, 2026 (S9) | Capital expenditures | (343)</t>
      </text>
    </comment>
    <comment ref="G136" authorId="0">
      <text>
        <t>SLB 2Q26 Form 10-Q cash flow statement, 6 Months Ended Jun. 30, 2026 (S8) | Capital expenditures | (802)</t>
      </text>
    </comment>
    <comment ref="H136" authorId="0">
      <text>
        <t>SLB 2Q25 Form 10-Q cash flow statement, 6 Months Ended Jun. 30, 2024 (S34) | Capital expenditures | (862)</t>
      </text>
    </comment>
    <comment ref="I136" authorId="0">
      <text>
        <t>SLB 3Q25 Form 10-Q cash flow statement, 9 Months Ended Sep. 30, 2024 (S10) | Capital expenditures | (1,322)</t>
      </text>
    </comment>
    <comment ref="J136" authorId="0">
      <text>
        <t>SLB FY25 Form 10-K cash flow statement, 12 Months Ended Dec. 31, 2024 (S11) | Capital expenditures | (1,931)</t>
      </text>
    </comment>
    <comment ref="K136" authorId="0">
      <text>
        <t>SLB 1Q26 Form 10-Q cash flow statement, 3 Months Ended Mar. 31, 2025 (S9) | Capital expenditures | (398)</t>
      </text>
    </comment>
    <comment ref="C137" authorId="0">
      <text>
        <t>SLB 2Q26 Form 10-Q cash flow statement, 6 Months Ended Jun. 30, 2025 (S8) | APS investments | (225)</t>
      </text>
    </comment>
    <comment ref="D137" authorId="0">
      <text>
        <t>SLB 3Q25 Form 10-Q cash flow statement, 9 Months Ended Sep. 30, 2025 (S10) | APS investments | (312)</t>
      </text>
    </comment>
    <comment ref="E137" authorId="0">
      <text>
        <t>SLB FY25 Form 10-K cash flow statement, 12 Months Ended Dec. 31, 2025 (S11) | APS investments | (428)</t>
      </text>
    </comment>
    <comment ref="F137" authorId="0">
      <text>
        <t>SLB 1Q26 Form 10-Q cash flow statement, 3 Months Ended Mar. 31, 2026 (S9) | APS investments | (103)</t>
      </text>
    </comment>
    <comment ref="G137" authorId="0">
      <text>
        <t>SLB 2Q26 Form 10-Q cash flow statement, 6 Months Ended Jun. 30, 2026 (S8) | APS investments | (226)</t>
      </text>
    </comment>
    <comment ref="H137" authorId="0">
      <text>
        <t>SLB 2Q25 Form 10-Q cash flow statement, 6 Months Ended Jun. 30, 2024 (S34) | APS investments | (256)</t>
      </text>
    </comment>
    <comment ref="I137" authorId="0">
      <text>
        <t>SLB 3Q25 Form 10-Q cash flow statement, 9 Months Ended Sep. 30, 2024 (S10) | APS investments | (390)</t>
      </text>
    </comment>
    <comment ref="J137" authorId="0">
      <text>
        <t>SLB FY25 Form 10-K cash flow statement, 12 Months Ended Dec. 31, 2024 (S11) | APS investments | (483)</t>
      </text>
    </comment>
    <comment ref="K137" authorId="0">
      <text>
        <t>SLB 1Q26 Form 10-Q cash flow statement, 3 Months Ended Mar. 31, 2025 (S9) | APS investments | (108)</t>
      </text>
    </comment>
    <comment ref="C138" authorId="0">
      <text>
        <t>SLB 2Q26 Form 10-Q cash flow statement, 6 Months Ended Jun. 30, 2025 (S8) | Exploration data costs capitalized | (83)</t>
      </text>
    </comment>
    <comment ref="D138" authorId="0">
      <text>
        <t>SLB 3Q25 Form 10-Q cash flow statement, 9 Months Ended Sep. 30, 2025 (S10) | Exploration data costs capitalized | (168)</t>
      </text>
    </comment>
    <comment ref="E138" authorId="0">
      <text>
        <t>SLB FY25 Form 10-K cash flow statement, 12 Months Ended Dec. 31, 2025 (S11) | Exploration data costs capitalized | (252)</t>
      </text>
    </comment>
    <comment ref="F138" authorId="0">
      <text>
        <t>SLB 1Q26 Form 10-Q cash flow statement, 3 Months Ended Mar. 31, 2026 (S9) | Exploration data costs capitalized | (64)</t>
      </text>
    </comment>
    <comment ref="G138" authorId="0">
      <text>
        <t>SLB 2Q26 Form 10-Q cash flow statement, 6 Months Ended Jun. 30, 2026 (S8) | Exploration data costs capitalized | (125)</t>
      </text>
    </comment>
    <comment ref="H138" authorId="0">
      <text>
        <t>SLB 2Q25 Form 10-Q cash flow statement, 6 Months Ended Jun. 30, 2024 (S34) | Exploration data costs capitalized | (91)</t>
      </text>
    </comment>
    <comment ref="I138" authorId="0">
      <text>
        <t>SLB 3Q25 Form 10-Q cash flow statement, 9 Months Ended Sep. 30, 2024 (S10) | Exploration data costs capitalized | (141)</t>
      </text>
    </comment>
    <comment ref="J138" authorId="0">
      <text>
        <t>SLB FY25 Form 10-K cash flow statement, 12 Months Ended Dec. 31, 2024 (S11) | Exploration data costs capitalized | (198)</t>
      </text>
    </comment>
    <comment ref="K138" authorId="0">
      <text>
        <t>SLB 1Q26 Form 10-Q cash flow statement, 3 Months Ended Mar. 31, 2025 (S9) | Exploration data costs capitalized | (51)</t>
      </text>
    </comment>
    <comment ref="C139" authorId="0">
      <text>
        <t>SLB 2Q26 Form 10-Q cash flow statement, 6 Months Ended Jun. 30, 2025 (S8) | Business acquisitions, net of cash acquired (incl. ChampionX cash acquired) (ChampionX cash acquired + other business acquisitions) | (47)</t>
      </text>
    </comment>
    <comment ref="D139" authorId="0">
      <text>
        <t>SLB 3Q25 Form 10-Q cash flow statement, 9 Months Ended Sep. 30, 2025 (S10) | Business acquisitions, net of cash acquired (incl. ChampionX cash acquired) (ChampionX cash acquired + other business acquisitions) | 335</t>
      </text>
    </comment>
    <comment ref="E139" authorId="0">
      <text>
        <t>SLB FY25 Form 10-K cash flow statement, 12 Months Ended Dec. 31, 2025 (S11) | Business acquisitions, net of cash acquired (incl. ChampionX cash acquired) (ChampionX cash acquired + other business acquisitions) | 292</t>
      </text>
    </comment>
    <comment ref="F139" authorId="0">
      <text>
        <t>SLB 1Q26 Form 10-Q cash flow statement, 3 Months Ended Mar. 31, 2026 (S9) | Business acquisitions, net of cash acquired (incl. ChampionX cash acquired) (ChampionX cash acquired + other business acquisitions) | (57)</t>
      </text>
    </comment>
    <comment ref="G139" authorId="0">
      <text>
        <t>SLB 2Q26 Form 10-Q cash flow statement, 6 Months Ended Jun. 30, 2026 (S8) | Business acquisitions, net of cash acquired (incl. ChampionX cash acquired) (ChampionX cash acquired + other business acquisitions) | (236)</t>
      </text>
    </comment>
    <comment ref="H139" authorId="0">
      <text>
        <t>SLB 2Q25 Form 10-Q cash flow statement, 6 Months Ended Jun. 30, 2024 (S34) | Business acquisitions, net of cash acquired (incl. ChampionX cash acquired) (ChampionX cash acquired + other business acquisitions) | (505)</t>
      </text>
    </comment>
    <comment ref="I139" authorId="0">
      <text>
        <t>SLB 3Q25 Form 10-Q cash flow statement, 9 Months Ended Sep. 30, 2024 (S10) | Business acquisitions, net of cash acquired (incl. ChampionX cash acquired) (ChampionX cash acquired + other business acquisitions) | (552)</t>
      </text>
    </comment>
    <comment ref="J139" authorId="0">
      <text>
        <t>SLB FY25 Form 10-K cash flow statement, 12 Months Ended Dec. 31, 2024 (S11) | Business acquisitions, net of cash acquired (incl. ChampionX cash acquired) (ChampionX cash acquired + other business acquisitions) | (553)</t>
      </text>
    </comment>
    <comment ref="K139" authorId="0">
      <text>
        <t>SLB 1Q26 Form 10-Q cash flow statement, 3 Months Ended Mar. 31, 2025 (S9) | Business acquisitions, net of cash acquired (incl. ChampionX cash acquired) (ChampionX cash acquired + other business acquisitions) | (37)</t>
      </text>
    </comment>
    <comment ref="C140" authorId="0">
      <text>
        <t>SLB 2Q26 Form 10-Q cash flow statement, 6 Months Ended Jun. 30, 2025 (S8) | Proceeds from divestitures (APS project, ChampionX Drilling Technologies) (APS project + ChampionX Drilling Technologies proceeds) | 316</t>
      </text>
    </comment>
    <comment ref="D140" authorId="0">
      <text>
        <t>SLB 3Q25 Form 10-Q cash flow statement, 9 Months Ended Sep. 30, 2025 (S10) | Proceeds from divestitures (APS project, ChampionX Drilling Technologies) (APS project + ChampionX Drilling Technologies proceeds) | 624</t>
      </text>
    </comment>
    <comment ref="E140" authorId="0">
      <text>
        <t>SLB FY25 Form 10-K cash flow statement, 12 Months Ended Dec. 31, 2025 (S11) | Proceeds from divestitures (APS project, ChampionX Drilling Technologies) (APS project + ChampionX Drilling Technologies proceeds) | 624</t>
      </text>
    </comment>
    <comment ref="F140" authorId="0">
      <text>
        <t>SLB 1Q26 Form 10-Q cash flow statement, 3 Months Ended Mar. 31, 2026 (S9) | Proceeds from divestitures (APS project, ChampionX Drilling Technologies) (APS project + ChampionX Drilling Technologies proceeds) | 0</t>
      </text>
    </comment>
    <comment ref="G140" authorId="0">
      <text>
        <t>SLB 2Q26 Form 10-Q cash flow statement, 6 Months Ended Jun. 30, 2026 (S8) | Proceeds from divestitures (APS project, ChampionX Drilling Technologies) (APS project + ChampionX Drilling Technologies proceeds) | 0</t>
      </text>
    </comment>
    <comment ref="H140" authorId="0">
      <text>
        <t>SLB 2Q25 Form 10-Q cash flow statement, 6 Months Ended Jun. 30, 2024 (S34) | Proceeds from divestitures (APS project, ChampionX Drilling Technologies) (APS project + ChampionX Drilling Technologies proceeds) | 0</t>
      </text>
    </comment>
    <comment ref="I140" authorId="0">
      <text>
        <t>SLB 3Q25 Form 10-Q cash flow statement, 9 Months Ended Sep. 30, 2024 (S10) | Proceeds from divestitures (APS project, ChampionX Drilling Technologies) (APS project + ChampionX Drilling Technologies proceeds) | 0</t>
      </text>
    </comment>
    <comment ref="J140" authorId="0">
      <text>
        <t>SLB FY25 Form 10-K cash flow statement, 12 Months Ended Dec. 31, 2024 (S11) | Proceeds from divestitures (APS project, ChampionX Drilling Technologies) (APS project + ChampionX Drilling Technologies proceeds) | 0</t>
      </text>
    </comment>
    <comment ref="K140" authorId="0">
      <text>
        <t>SLB 1Q26 Form 10-Q cash flow statement, 3 Months Ended Mar. 31, 2025 (S9) | Proceeds from divestitures (APS project, ChampionX Drilling Technologies) (APS project + ChampionX Drilling Technologies proceeds) | 0</t>
      </text>
    </comment>
    <comment ref="C141" authorId="0">
      <text>
        <t>SLB 2Q26 Form 10-Q cash flow statement, 6 Months Ended Jun. 30, 2025 (S8) | (Purchase) sale of short-term investments, net | 632</t>
      </text>
    </comment>
    <comment ref="D141" authorId="0">
      <text>
        <t>SLB 3Q25 Form 10-Q cash flow statement, 9 Months Ended Sep. 30, 2025 (S10) | (Purchase) sale of short-term investments, net | 572</t>
      </text>
    </comment>
    <comment ref="E141" authorId="0">
      <text>
        <t>SLB FY25 Form 10-K cash flow statement, 12 Months Ended Dec. 31, 2025 (S11) | (Purchase) sale of short-term investments, net | (33)</t>
      </text>
    </comment>
    <comment ref="F141" authorId="0">
      <text>
        <t>SLB 1Q26 Form 10-Q cash flow statement, 3 Months Ended Mar. 31, 2026 (S9) | (Purchase) sale of short-term investments, net | 600</t>
      </text>
    </comment>
    <comment ref="G141" authorId="0">
      <text>
        <t>SLB 2Q26 Form 10-Q cash flow statement, 6 Months Ended Jun. 30, 2026 (S8) | (Purchase) sale of short-term investments, net | (158)</t>
      </text>
    </comment>
    <comment ref="H141" authorId="0">
      <text>
        <t>SLB 2Q25 Form 10-Q cash flow statement, 6 Months Ended Jun. 30, 2024 (S34) | (Purchase) sale of short-term investments, net | 47</t>
      </text>
    </comment>
    <comment ref="I141" authorId="0">
      <text>
        <t>SLB 3Q25 Form 10-Q cash flow statement, 9 Months Ended Sep. 30, 2024 (S10) | (Purchase) sale of short-term investments, net | (268)</t>
      </text>
    </comment>
    <comment ref="J141" authorId="0">
      <text>
        <t>SLB FY25 Form 10-K cash flow statement, 12 Months Ended Dec. 31, 2024 (S11) | (Purchase) sale of short-term investments, net | (32)</t>
      </text>
    </comment>
    <comment ref="K141" authorId="0">
      <text>
        <t>SLB 1Q26 Form 10-Q cash flow statement, 3 Months Ended Mar. 31, 2025 (S9) | (Purchase) sale of short-term investments, net | 177</t>
      </text>
    </comment>
    <comment ref="C142" authorId="0">
      <text>
        <t>SLB 2Q26 Form 10-Q cash flow statement, 6 Months Ended Jun. 30, 2025 (S8) | Blue Chip Swap securities, net (purchases + proceeds of Blue Chip Swap securities) | 0</t>
      </text>
    </comment>
    <comment ref="D142" authorId="0">
      <text>
        <t>SLB 3Q25 Form 10-Q cash flow statement, 9 Months Ended Sep. 30, 2025 (S10) | Blue Chip Swap securities, net (purchases + proceeds of Blue Chip Swap securities) | (23)</t>
      </text>
    </comment>
    <comment ref="E142" authorId="0">
      <text>
        <t>SLB FY25 Form 10-K cash flow statement, 12 Months Ended Dec. 31, 2025 (S11) | Blue Chip Swap securities, net (purchases + proceeds of Blue Chip Swap securities) | (30)</t>
      </text>
    </comment>
    <comment ref="F142" authorId="0">
      <text>
        <t>SLB 1Q26 Form 10-Q cash flow statement, 3 Months Ended Mar. 31, 2026 (S9) | Blue Chip Swap securities, net (purchases + proceeds of Blue Chip Swap securities) | 0</t>
      </text>
    </comment>
    <comment ref="G142" authorId="0">
      <text>
        <t>SLB 2Q26 Form 10-Q cash flow statement, 6 Months Ended Jun. 30, 2026 (S8) | Blue Chip Swap securities, net (purchases + proceeds of Blue Chip Swap securities) | 0</t>
      </text>
    </comment>
    <comment ref="H142" authorId="0">
      <text>
        <t>SLB 2Q25 Form 10-Q cash flow statement, 6 Months Ended Jun. 30, 2024 (S34) | Blue Chip Swap securities, net (purchases + proceeds of Blue Chip Swap securities) | (25)</t>
      </text>
    </comment>
    <comment ref="I142" authorId="0">
      <text>
        <t>SLB 3Q25 Form 10-Q cash flow statement, 9 Months Ended Sep. 30, 2024 (S10) | Blue Chip Swap securities, net (purchases + proceeds of Blue Chip Swap securities) | (44)</t>
      </text>
    </comment>
    <comment ref="J142" authorId="0">
      <text>
        <t>SLB FY25 Form 10-K cash flow statement, 12 Months Ended Dec. 31, 2024 (S11) | Blue Chip Swap securities, net (purchases + proceeds of Blue Chip Swap securities) | (55)</t>
      </text>
    </comment>
    <comment ref="K142" authorId="0">
      <text>
        <t>SLB 1Q26 Form 10-Q cash flow statement, 3 Months Ended Mar. 31, 2025 (S9) | Blue Chip Swap securities, net (purchases + proceeds of Blue Chip Swap securities) | 0</t>
      </text>
    </comment>
    <comment ref="C143" authorId="0">
      <text>
        <t>SLB 2Q26 Form 10-Q cash flow statement, 6 Months Ended Jun. 30, 2025 (S8) | Other investing | (10)</t>
      </text>
    </comment>
    <comment ref="D143" authorId="0">
      <text>
        <t>SLB 3Q25 Form 10-Q cash flow statement, 9 Months Ended Sep. 30, 2025 (S10) | Other investing | 8</t>
      </text>
    </comment>
    <comment ref="E143" authorId="0">
      <text>
        <t>SLB FY25 Form 10-K cash flow statement, 12 Months Ended Dec. 31, 2025 (S11) | Other investing | 109</t>
      </text>
    </comment>
    <comment ref="F143" authorId="0">
      <text>
        <t>SLB 1Q26 Form 10-Q cash flow statement, 3 Months Ended Mar. 31, 2026 (S9) | Other investing | 0</t>
      </text>
    </comment>
    <comment ref="G143" authorId="0">
      <text>
        <t>SLB 2Q26 Form 10-Q cash flow statement, 6 Months Ended Jun. 30, 2026 (S8) | Other investing | 25</t>
      </text>
    </comment>
    <comment ref="H143" authorId="0">
      <text>
        <t>SLB 2Q25 Form 10-Q cash flow statement, 6 Months Ended Jun. 30, 2024 (S34) | Other investing | 48</t>
      </text>
    </comment>
    <comment ref="I143" authorId="0">
      <text>
        <t>SLB 3Q25 Form 10-Q cash flow statement, 9 Months Ended Sep. 30, 2024 (S10) | Other investing | 49</t>
      </text>
    </comment>
    <comment ref="J143" authorId="0">
      <text>
        <t>SLB FY25 Form 10-K cash flow statement, 12 Months Ended Dec. 31, 2024 (S11) | Other investing | 107</t>
      </text>
    </comment>
    <comment ref="K143" authorId="0">
      <text>
        <t>SLB 1Q26 Form 10-Q cash flow statement, 3 Months Ended Mar. 31, 2025 (S9) | Other investing | (15)</t>
      </text>
    </comment>
    <comment ref="C144" authorId="0">
      <text>
        <t>SLB 2Q26 Form 10-Q cash flow statement, 6 Months Ended Jun. 30, 2025 (S8) | Dividends paid | (773)</t>
      </text>
    </comment>
    <comment ref="D144" authorId="0">
      <text>
        <t>SLB 3Q25 Form 10-Q cash flow statement, 9 Months Ended Sep. 30, 2025 (S10) | Dividends paid | (1,176)</t>
      </text>
    </comment>
    <comment ref="E144" authorId="0">
      <text>
        <t>SLB FY25 Form 10-K cash flow statement, 12 Months Ended Dec. 31, 2025 (S11) | Dividends paid | (1,602)</t>
      </text>
    </comment>
    <comment ref="F144" authorId="0">
      <text>
        <t>SLB 1Q26 Form 10-Q cash flow statement, 3 Months Ended Mar. 31, 2026 (S9) | Dividends paid | (426)</t>
      </text>
    </comment>
    <comment ref="G144" authorId="0">
      <text>
        <t>SLB 2Q26 Form 10-Q cash flow statement, 6 Months Ended Jun. 30, 2026 (S8) | Dividends paid | (866)</t>
      </text>
    </comment>
    <comment ref="H144" authorId="0">
      <text>
        <t>SLB 2Q25 Form 10-Q cash flow statement, 6 Months Ended Jun. 30, 2024 (S34) | Dividends paid | (751)</t>
      </text>
    </comment>
    <comment ref="I144" authorId="0">
      <text>
        <t>SLB 3Q25 Form 10-Q cash flow statement, 9 Months Ended Sep. 30, 2024 (S10) | Dividends paid | (1,144)</t>
      </text>
    </comment>
    <comment ref="J144" authorId="0">
      <text>
        <t>SLB FY25 Form 10-K cash flow statement, 12 Months Ended Dec. 31, 2024 (S11) | Dividends paid | (1,533)</t>
      </text>
    </comment>
    <comment ref="K144" authorId="0">
      <text>
        <t>SLB 1Q26 Form 10-Q cash flow statement, 3 Months Ended Mar. 31, 2025 (S9) | Dividends paid | (386)</t>
      </text>
    </comment>
    <comment ref="C145" authorId="0">
      <text>
        <t>SLB 2Q26 Form 10-Q cash flow statement, 6 Months Ended Jun. 30, 2025 (S8) | Stock repurchase program | (2,300)</t>
      </text>
    </comment>
    <comment ref="D145" authorId="0">
      <text>
        <t>SLB 3Q25 Form 10-Q cash flow statement, 9 Months Ended Sep. 30, 2025 (S10) | Stock repurchase program | (2,414)</t>
      </text>
    </comment>
    <comment ref="E145" authorId="0">
      <text>
        <t>SLB FY25 Form 10-K cash flow statement, 12 Months Ended Dec. 31, 2025 (S11) | Stock repurchase program | (2,414)</t>
      </text>
    </comment>
    <comment ref="F145" authorId="0">
      <text>
        <t>SLB 1Q26 Form 10-Q cash flow statement, 3 Months Ended Mar. 31, 2026 (S9) | Stock repurchase program | (451)</t>
      </text>
    </comment>
    <comment ref="G145" authorId="0">
      <text>
        <t>SLB 2Q26 Form 10-Q cash flow statement, 6 Months Ended Jun. 30, 2026 (S8) | Stock repurchase program | (1,099)</t>
      </text>
    </comment>
    <comment ref="H145" authorId="0">
      <text>
        <t>SLB 2Q25 Form 10-Q cash flow statement, 6 Months Ended Jun. 30, 2024 (S34) | Stock repurchase program | (735)</t>
      </text>
    </comment>
    <comment ref="I145" authorId="0">
      <text>
        <t>SLB 3Q25 Form 10-Q cash flow statement, 9 Months Ended Sep. 30, 2024 (S10) | Stock repurchase program | (1,236)</t>
      </text>
    </comment>
    <comment ref="J145" authorId="0">
      <text>
        <t>SLB FY25 Form 10-K cash flow statement, 12 Months Ended Dec. 31, 2024 (S11) | Stock repurchase program | (1,737)</t>
      </text>
    </comment>
    <comment ref="K145" authorId="0">
      <text>
        <t>SLB 1Q26 Form 10-Q cash flow statement, 3 Months Ended Mar. 31, 2025 (S9) | Stock repurchase program | (2,300)</t>
      </text>
    </comment>
    <comment ref="C146" authorId="0">
      <text>
        <t>SLB 2Q26 Form 10-Q cash flow statement, 6 Months Ended Jun. 30, 2025 (S8) | Proceeds from employee stock purchase plan and option exercises (ESPP proceeds + option exercise proceeds) | 113</t>
      </text>
    </comment>
    <comment ref="D146" authorId="0">
      <text>
        <t>SLB 3Q25 Form 10-Q cash flow statement, 9 Months Ended Sep. 30, 2025 (S10) | Proceeds from employee stock purchase plan and option exercises (ESPP proceeds + option exercise proceeds) | 230</t>
      </text>
    </comment>
    <comment ref="E146" authorId="0">
      <text>
        <t>SLB FY25 Form 10-K cash flow statement, 12 Months Ended Dec. 31, 2025 (S11) | Proceeds from employee stock purchase plan and option exercises (ESPP proceeds + option exercise proceeds) | 229</t>
      </text>
    </comment>
    <comment ref="F146" authorId="0">
      <text>
        <t>SLB 1Q26 Form 10-Q cash flow statement, 3 Months Ended Mar. 31, 2026 (S9) | Proceeds from employee stock purchase plan and option exercises (ESPP proceeds + option exercise proceeds) | 178</t>
      </text>
    </comment>
    <comment ref="G146" authorId="0">
      <text>
        <t>SLB 2Q26 Form 10-Q cash flow statement, 6 Months Ended Jun. 30, 2026 (S8) | Proceeds from employee stock purchase plan and option exercises (ESPP proceeds + option exercise proceeds) | 211</t>
      </text>
    </comment>
    <comment ref="H146" authorId="0">
      <text>
        <t>SLB 2Q25 Form 10-Q cash flow statement, 6 Months Ended Jun. 30, 2024 (S34) | Proceeds from employee stock purchase plan and option exercises (ESPP proceeds + option exercise proceeds) | 120</t>
      </text>
    </comment>
    <comment ref="I146" authorId="0">
      <text>
        <t>SLB 3Q25 Form 10-Q cash flow statement, 9 Months Ended Sep. 30, 2024 (S10) | Proceeds from employee stock purchase plan and option exercises (ESPP proceeds + option exercise proceeds) | 244</t>
      </text>
    </comment>
    <comment ref="J146" authorId="0">
      <text>
        <t>SLB FY25 Form 10-K cash flow statement, 12 Months Ended Dec. 31, 2024 (S11) | Proceeds from employee stock purchase plan and option exercises (ESPP proceeds + option exercise proceeds) | 248</t>
      </text>
    </comment>
    <comment ref="K146" authorId="0">
      <text>
        <t>SLB 1Q26 Form 10-Q cash flow statement, 3 Months Ended Mar. 31, 2025 (S9) | Proceeds from employee stock purchase plan and option exercises (ESPP proceeds + option exercise proceeds) | 113</t>
      </text>
    </comment>
    <comment ref="C147" authorId="0">
      <text>
        <t>SLB 2Q26 Form 10-Q cash flow statement, 6 Months Ended Jun. 30, 2025 (S8) | Taxes paid on net-settled stock-based compensation | (55)</t>
      </text>
    </comment>
    <comment ref="D147" authorId="0">
      <text>
        <t>SLB 3Q25 Form 10-Q cash flow statement, 9 Months Ended Sep. 30, 2025 (S10) | Taxes paid on net-settled stock-based compensation | (61)</t>
      </text>
    </comment>
    <comment ref="E147" authorId="0">
      <text>
        <t>SLB FY25 Form 10-K cash flow statement, 12 Months Ended Dec. 31, 2025 (S11) | Taxes paid on net-settled stock-based compensation | (61)</t>
      </text>
    </comment>
    <comment ref="F147" authorId="0">
      <text>
        <t>SLB 1Q26 Form 10-Q cash flow statement, 3 Months Ended Mar. 31, 2026 (S9) | Taxes paid on net-settled stock-based compensation | (59)</t>
      </text>
    </comment>
    <comment ref="G147" authorId="0">
      <text>
        <t>SLB 2Q26 Form 10-Q cash flow statement, 6 Months Ended Jun. 30, 2026 (S8) | Taxes paid on net-settled stock-based compensation | (63)</t>
      </text>
    </comment>
    <comment ref="H147" authorId="0">
      <text>
        <t>SLB 2Q25 Form 10-Q cash flow statement, 6 Months Ended Jun. 30, 2024 (S34) | Taxes paid on net-settled stock-based compensation | (78)</t>
      </text>
    </comment>
    <comment ref="I147" authorId="0">
      <text>
        <t>SLB 3Q25 Form 10-Q cash flow statement, 9 Months Ended Sep. 30, 2024 (S10) | Taxes paid on net-settled stock-based compensation | (86)</t>
      </text>
    </comment>
    <comment ref="J147" authorId="0">
      <text>
        <t>SLB FY25 Form 10-K cash flow statement, 12 Months Ended Dec. 31, 2024 (S11) | Taxes paid on net-settled stock-based compensation | (90)</t>
      </text>
    </comment>
    <comment ref="K147" authorId="0">
      <text>
        <t>SLB 1Q26 Form 10-Q cash flow statement, 3 Months Ended Mar. 31, 2025 (S9) | Taxes paid on net-settled stock-based compensation | (53)</t>
      </text>
    </comment>
    <comment ref="C148" authorId="0">
      <text>
        <t>SLB 2Q26 Form 10-Q cash flow statement, 6 Months Ended Jun. 30, 2025 (S8) | Long-term debt issued, net of repayments (issuance of long-term debt − repayment of long-term debt) | 1,081</t>
      </text>
    </comment>
    <comment ref="D148" authorId="0">
      <text>
        <t>SLB 3Q25 Form 10-Q cash flow statement, 9 Months Ended Sep. 30, 2025 (S10) | Long-term debt issued, net of repayments (issuance of long-term debt − repayment of long-term debt) | (452)</t>
      </text>
    </comment>
    <comment ref="E148" authorId="0">
      <text>
        <t>SLB FY25 Form 10-K cash flow statement, 12 Months Ended Dec. 31, 2025 (S11) | Long-term debt issued, net of repayments (issuance of long-term debt − repayment of long-term debt) | (1,597)</t>
      </text>
    </comment>
    <comment ref="F148" authorId="0">
      <text>
        <t>SLB 1Q26 Form 10-Q cash flow statement, 3 Months Ended Mar. 31, 2026 (S9) | Long-term debt issued, net of repayments (issuance of long-term debt − repayment of long-term debt) | 50</t>
      </text>
    </comment>
    <comment ref="G148" authorId="0">
      <text>
        <t>SLB 2Q26 Form 10-Q cash flow statement, 6 Months Ended Jun. 30, 2026 (S8) | Long-term debt issued, net of repayments (issuance of long-term debt − repayment of long-term debt) | 1,256</t>
      </text>
    </comment>
    <comment ref="H148" authorId="0">
      <text>
        <t>SLB 2Q25 Form 10-Q cash flow statement, 6 Months Ended Jun. 30, 2024 (S34) | Long-term debt issued, net of repayments (issuance of long-term debt − repayment of long-term debt) | 1,423</t>
      </text>
    </comment>
    <comment ref="I148" authorId="0">
      <text>
        <t>SLB 3Q25 Form 10-Q cash flow statement, 9 Months Ended Sep. 30, 2024 (S10) | Long-term debt issued, net of repayments (issuance of long-term debt − repayment of long-term debt) | 1,059</t>
      </text>
    </comment>
    <comment ref="J148" authorId="0">
      <text>
        <t>SLB FY25 Form 10-K cash flow statement, 12 Months Ended Dec. 31, 2024 (S11) | Long-term debt issued, net of repayments (issuance of long-term debt − repayment of long-term debt) | 520</t>
      </text>
    </comment>
    <comment ref="K148" authorId="0">
      <text>
        <t>SLB 1Q26 Form 10-Q cash flow statement, 3 Months Ended Mar. 31, 2025 (S9) | Long-term debt issued, net of repayments (issuance of long-term debt − repayment of long-term debt) | 1,805</t>
      </text>
    </comment>
    <comment ref="C149" authorId="0">
      <text>
        <t>SLB 2Q26 Form 10-Q cash flow statement, 6 Months Ended Jun. 30, 2025 (S8) | Net change in short-term borrowings | (28)</t>
      </text>
    </comment>
    <comment ref="D149" authorId="0">
      <text>
        <t>SLB 3Q25 Form 10-Q cash flow statement, 9 Months Ended Sep. 30, 2025 (S10) | Net change in short-term borrowings | 17</t>
      </text>
    </comment>
    <comment ref="E149" authorId="0">
      <text>
        <t>SLB FY25 Form 10-K cash flow statement, 12 Months Ended Dec. 31, 2025 (S11) | Net change in short-term borrowings | (19)</t>
      </text>
    </comment>
    <comment ref="F149" authorId="0">
      <text>
        <t>SLB 1Q26 Form 10-Q cash flow statement, 3 Months Ended Mar. 31, 2026 (S9) | Net change in short-term borrowings | (3)</t>
      </text>
    </comment>
    <comment ref="G149" authorId="0">
      <text>
        <t>SLB 2Q26 Form 10-Q cash flow statement, 6 Months Ended Jun. 30, 2026 (S8) | Net change in short-term borrowings | 10</t>
      </text>
    </comment>
    <comment ref="H149" authorId="0">
      <text>
        <t>SLB 2Q25 Form 10-Q cash flow statement, 6 Months Ended Jun. 30, 2024 (S34) | Net change in short-term borrowings | (19)</t>
      </text>
    </comment>
    <comment ref="I149" authorId="0">
      <text>
        <t>SLB 3Q25 Form 10-Q cash flow statement, 9 Months Ended Sep. 30, 2024 (S10) | Net change in short-term borrowings | (142)</t>
      </text>
    </comment>
    <comment ref="J149" authorId="0">
      <text>
        <t>SLB FY25 Form 10-K cash flow statement, 12 Months Ended Dec. 31, 2024 (S11) | Net change in short-term borrowings | (115)</t>
      </text>
    </comment>
    <comment ref="K149" authorId="0">
      <text>
        <t>SLB 1Q26 Form 10-Q cash flow statement, 3 Months Ended Mar. 31, 2025 (S9) | Net change in short-term borrowings | (27)</t>
      </text>
    </comment>
    <comment ref="C150" authorId="0">
      <text>
        <t>SLB 2Q26 Form 10-Q cash flow statement, 6 Months Ended Jun. 30, 2025 (S8) | Other financing | (27)</t>
      </text>
    </comment>
    <comment ref="D150" authorId="0">
      <text>
        <t>SLB 3Q25 Form 10-Q cash flow statement, 9 Months Ended Sep. 30, 2025 (S10) | Other financing | (65)</t>
      </text>
    </comment>
    <comment ref="E150" authorId="0">
      <text>
        <t>SLB FY25 Form 10-K cash flow statement, 12 Months Ended Dec. 31, 2025 (S11) | Other financing | (178)</t>
      </text>
    </comment>
    <comment ref="F150" authorId="0">
      <text>
        <t>SLB 1Q26 Form 10-Q cash flow statement, 3 Months Ended Mar. 31, 2026 (S9) | Other financing | (23)</t>
      </text>
    </comment>
    <comment ref="G150" authorId="0">
      <text>
        <t>SLB 2Q26 Form 10-Q cash flow statement, 6 Months Ended Jun. 30, 2026 (S8) | Other financing | (55)</t>
      </text>
    </comment>
    <comment ref="H150" authorId="0">
      <text>
        <t>SLB 2Q25 Form 10-Q cash flow statement, 6 Months Ended Jun. 30, 2024 (S34) | Other financing | (6)</t>
      </text>
    </comment>
    <comment ref="I150" authorId="0">
      <text>
        <t>SLB 3Q25 Form 10-Q cash flow statement, 9 Months Ended Sep. 30, 2024 (S10) | Other financing | (36)</t>
      </text>
    </comment>
    <comment ref="J150" authorId="0">
      <text>
        <t>SLB FY25 Form 10-K cash flow statement, 12 Months Ended Dec. 31, 2024 (S11) | Other financing | (65)</t>
      </text>
    </comment>
    <comment ref="K150" authorId="0">
      <text>
        <t>SLB 1Q26 Form 10-Q cash flow statement, 3 Months Ended Mar. 31, 2025 (S9) | Other financing | (30)</t>
      </text>
    </comment>
    <comment ref="C151" authorId="0">
      <text>
        <t>SLB 2Q26 Form 10-Q cash flow statement, 6 Months Ended Jun. 30, 2025 (S8) | Translation effect on cash | 65</t>
      </text>
    </comment>
    <comment ref="D151" authorId="0">
      <text>
        <t>SLB 3Q25 Form 10-Q cash flow statement, 9 Months Ended Sep. 30, 2025 (S10) | Translation effect on cash | 49</t>
      </text>
    </comment>
    <comment ref="E151" authorId="0">
      <text>
        <t>SLB FY25 Form 10-K cash flow statement, 12 Months Ended Dec. 31, 2025 (S11) | Translation effect on cash | 57</t>
      </text>
    </comment>
    <comment ref="F151" authorId="0">
      <text>
        <t>SLB 1Q26 Form 10-Q cash flow statement, 3 Months Ended Mar. 31, 2026 (S9) | Translation effect on cash | (3)</t>
      </text>
    </comment>
    <comment ref="G151" authorId="0">
      <text>
        <t>SLB 2Q26 Form 10-Q cash flow statement, 6 Months Ended Jun. 30, 2026 (S8) | Translation effect on cash | (11)</t>
      </text>
    </comment>
    <comment ref="H151" authorId="0">
      <text>
        <t>SLB 2Q25 Form 10-Q cash flow statement, 6 Months Ended Jun. 30, 2024 (S34) | Translation effect on cash | (20)</t>
      </text>
    </comment>
    <comment ref="I151" authorId="0">
      <text>
        <t>SLB 3Q25 Form 10-Q cash flow statement, 9 Months Ended Sep. 30, 2024 (S10) | Translation effect on cash | (17)</t>
      </text>
    </comment>
    <comment ref="J151" authorId="0">
      <text>
        <t>SLB FY25 Form 10-K cash flow statement, 12 Months Ended Dec. 31, 2024 (S11) | Translation effect on cash | (41)</t>
      </text>
    </comment>
    <comment ref="K151" authorId="0">
      <text>
        <t>SLB 1Q26 Form 10-Q cash flow statement, 3 Months Ended Mar. 31, 2025 (S9) | Translation effect on cash | 42</t>
      </text>
    </comment>
    <comment ref="C152" authorId="0">
      <text>
        <t>SLB 2Q26 Form 10-Q cash flow statement, 6 Months Ended Jun. 30, 2025 (S8) | Net cash provided by operating activities (reported) | 1,802</t>
      </text>
    </comment>
    <comment ref="D152" authorId="0">
      <text>
        <t>SLB 3Q25 Form 10-Q cash flow statement, 9 Months Ended Sep. 30, 2025 (S10) | Net cash provided by operating activities (reported) | 3,484</t>
      </text>
    </comment>
    <comment ref="E152" authorId="0">
      <text>
        <t>SLB FY25 Form 10-K cash flow statement, 12 Months Ended Dec. 31, 2025 (S11) | Net cash provided by operating activities (reported) | 6,489</t>
      </text>
    </comment>
    <comment ref="F152" authorId="0">
      <text>
        <t>SLB 1Q26 Form 10-Q cash flow statement, 3 Months Ended Mar. 31, 2026 (S9) | Net cash provided by operating activities (reported) | 487</t>
      </text>
    </comment>
    <comment ref="G152" authorId="0">
      <text>
        <t>SLB 2Q26 Form 10-Q cash flow statement, 6 Months Ended Jun. 30, 2026 (S8) | Net cash provided by operating activities (reported) | 1,846</t>
      </text>
    </comment>
    <comment ref="H152" authorId="0">
      <text>
        <t>SLB 2Q25 Form 10-Q cash flow statement, 6 Months Ended Jun. 30, 2024 (S34) | Net cash provided by operating activities (reported) | 1,763</t>
      </text>
    </comment>
    <comment ref="I152" authorId="0">
      <text>
        <t>SLB 3Q25 Form 10-Q cash flow statement, 9 Months Ended Sep. 30, 2024 (S10) | Net cash provided by operating activities (reported) | 4,212</t>
      </text>
    </comment>
    <comment ref="J152" authorId="0">
      <text>
        <t>SLB FY25 Form 10-K cash flow statement, 12 Months Ended Dec. 31, 2024 (S11) | Net cash provided by operating activities (reported) | 6,602</t>
      </text>
    </comment>
    <comment ref="K152" authorId="0">
      <text>
        <t>SLB 1Q26 Form 10-Q cash flow statement, 3 Months Ended Mar. 31, 2025 (S9) | Net cash provided by operating activities (reported) | 660</t>
      </text>
    </comment>
    <comment ref="C153" authorId="0">
      <text>
        <t>SLB 2Q26 Form 10-Q cash flow statement, 6 Months Ended Jun. 30, 2025 (S8) | Net cash used in / provided by investing activities (reported) | (186)</t>
      </text>
    </comment>
    <comment ref="D153" authorId="0">
      <text>
        <t>SLB 3Q25 Form 10-Q cash flow statement, 9 Months Ended Sep. 30, 2025 (S10) | Net cash used in / provided by investing activities (reported) | (142)</t>
      </text>
    </comment>
    <comment ref="E153" authorId="0">
      <text>
        <t>SLB FY25 Form 10-K cash flow statement, 12 Months Ended Dec. 31, 2025 (S11) | Net cash used in / provided by investing activities (reported) | (1,412)</t>
      </text>
    </comment>
    <comment ref="F153" authorId="0">
      <text>
        <t>SLB 1Q26 Form 10-Q cash flow statement, 3 Months Ended Mar. 31, 2026 (S9) | Net cash used in / provided by investing activities (reported) | 33</t>
      </text>
    </comment>
    <comment ref="G153" authorId="0">
      <text>
        <t>SLB 2Q26 Form 10-Q cash flow statement, 6 Months Ended Jun. 30, 2026 (S8) | Net cash used in / provided by investing activities (reported) | (1,522)</t>
      </text>
    </comment>
    <comment ref="H153" authorId="0">
      <text>
        <t>SLB 2Q25 Form 10-Q cash flow statement, 6 Months Ended Jun. 30, 2024 (S34) | Net cash used in / provided by investing activities (reported) | (1,644)</t>
      </text>
    </comment>
    <comment ref="I153" authorId="0">
      <text>
        <t>SLB 3Q25 Form 10-Q cash flow statement, 9 Months Ended Sep. 30, 2024 (S10) | Net cash used in / provided by investing activities (reported) | (2,668)</t>
      </text>
    </comment>
    <comment ref="J153" authorId="0">
      <text>
        <t>SLB FY25 Form 10-K cash flow statement, 12 Months Ended Dec. 31, 2024 (S11) | Net cash used in / provided by investing activities (reported) | (3,145)</t>
      </text>
    </comment>
    <comment ref="K153" authorId="0">
      <text>
        <t>SLB 1Q26 Form 10-Q cash flow statement, 3 Months Ended Mar. 31, 2025 (S9) | Net cash used in / provided by investing activities (reported) | (432)</t>
      </text>
    </comment>
    <comment ref="C154" authorId="0">
      <text>
        <t>SLB 2Q26 Form 10-Q cash flow statement, 6 Months Ended Jun. 30, 2025 (S8) | Net cash used in financing activities (reported) | (1,989)</t>
      </text>
    </comment>
    <comment ref="D154" authorId="0">
      <text>
        <t>SLB 3Q25 Form 10-Q cash flow statement, 9 Months Ended Sep. 30, 2025 (S10) | Net cash used in financing activities (reported) | (3,921)</t>
      </text>
    </comment>
    <comment ref="E154" authorId="0">
      <text>
        <t>SLB FY25 Form 10-K cash flow statement, 12 Months Ended Dec. 31, 2025 (S11) | Net cash used in financing activities (reported) | (5,642)</t>
      </text>
    </comment>
    <comment ref="F154" authorId="0">
      <text>
        <t>SLB 1Q26 Form 10-Q cash flow statement, 3 Months Ended Mar. 31, 2026 (S9) | Net cash used in financing activities (reported) | (734)</t>
      </text>
    </comment>
    <comment ref="G154" authorId="0">
      <text>
        <t>SLB 2Q26 Form 10-Q cash flow statement, 6 Months Ended Jun. 30, 2026 (S8) | Net cash used in financing activities (reported) | (606)</t>
      </text>
    </comment>
    <comment ref="H154" authorId="0">
      <text>
        <t>SLB 2Q25 Form 10-Q cash flow statement, 6 Months Ended Jun. 30, 2024 (S34) | Net cash used in financing activities (reported) | (46)</t>
      </text>
    </comment>
    <comment ref="I154" authorId="0">
      <text>
        <t>SLB 3Q25 Form 10-Q cash flow statement, 9 Months Ended Sep. 30, 2024 (S10) | Net cash used in financing activities (reported) | (1,341)</t>
      </text>
    </comment>
    <comment ref="J154" authorId="0">
      <text>
        <t>SLB FY25 Form 10-K cash flow statement, 12 Months Ended Dec. 31, 2024 (S11) | Net cash used in financing activities (reported) | (2,772)</t>
      </text>
    </comment>
    <comment ref="K154" authorId="0">
      <text>
        <t>SLB 1Q26 Form 10-Q cash flow statement, 3 Months Ended Mar. 31, 2025 (S9) | Net cash used in financing activities (reported) | (878)</t>
      </text>
    </comment>
    <comment ref="C155" authorId="0">
      <text>
        <t>SLB 2Q26 Form 10-Q cash flow statement, 6 Months Ended Jun. 30, 2025 (S8) | Cash, beginning of period (reported) | 3,544</t>
      </text>
    </comment>
    <comment ref="D155" authorId="0">
      <text>
        <t>SLB 3Q25 Form 10-Q cash flow statement, 9 Months Ended Sep. 30, 2025 (S10) | Cash, beginning of period (reported) | 3,544</t>
      </text>
    </comment>
    <comment ref="E155" authorId="0">
      <text>
        <t>SLB FY25 Form 10-K cash flow statement, 12 Months Ended Dec. 31, 2025 (S11) | Cash, beginning of period (reported) | 3,544</t>
      </text>
    </comment>
    <comment ref="F155" authorId="0">
      <text>
        <t>SLB 1Q26 Form 10-Q cash flow statement, 3 Months Ended Mar. 31, 2026 (S9) | Cash, beginning of period (reported) | 3,036</t>
      </text>
    </comment>
    <comment ref="G155" authorId="0">
      <text>
        <t>SLB 2Q26 Form 10-Q cash flow statement, 6 Months Ended Jun. 30, 2026 (S8) | Cash, beginning of period (reported) | 3,036</t>
      </text>
    </comment>
    <comment ref="H155" authorId="0">
      <text>
        <t>SLB 2Q25 Form 10-Q cash flow statement, 6 Months Ended Jun. 30, 2024 (S34) | Cash, beginning of period (reported) | 2,900</t>
      </text>
    </comment>
    <comment ref="I155" authorId="0">
      <text>
        <t>SLB 3Q25 Form 10-Q cash flow statement, 9 Months Ended Sep. 30, 2024 (S10) | Cash, beginning of period (reported) | 2,900</t>
      </text>
    </comment>
    <comment ref="J155" authorId="0">
      <text>
        <t>SLB FY25 Form 10-K cash flow statement, 12 Months Ended Dec. 31, 2024 (S11) | Cash, beginning of period (reported) | 2,900</t>
      </text>
    </comment>
    <comment ref="K155" authorId="0">
      <text>
        <t>SLB 1Q26 Form 10-Q cash flow statement, 3 Months Ended Mar. 31, 2025 (S9) | Cash, beginning of period (reported) | 3,544</t>
      </text>
    </comment>
    <comment ref="C156" authorId="0">
      <text>
        <t>SLB 2Q26 Form 10-Q cash flow statement, 6 Months Ended Jun. 30, 2025 (S8) | Cash, end of period (reported) | 3,236</t>
      </text>
    </comment>
    <comment ref="D156" authorId="0">
      <text>
        <t>SLB 3Q25 Form 10-Q cash flow statement, 9 Months Ended Sep. 30, 2025 (S10) | Cash, end of period (reported) | 3,014</t>
      </text>
    </comment>
    <comment ref="E156" authorId="0">
      <text>
        <t>SLB FY25 Form 10-K cash flow statement, 12 Months Ended Dec. 31, 2025 (S11) | Cash, end of period (reported) | 3,036</t>
      </text>
    </comment>
    <comment ref="F156" authorId="0">
      <text>
        <t>SLB 1Q26 Form 10-Q cash flow statement, 3 Months Ended Mar. 31, 2026 (S9) | Cash, end of period (reported) | 2,819</t>
      </text>
    </comment>
    <comment ref="G156" authorId="0">
      <text>
        <t>SLB 2Q26 Form 10-Q cash flow statement, 6 Months Ended Jun. 30, 2026 (S8) | Cash, end of period (reported) | 2,743</t>
      </text>
    </comment>
    <comment ref="H156" authorId="0">
      <text>
        <t>SLB 2Q25 Form 10-Q cash flow statement, 6 Months Ended Jun. 30, 2024 (S34) | Cash, end of period (reported) | 2,953</t>
      </text>
    </comment>
    <comment ref="I156" authorId="0">
      <text>
        <t>SLB 3Q25 Form 10-Q cash flow statement, 9 Months Ended Sep. 30, 2024 (S10) | Cash, end of period (reported) | 3,086</t>
      </text>
    </comment>
    <comment ref="J156" authorId="0">
      <text>
        <t>SLB FY25 Form 10-K cash flow statement, 12 Months Ended Dec. 31, 2024 (S11) | Cash, end of period (reported) | 3,544</t>
      </text>
    </comment>
    <comment ref="K156" authorId="0">
      <text>
        <t>SLB 1Q26 Form 10-Q cash flow statement, 3 Months Ended Mar. 31, 2025 (S9) | Cash, end of period (reported) | 2,936</t>
      </text>
    </comment>
  </commentList>
</comments>
</file>

<file path=xl/sharedStrings.xml><?xml version="1.0" encoding="utf-8"?>
<sst xmlns="http://schemas.openxmlformats.org/spreadsheetml/2006/main" count="3877" uniqueCount="1231">
  <si>
    <t>Company Model — built by Shortcut</t>
  </si>
  <si>
    <t>SLB N.V. (NYSE: SLB)</t>
  </si>
  <si>
    <t>Cover — SLB 3Q26E earnings model (quarter ended 30-Sep-2026)</t>
  </si>
  <si>
    <t>$ millions, except per share</t>
  </si>
  <si>
    <t>Period</t>
  </si>
  <si>
    <t>3Q25A</t>
  </si>
  <si>
    <t>4Q25A</t>
  </si>
  <si>
    <t>1Q26A</t>
  </si>
  <si>
    <t>2Q26A</t>
  </si>
  <si>
    <t>FY25A</t>
  </si>
  <si>
    <t>3Q26E</t>
  </si>
  <si>
    <t>Period end</t>
  </si>
  <si>
    <t>Days in period</t>
  </si>
  <si>
    <t>Company and forecast basis</t>
  </si>
  <si>
    <t>Company</t>
  </si>
  <si>
    <t>SLB N.V. (formerly Schlumberger; S&amp;P Capital IQ name "SLB N.V.", redomiciled)</t>
  </si>
  <si>
    <t>Ticker / exchange</t>
  </si>
  <si>
    <t>SLB — New York Stock Exchange (NYSE:SLB)</t>
  </si>
  <si>
    <t>Fiscal year end</t>
  </si>
  <si>
    <t>31 December. Target FQ3 2026 = quarter ended 30-Sep-2026 (CapIQ label "FQ3 2026 - Sep 2026"; supplied period-end 2026-09-30 confirmed by SLB)</t>
  </si>
  <si>
    <t>Currency</t>
  </si>
  <si>
    <t>USD; financial amounts in $ millions; EPS in USD per diluted ordinary share</t>
  </si>
  <si>
    <t>EPS basis</t>
  </si>
  <si>
    <t>Normalized = SLB "Diluted EPS, excluding charges &amp; credits" (CapIQ history ties exactly for 3Q25–2Q26); diluted ordinary shares, no ADR conversion</t>
  </si>
  <si>
    <t>Information cutoff</t>
  </si>
  <si>
    <t>2026-10-18 21:34:46 UTC</t>
  </si>
  <si>
    <t>Expected report date</t>
  </si>
  <si>
    <t>2026-10-23, 7:00 a.m. ET release / 9:30 a.m. ET call — confirmed by SLB on 28-Sep-2026 (S12); CapIQ supplied date 2026-10-23 (same)</t>
  </si>
  <si>
    <t>Consensus snapshot</t>
  </si>
  <si>
    <t>S&amp;P Capital IQ, captured 2026-10-18 (date precision); frozen scoring baseline</t>
  </si>
  <si>
    <t>Status</t>
  </si>
  <si>
    <t>Live forward estimate. Target-quarter actuals not released before cutoff and not used (saw_actual_results = false)</t>
  </si>
  <si>
    <t>Headline estimates — 3Q26E vs consensus vs guidance</t>
  </si>
  <si>
    <t>Metric</t>
  </si>
  <si>
    <t>Shortcut estimate</t>
  </si>
  <si>
    <t>Consensus (CapIQ)</t>
  </si>
  <si>
    <t>Variance</t>
  </si>
  <si>
    <t>Variance %</t>
  </si>
  <si>
    <t>Guidance mid / implied</t>
  </si>
  <si>
    <t>Est. − guidance</t>
  </si>
  <si>
    <t>Revenue ($m)</t>
  </si>
  <si>
    <t>Adjusted EBITDA ($m)</t>
  </si>
  <si>
    <t>Net income to SLB, excl. charges &amp; credits ($m)</t>
  </si>
  <si>
    <t>Net income to SLB, GAAP ($m)</t>
  </si>
  <si>
    <t>n/a</t>
  </si>
  <si>
    <t>Diluted EPS, excl. charges (normalized, $)</t>
  </si>
  <si>
    <t>Diluted EPS, GAAP ($)</t>
  </si>
  <si>
    <t>Check result: historical tie-outs + integration checks (some 3Q26E checks hold by construction; not independent forecast validation)</t>
  </si>
  <si>
    <t>P(beat consensus EPS)</t>
  </si>
  <si>
    <t>Confidence</t>
  </si>
  <si>
    <t>medium</t>
  </si>
  <si>
    <t>Beat-probability calibration (playbook v2: size + issuer history)</t>
  </si>
  <si>
    <t>Market capitalization ($bn, 16-Oct-2026 close)</t>
  </si>
  <si>
    <t>CapIQ export market cap is blank; researched value (S24). Cross-check: $49.50 × 1,484m shares ≈ $73.5bn.</t>
  </si>
  <si>
    <t>Large-cap threshold ($bn, playbook)</t>
  </si>
  <si>
    <t>Mid-cap lower bound ($bn, playbook)</t>
  </si>
  <si>
    <t>Small-cap lower bound ($bn, playbook)</t>
  </si>
  <si>
    <t>Size bucket</t>
  </si>
  <si>
    <t>S&amp;P 500 member</t>
  </si>
  <si>
    <t>Yes</t>
  </si>
  <si>
    <t>Equibles issuer page lists SLB as an S&amp;P 500 member (S25); long-standing constituent.</t>
  </si>
  <si>
    <t>Cohort prior — large cap or S&amp;P 500 (playbook)</t>
  </si>
  <si>
    <t>Cohort prior — mid cap (playbook)</t>
  </si>
  <si>
    <t>Cohort prior — small cap (playbook)</t>
  </si>
  <si>
    <t>Cohort prior applied (S&amp;P/large rule applied once)</t>
  </si>
  <si>
    <t>Strict normalized-EPS beats in supplied history (b)</t>
  </si>
  <si>
    <t>Valid history pairs (n)</t>
  </si>
  <si>
    <t>All six supplied pairs are on the same normalized basis; none excluded.</t>
  </si>
  <si>
    <t>Pseudo-count (fixed)</t>
  </si>
  <si>
    <t>Starting probability = (k × prior + b) / (k + n)</t>
  </si>
  <si>
    <t>Quarter-specific evidence adjustment</t>
  </si>
  <si>
    <t>Model EPS $0.618 sits only ~$0.008 above the $0.61 bar (reported EPS must round to ≥$0.62). Negatives: Saudi output −1.9 mb/d in Aug and E-W pipeline attack (S18/S19), consensus cut 2.2% in 30 days and negative Zacks ESP (S23), margin guidance historically met at/below midpoint. Positives: Iraq/Kuwait/Qatar recovery (S20/S30), Saudi offshore rigs resumed (S21), consensus sits below guidance-implied EPS ($0.63).</t>
  </si>
  <si>
    <t>Final P(beat consensus EPS)</t>
  </si>
  <si>
    <t>Model normalized EPS − consensus ($/share)</t>
  </si>
  <si>
    <t>Mean historical normalized EPS surprise, 6 qtrs ($/share)</t>
  </si>
  <si>
    <t>Analysed separately; not added to the forecast.</t>
  </si>
  <si>
    <t>Consensus detail at cutoff (frozen baseline) and newer data points (not used for scoring)</t>
  </si>
  <si>
    <t>Item</t>
  </si>
  <si>
    <t>Mean</t>
  </si>
  <si>
    <t>Median</t>
  </si>
  <si>
    <t>High</t>
  </si>
  <si>
    <t>Low</t>
  </si>
  <si>
    <t>Std dev</t>
  </si>
  <si>
    <t># estimates</t>
  </si>
  <si>
    <t>Normalized EPS ($)</t>
  </si>
  <si>
    <t>GAAP EPS ($)</t>
  </si>
  <si>
    <t>Other CapIQ means ($m)</t>
  </si>
  <si>
    <t>EBITDA</t>
  </si>
  <si>
    <t>EBIT</t>
  </si>
  <si>
    <t>EBT excl. excep.</t>
  </si>
  <si>
    <t>EBT GAAP</t>
  </si>
  <si>
    <t>NI excl. excep.</t>
  </si>
  <si>
    <t>NI GAAP</t>
  </si>
  <si>
    <t>S&amp;P Capital IQ (18-Oct-2026)</t>
  </si>
  <si>
    <t>Zacks consensus (16-Oct-2026; EPS, revenue $m)</t>
  </si>
  <si>
    <t>S23: EPS consensus revised −2.19% over 30 days; Zacks ESP −1.45% (Most Accurate Estimate below consensus). Recorded separately; frozen CapIQ $0.61 remains the scoring baseline.</t>
  </si>
  <si>
    <t>Earnings Whispers consensus (pre-cutoff page)</t>
  </si>
  <si>
    <t>S31; not used for scoring.</t>
  </si>
  <si>
    <t>Revenue summary</t>
  </si>
  <si>
    <t>Notes</t>
  </si>
  <si>
    <t>Revenue by Division (built on Segment tabs)</t>
  </si>
  <si>
    <t>Digital</t>
  </si>
  <si>
    <t xml:space="preserve">   % Y/Y</t>
  </si>
  <si>
    <t xml:space="preserve">   % Q/Q</t>
  </si>
  <si>
    <t xml:space="preserve">   % of total revenue</t>
  </si>
  <si>
    <t xml:space="preserve">   Growth ex-ChampionX, FX-inclusive</t>
  </si>
  <si>
    <t xml:space="preserve">   M&amp;A / scope impact</t>
  </si>
  <si>
    <t xml:space="preserve">   FX impact</t>
  </si>
  <si>
    <t>Not disclosed by SLB.</t>
  </si>
  <si>
    <t xml:space="preserve">   Organic growth (ex M&amp;A, ex FX)</t>
  </si>
  <si>
    <t>Unavailable (FX not disclosed); see growth ex-ChampionX.</t>
  </si>
  <si>
    <t>Reservoir Performance</t>
  </si>
  <si>
    <t>Well Construction</t>
  </si>
  <si>
    <t>Production Systems</t>
  </si>
  <si>
    <t>All Other (APS, Data Center Solutions, Capturi)</t>
  </si>
  <si>
    <t>Gross division revenue (before eliminations)</t>
  </si>
  <si>
    <t xml:space="preserve">   Eliminations % of gross division revenue (driver)</t>
  </si>
  <si>
    <t>Intercompany eliminations (incl. Digital Operations double-count). 2.7%–3.2% over the last four quarters; 3Q26E 3.15%.</t>
  </si>
  <si>
    <t>Eliminations &amp; other</t>
  </si>
  <si>
    <t xml:space="preserve">      Δ Y/Y (bp)</t>
  </si>
  <si>
    <t xml:space="preserve">      Δ Q/Q (bp)</t>
  </si>
  <si>
    <t>Not meaningful: near-zero or negative base (see Δ rows for absolute change).</t>
  </si>
  <si>
    <t xml:space="preserve">   Δ Y/Y ($m)</t>
  </si>
  <si>
    <t xml:space="preserve">   Δ Q/Q ($m)</t>
  </si>
  <si>
    <t>Not disclosed at this line level by SLB (acquisition impact disclosed only for company, Digital and Production Systems totals).</t>
  </si>
  <si>
    <t>SLB does not disclose an FX impact on revenue; shown as unavailable, not zero.</t>
  </si>
  <si>
    <t>Unavailable: requires M&amp;A and FX components that are not disclosed at this level.</t>
  </si>
  <si>
    <t>Total revenue</t>
  </si>
  <si>
    <t xml:space="preserve">   ChampionX revenue in eliminations (derived)</t>
  </si>
  <si>
    <t>Company ChampionX contribution less Digital and Production Systems amounts (intercompany). 3Q26E −$30m.</t>
  </si>
  <si>
    <t xml:space="preserve">      Δ Y/Y ($m)</t>
  </si>
  <si>
    <t xml:space="preserve">      Δ Q/Q ($m)</t>
  </si>
  <si>
    <t xml:space="preserve">   ChampionX revenue — company total</t>
  </si>
  <si>
    <t xml:space="preserve">   Growth ex-ChampionX, FX-inclusive (issuer "excluding acquisition" basis)</t>
  </si>
  <si>
    <t>(Revenue − ChampionX revenue) / (prior-year revenue − prior-year ChampionX revenue) − 1; matches SLB "excluding the impact of this acquisition" disclosures.</t>
  </si>
  <si>
    <t xml:space="preserve">   M&amp;A / scope impact (ChampionX)</t>
  </si>
  <si>
    <t>Derived so that (1+Y/Y) = (1+M&amp;A) × (1+growth ex-ChampionX).</t>
  </si>
  <si>
    <t xml:space="preserve">   Organic growth (ex M&amp;A, ex FX) = (1+Y/Y)/((1+M&amp;A)×(1+FX))−1</t>
  </si>
  <si>
    <t>Unavailable because FX is not disclosed; the ex-ChampionX row above is the closest disclosed organic measure (FX-inclusive).</t>
  </si>
  <si>
    <t>Core revenue (Reservoir Performance + Well Construction + Production Systems)</t>
  </si>
  <si>
    <t xml:space="preserve">   ChampionX revenue in Core (Production Systems)</t>
  </si>
  <si>
    <t>Tie-outs and checks</t>
  </si>
  <si>
    <t xml:space="preserve">   Total revenue as reported (quarters: S&amp;P Capital IQ history on Inputs; FY25: 4Q25 release)</t>
  </si>
  <si>
    <t>As-reported total for tie-out. FY figures can differ by ≤$2m from the sum of reported quarters (issuer rounding).</t>
  </si>
  <si>
    <t xml:space="preserve">        Build − reported</t>
  </si>
  <si>
    <t xml:space="preserve">   Revenue consensus (CapIQ frozen 18-Oct-2026)</t>
  </si>
  <si>
    <t xml:space="preserve">        Estimate − consensus</t>
  </si>
  <si>
    <t xml:space="preserve">   Check: divisions + eliminations = total revenue (and = reported)</t>
  </si>
  <si>
    <t>FY25: reported $35,708m vs sum of reported quarters $35,709m (issuer rounding, tolerance $2m).</t>
  </si>
  <si>
    <t>Revenue by geography (detail on Geo tab)</t>
  </si>
  <si>
    <t xml:space="preserve">   International</t>
  </si>
  <si>
    <t xml:space="preserve">      % of total revenue</t>
  </si>
  <si>
    <t xml:space="preserve">   North America</t>
  </si>
  <si>
    <t xml:space="preserve">   Eliminations &amp; other</t>
  </si>
  <si>
    <t>Revenue is multi-geography (International ≈74%, North America ≈25% in 2Q26); area and Middle East detail on the Geo tab.</t>
  </si>
  <si>
    <t>Memo: prior-year comparatives (as reported; feed Y/Y rows)</t>
  </si>
  <si>
    <t>Columns hold the period one year earlier: 3Q24, 4Q24, 1Q25, 2Q25, FY24; 3Q26E links to 3Q25A.</t>
  </si>
  <si>
    <t xml:space="preserve">   Digital — prior year</t>
  </si>
  <si>
    <t xml:space="preserve">   Reservoir Performance — prior year</t>
  </si>
  <si>
    <t xml:space="preserve">   Well Construction — prior year</t>
  </si>
  <si>
    <t xml:space="preserve">   Production Systems — prior year</t>
  </si>
  <si>
    <t xml:space="preserve">   All Other (APS, Data Center Solutions, Capturi) — prior year</t>
  </si>
  <si>
    <t xml:space="preserve">   Gross division revenue — prior year</t>
  </si>
  <si>
    <t xml:space="preserve">   Eliminations &amp; other — prior year</t>
  </si>
  <si>
    <t xml:space="preserve">   Eliminations % of gross — prior year</t>
  </si>
  <si>
    <t xml:space="preserve">   Total revenue — prior year</t>
  </si>
  <si>
    <t xml:space="preserve">   ChampionX in eliminations — prior year</t>
  </si>
  <si>
    <t xml:space="preserve">   ChampionX revenue — company total — prior year</t>
  </si>
  <si>
    <t xml:space="preserve">   Core revenue — prior year</t>
  </si>
  <si>
    <t xml:space="preserve">   ChampionX in Core — prior year</t>
  </si>
  <si>
    <t>Segment - Digital — revenue and profit build</t>
  </si>
  <si>
    <t>Revenue build by solution (primary driver build)</t>
  </si>
  <si>
    <t xml:space="preserve">   Opening revenue (prior quarter)</t>
  </si>
  <si>
    <t>Prior-quarter revenue; 3Q25A opens from 2Q25A (prior-year memo, column F).</t>
  </si>
  <si>
    <t xml:space="preserve">   Platforms &amp; Applications</t>
  </si>
  <si>
    <t xml:space="preserve">        Sequential growth (driver)</t>
  </si>
  <si>
    <t>SaaS growth offset by lumpy perpetual licences; ARR +1.9% q/q in 2Q26 → modest +1.5%.</t>
  </si>
  <si>
    <t xml:space="preserve">      % Y/Y</t>
  </si>
  <si>
    <t xml:space="preserve">      M&amp;A / scope impact</t>
  </si>
  <si>
    <t xml:space="preserve">      FX impact</t>
  </si>
  <si>
    <t xml:space="preserve">      Organic growth (ex M&amp;A, ex FX)</t>
  </si>
  <si>
    <t xml:space="preserve">   Digital Operations</t>
  </si>
  <si>
    <t>Fastest-growing recurring line (+57% y/y in 2Q26); ME remobilisation supports activity-linked revenue.</t>
  </si>
  <si>
    <t xml:space="preserve">   Digital Exploration</t>
  </si>
  <si>
    <t>Lumpy licence/transfer-fee sales; Pelotas Sul multiclient survey completing early 3Q26 (S6) — modest growth only.</t>
  </si>
  <si>
    <t xml:space="preserve">   Professional Services</t>
  </si>
  <si>
    <t>Project-based; tracks overall Digital demand.</t>
  </si>
  <si>
    <t>Total Digital revenue</t>
  </si>
  <si>
    <t xml:space="preserve">   ChampionX revenue in Digital</t>
  </si>
  <si>
    <t>3Q26E: held near 2Q26 run-rate ($34m).</t>
  </si>
  <si>
    <t xml:space="preserve">   Δ Platforms &amp; Applications (sequential bridge)</t>
  </si>
  <si>
    <t xml:space="preserve">   Δ Digital Operations (sequential bridge)</t>
  </si>
  <si>
    <t xml:space="preserve">   Δ Digital Exploration (sequential bridge)</t>
  </si>
  <si>
    <t xml:space="preserve">   Δ Professional Services (sequential bridge)</t>
  </si>
  <si>
    <t xml:space="preserve">   Closing revenue (opening + bridge)</t>
  </si>
  <si>
    <t xml:space="preserve">   Check: bridge closes to revenue</t>
  </si>
  <si>
    <t xml:space="preserve">   Digital revenue as reported (memo)</t>
  </si>
  <si>
    <t xml:space="preserve">   % of SLB revenue</t>
  </si>
  <si>
    <t xml:space="preserve">   Platforms &amp; Applications % of Digital revenue</t>
  </si>
  <si>
    <t xml:space="preserve">   Digital Operations % of Digital revenue</t>
  </si>
  <si>
    <t xml:space="preserve">   Digital Exploration % of Digital revenue</t>
  </si>
  <si>
    <t xml:space="preserve">   Professional Services % of Digital revenue</t>
  </si>
  <si>
    <t>Revenue by geography (as reported; 3Q26E International is the residual of the solution build)</t>
  </si>
  <si>
    <t>Gulf of America exploration sales were soft in 2Q26; modest recovery.</t>
  </si>
  <si>
    <t>n/a where the prior-year value (typically 3Q24/4Q24 or FY24 sub-line) is not disclosed in the window filings; not set to zero.</t>
  </si>
  <si>
    <t xml:space="preserve">   Other</t>
  </si>
  <si>
    <t>3Q26E = total Digital (solution build) less North America and Other.</t>
  </si>
  <si>
    <t xml:space="preserve">   Check: geography sums to solution build</t>
  </si>
  <si>
    <t>Annualized recurring revenue (ARR) ladder</t>
  </si>
  <si>
    <t>ARR ladder: opening, net additions, closing, average. SLB does not disclose gross additions or churn separately (rows marked n/a).</t>
  </si>
  <si>
    <t xml:space="preserve">   ARR — opening balance</t>
  </si>
  <si>
    <t>3Q25 opening = ARR at 30-Jun-2025 (prior-year memo).</t>
  </si>
  <si>
    <t xml:space="preserve">   Net ARR additions (new + expansion − churn; components not disclosed)</t>
  </si>
  <si>
    <t>ARR — closing balance</t>
  </si>
  <si>
    <t>3Q26E: +$20m q/q, in line with the last two quarters (+$20m each).</t>
  </si>
  <si>
    <t xml:space="preserve">   ARR — average for the period</t>
  </si>
  <si>
    <t xml:space="preserve">   Net ARR growth rate (q/q)</t>
  </si>
  <si>
    <t xml:space="preserve">   Gross churn / gross additions</t>
  </si>
  <si>
    <t>Not disclosed by SLB (company states "best-in-class retention rates and limited churn").</t>
  </si>
  <si>
    <t xml:space="preserve">   Quarterly ARR run-rate / (P&amp;A + Digital Operations revenue)</t>
  </si>
  <si>
    <t>Profitability (pretax segment operating income and adjusted EBITDA)</t>
  </si>
  <si>
    <t>Pretax segment operating income</t>
  </si>
  <si>
    <t xml:space="preserve">   Pretax operating margin (driver)</t>
  </si>
  <si>
    <t>Q3 is seasonally between 1Q (21%) and 4Q (34%); 3Q25 was 28.4% and 2Q26 27.8% on strong exploration licences. 26.0% assumes less licence mix.</t>
  </si>
  <si>
    <t xml:space="preserve">   Incremental margin Q/Q (ΔOI / Δrevenue)</t>
  </si>
  <si>
    <t>Depreciation &amp; amortization</t>
  </si>
  <si>
    <t>Includes amortization of exploration data costs; 3Q26E near 2Q26 ($48m).</t>
  </si>
  <si>
    <t xml:space="preserve">   D&amp;A % of revenue</t>
  </si>
  <si>
    <t>Net interest expense (income) inside segment</t>
  </si>
  <si>
    <t>Segment-level net interest; adjusted EBITDA = pretax segment OI + D&amp;A + net interest expense (income).</t>
  </si>
  <si>
    <t>Adjusted EBITDA</t>
  </si>
  <si>
    <t xml:space="preserve">   Adjusted EBITDA margin</t>
  </si>
  <si>
    <t xml:space="preserve">   Adjusted EBITDA as reported (memo)</t>
  </si>
  <si>
    <t xml:space="preserve">   Platforms &amp; Applications — prior year</t>
  </si>
  <si>
    <t xml:space="preserve">   Digital Operations — prior year</t>
  </si>
  <si>
    <t xml:space="preserve">   Digital Exploration — prior year</t>
  </si>
  <si>
    <t xml:space="preserve">   Professional Services — prior year</t>
  </si>
  <si>
    <t xml:space="preserve">   Total Digital revenue — prior year</t>
  </si>
  <si>
    <t xml:space="preserve">   ChampionX revenue in Digital — prior year</t>
  </si>
  <si>
    <t xml:space="preserve">   North America — prior year</t>
  </si>
  <si>
    <t xml:space="preserve">   Other — prior year</t>
  </si>
  <si>
    <t xml:space="preserve">   International — prior year</t>
  </si>
  <si>
    <t xml:space="preserve">   ARR — closing balance — prior year</t>
  </si>
  <si>
    <t xml:space="preserve">   Pretax segment operating income — prior year</t>
  </si>
  <si>
    <t xml:space="preserve">   Pretax operating margin (driver) — prior year</t>
  </si>
  <si>
    <t xml:space="preserve">   Depreciation &amp; amortization — prior year</t>
  </si>
  <si>
    <t xml:space="preserve">   D&amp;A % of revenue — prior year</t>
  </si>
  <si>
    <t xml:space="preserve">   Net interest expense (income) inside segment — prior year</t>
  </si>
  <si>
    <t xml:space="preserve">   Adjusted EBITDA — prior year</t>
  </si>
  <si>
    <t xml:space="preserve">   Adjusted EBITDA margin — prior year</t>
  </si>
  <si>
    <t>Segment - Reservoir Performance — revenue and profit build</t>
  </si>
  <si>
    <t>SLB does not disclose customers, units, prices or backlog by Division; the driver ladder uses the disclosed geography split (opening → changes → closing).</t>
  </si>
  <si>
    <t>Revenue build — sequential driver ladder by geography</t>
  </si>
  <si>
    <t>Most ME-exposed division (evaluation, stimulation, intervention). Base case +~5% assumes gradual ME remobilisation; trimmed to +3.8% for August Saudi output cuts and the Sept-11 East-West pipeline attack (S18, S19), partly offset by Iraq recovery (S20).</t>
  </si>
  <si>
    <t>U.S. land steady; Canada post-breakup.</t>
  </si>
  <si>
    <t>Small unallocated revenue; 3Q26E held at the latest quarter (2Q26) level of zero.</t>
  </si>
  <si>
    <t>Total division revenue</t>
  </si>
  <si>
    <t xml:space="preserve">   ChampionX revenue in division</t>
  </si>
  <si>
    <t>ChampionX revenue is reported only in Digital and Production Systems (S3–S6); zero here by disclosure.</t>
  </si>
  <si>
    <t xml:space="preserve">   Δ International (sequential bridge)</t>
  </si>
  <si>
    <t xml:space="preserve">   Δ North America (sequential bridge)</t>
  </si>
  <si>
    <t xml:space="preserve">   Δ Other (sequential bridge)</t>
  </si>
  <si>
    <t xml:space="preserve">   Division revenue as reported (memo)</t>
  </si>
  <si>
    <t>Margin fell to 14.9% in 2Q26 on ME disruption; partial recovery on higher ME utilisation (3Q25: 18.5%).</t>
  </si>
  <si>
    <t>Run-rate.</t>
  </si>
  <si>
    <t xml:space="preserve">   Total division revenue — prior year</t>
  </si>
  <si>
    <t xml:space="preserve">   ChampionX revenue in division — prior year</t>
  </si>
  <si>
    <t>Segment - Well Construction — revenue and profit build</t>
  </si>
  <si>
    <t>Guidance: Core divisions low-to-mid single digit q/q (S7). ME drilling partly resumed (Saudi offshore jackups back by end-Sept, S21) but Saudi crude output fell to 6.2 mb/d in Aug (S18): +2.2%.</t>
  </si>
  <si>
    <t>Canada recovers from spring break-up; U.S. land flat.</t>
  </si>
  <si>
    <t>Reverts toward the 3Q25–1Q26 run-rate ($54–69m) from $37m.</t>
  </si>
  <si>
    <t>15.2% in 1Q/2Q26 vs 18.8% in 3Q25; modest recovery with ME volume.</t>
  </si>
  <si>
    <t>Segment - Production Systems — revenue and profit build</t>
  </si>
  <si>
    <t>OneSubsea backlog and deepwater momentum (Baleine, Kutei North awards, S6); ME surface systems recover gradually.</t>
  </si>
  <si>
    <t>Artificial lift, chemicals and valves in U.S. land; DCS not in this division.</t>
  </si>
  <si>
    <t>Small unallocated revenue; held near recent run-rate.</t>
  </si>
  <si>
    <t>3Q25 = two months of ChampionX. 3Q26E $880m (2Q26 $865m; production chemicals and artificial lift steady-to-up).</t>
  </si>
  <si>
    <t>ChampionX margin expanded three quarters running; 3Q26E 16.0% (3Q25 16.1%, 4Q25 16.3%).</t>
  </si>
  <si>
    <t>Includes ChampionX intangible amortization.</t>
  </si>
  <si>
    <t>ChampionX contribution and pro forma view</t>
  </si>
  <si>
    <t xml:space="preserve">   ChampionX pretax operating income in division</t>
  </si>
  <si>
    <t xml:space="preserve">   ChampionX pretax margin</t>
  </si>
  <si>
    <t>2Q26 17.9%; held at 17.8%.</t>
  </si>
  <si>
    <t xml:space="preserve">   Legacy Production Systems revenue (ex-ChampionX)</t>
  </si>
  <si>
    <t xml:space="preserve">   Legacy Production Systems pretax OI</t>
  </si>
  <si>
    <t xml:space="preserve">   Legacy pretax margin</t>
  </si>
  <si>
    <t xml:space="preserve">   Pro forma revenue (ChampionX owned from 1-Jan-2025)</t>
  </si>
  <si>
    <t>Pro forma equals reported once ChampionX is in both periods.</t>
  </si>
  <si>
    <t xml:space="preserve">      % Y/Y (pro forma, constant scope)</t>
  </si>
  <si>
    <t xml:space="preserve">   ChampionX pretax operating income in division — prior year</t>
  </si>
  <si>
    <t xml:space="preserve">   Legacy Production Systems revenue (ex-ChampionX) — prior year</t>
  </si>
  <si>
    <t xml:space="preserve">   Legacy Production Systems pretax OI — prior year</t>
  </si>
  <si>
    <t xml:space="preserve">   Legacy pretax margin — prior year</t>
  </si>
  <si>
    <t xml:space="preserve">   Pro forma revenue (ChampionX owned from 1-Jan-2025) — prior year</t>
  </si>
  <si>
    <t>Segment - All Other — APS, Data Center Solutions, SLB Capturi</t>
  </si>
  <si>
    <t>Revenue build (Data Center Solutions disclosed; APS + Capturi derived)</t>
  </si>
  <si>
    <t xml:space="preserve">   Data Center Solutions revenue — 9M25 YTD as reported (memo)</t>
  </si>
  <si>
    <t>9M25 year-to-date memo (Jan–Sep 2025), not a 3Q25 quarterly figure; used only to derive 3Q25 DCS in C12.</t>
  </si>
  <si>
    <t xml:space="preserve">   Data Center Solutions (DCS) revenue</t>
  </si>
  <si>
    <t>3Q25 = 9M25 YTD less 1Q25 and 2Q25 (formula).</t>
  </si>
  <si>
    <t>Needs ~$250m/qtr by 4Q26 for the &gt;$1bn annualised exit-rate target (S6/S7); backlog "ahead of expectations" — +16% q/q.</t>
  </si>
  <si>
    <t xml:space="preserve">      DCS annualised run-rate (quarter × 4)</t>
  </si>
  <si>
    <t xml:space="preserve">      DCS run-rate vs $1bn exit-2026 target (Guidance tab)</t>
  </si>
  <si>
    <t xml:space="preserve">   All Other revenue as reported (memo)</t>
  </si>
  <si>
    <t xml:space="preserve">   APS, SLB Capturi and other (derived)</t>
  </si>
  <si>
    <t>All Other revenue less DCS; APS flat q/q in 2Q26 (S6).</t>
  </si>
  <si>
    <t>APS Ecuador steady; Capturi milestones lower.</t>
  </si>
  <si>
    <t>Total All Other revenue</t>
  </si>
  <si>
    <t xml:space="preserve">   ChampionX revenue in All Other</t>
  </si>
  <si>
    <t>None by disclosure.</t>
  </si>
  <si>
    <t xml:space="preserve">   Δ Data Center Solutions (sequential bridge)</t>
  </si>
  <si>
    <t xml:space="preserve">   Δ APS, Capturi &amp; other (sequential bridge)</t>
  </si>
  <si>
    <t xml:space="preserve">   DCS % of All Other revenue</t>
  </si>
  <si>
    <t xml:space="preserve">   Geography split</t>
  </si>
  <si>
    <t>SLB does not disclose All Other revenue by geography.</t>
  </si>
  <si>
    <t>2Q26 28.2% on DCS profitability; 26% for mix and Capturi.</t>
  </si>
  <si>
    <t>3Q25 D&amp;A derived as reported EBITDA − OI − net interest (All Other D&amp;A not tabulated in the 3Q25 release).</t>
  </si>
  <si>
    <t xml:space="preserve">   Data Center Solutions (DCS) revenue — prior year</t>
  </si>
  <si>
    <t xml:space="preserve">   APS, SLB Capturi and other (derived) — prior year</t>
  </si>
  <si>
    <t xml:space="preserve">   Total All Other revenue — prior year</t>
  </si>
  <si>
    <t xml:space="preserve">   ChampionX revenue in All Other — prior year</t>
  </si>
  <si>
    <t>Income Statement</t>
  </si>
  <si>
    <t>Income statement — GAAP, as reported</t>
  </si>
  <si>
    <t>Revenue</t>
  </si>
  <si>
    <t xml:space="preserve">   Growth ex-ChampionX, FX-inclusive (Revenue summary)</t>
  </si>
  <si>
    <t>Unavailable (FX not disclosed).</t>
  </si>
  <si>
    <t>Interest &amp; other income</t>
  </si>
  <si>
    <t xml:space="preserve">   of which: interest income (total)</t>
  </si>
  <si>
    <t xml:space="preserve">   of which: equity-method earnings &amp; other (derived)</t>
  </si>
  <si>
    <t>3Q26E $45m (2Q26 $47m; 3Q25 $41m).</t>
  </si>
  <si>
    <t>Expenses</t>
  </si>
  <si>
    <t>Cost of revenue</t>
  </si>
  <si>
    <t>3Q26E is implied by the segment build: revenue + other income − other expense lines − pretax income from the segment bridge.</t>
  </si>
  <si>
    <t xml:space="preserve">   Cost of revenue % of revenue</t>
  </si>
  <si>
    <t>Gross profit (derived: revenue − cost of revenue; not an SLB-reported metric)</t>
  </si>
  <si>
    <t>SLB does not report gross profit; derived from reported revenue and cost of revenue (cost of revenue includes most D&amp;A and some charges, e.g. inventory FV amortization).</t>
  </si>
  <si>
    <t xml:space="preserve">   Gross margin (derived)</t>
  </si>
  <si>
    <t>Research &amp; engineering</t>
  </si>
  <si>
    <t>Run-rate ($164–187m/qtr).</t>
  </si>
  <si>
    <t xml:space="preserve">   R&amp;E % of revenue</t>
  </si>
  <si>
    <t>General &amp; administrative</t>
  </si>
  <si>
    <t>Run-rate ($72–97m/qtr).</t>
  </si>
  <si>
    <t xml:space="preserve">   G&amp;A % of revenue</t>
  </si>
  <si>
    <t>Merger &amp; integration</t>
  </si>
  <si>
    <t>Linked to the charges bridge below (single typed source).</t>
  </si>
  <si>
    <t>Restructuring &amp; other</t>
  </si>
  <si>
    <t>3Q25 ($109m reported) and 2Q25 ($135m) split: equity-method impairments ($52m, $69m) shown under Impairments to match the FY25 10-K classification.</t>
  </si>
  <si>
    <t>Impairments</t>
  </si>
  <si>
    <t>Interest expense</t>
  </si>
  <si>
    <t>Window quarters equal the corporate-level interest expense in the segment bridge (linked); prior-year IS interest differs slightly from the bridge line (e.g. 2Q25 $142m vs $139m).</t>
  </si>
  <si>
    <t>Total expenses</t>
  </si>
  <si>
    <t>Income before taxes</t>
  </si>
  <si>
    <t xml:space="preserve">   Pretax margin</t>
  </si>
  <si>
    <t>Tax expense</t>
  </si>
  <si>
    <t xml:space="preserve">   Effective tax rate (GAAP)</t>
  </si>
  <si>
    <t>Net income</t>
  </si>
  <si>
    <t>Net income attributable to noncontrolling interests</t>
  </si>
  <si>
    <t>Net income attributable to SLB (GAAP)</t>
  </si>
  <si>
    <t xml:space="preserve">   Net margin (GAAP)</t>
  </si>
  <si>
    <t>Average shares outstanding — basic (m)</t>
  </si>
  <si>
    <t>Average shares outstanding — diluted (m)</t>
  </si>
  <si>
    <t>Diluted EPS — GAAP</t>
  </si>
  <si>
    <t xml:space="preserve">   Δ Q/Q ($/share)</t>
  </si>
  <si>
    <t xml:space="preserve">   Diluted EPS — GAAP as reported (quarters: CapIQ history on Inputs; FY25: 4Q25 release)</t>
  </si>
  <si>
    <t>Depreciation &amp; amortization (included in expenses)</t>
  </si>
  <si>
    <t xml:space="preserve">   D&amp;A — sum of divisions, eliminations and corporate</t>
  </si>
  <si>
    <t>Depreciation &amp; amortization (total)</t>
  </si>
  <si>
    <t>Historical quarters link to the Cash Flow Statement (single typed source: reported YTD cash flows).</t>
  </si>
  <si>
    <t xml:space="preserve">   Depreciation of fixed assets</t>
  </si>
  <si>
    <t xml:space="preserve">   Amortization of intangible assets</t>
  </si>
  <si>
    <t xml:space="preserve">   Amortization of APS investments</t>
  </si>
  <si>
    <t xml:space="preserve">   Amortization of exploration data costs capitalized</t>
  </si>
  <si>
    <t xml:space="preserve">   Check: components = total; total = segment sum</t>
  </si>
  <si>
    <t>FY25 check uses a $3m tolerance (disclosed basis gap, not issuer rounding of one table): division FY D&amp;A are sums of quarterly values (PS 463, All Other 375; some 3Q25 values derived) while eliminations G151 = issuer FY25 table 286 (S4); issuer FY table itself sums to 2,643.</t>
  </si>
  <si>
    <t>Segment profit bridge to pretax income (issuer non-GAAP reconciliation)</t>
  </si>
  <si>
    <t xml:space="preserve">   Digital — pretax operating income</t>
  </si>
  <si>
    <t xml:space="preserve">   Reservoir Performance — pretax operating income</t>
  </si>
  <si>
    <t xml:space="preserve">   Well Construction — pretax operating income</t>
  </si>
  <si>
    <t xml:space="preserve">   Production Systems — pretax operating income</t>
  </si>
  <si>
    <t xml:space="preserve">   All Other (APS, Data Center Solutions, Capturi) — pretax operating income</t>
  </si>
  <si>
    <t>2Q26 (167) was unusually high; 1Q26 (104), 4Q25 (114). 3Q26E (125).</t>
  </si>
  <si>
    <t xml:space="preserve">   Pretax segment operating margin (issuer operating margin)</t>
  </si>
  <si>
    <t xml:space="preserve">   Corporate &amp; other</t>
  </si>
  <si>
    <t>Run-rate $(203)–(228)m.</t>
  </si>
  <si>
    <t xml:space="preserve">   Interest income (corporate level)</t>
  </si>
  <si>
    <t>Cash &amp; ST investments $4.1bn at 30-Jun-26; held ~flat.</t>
  </si>
  <si>
    <t xml:space="preserve">   Interest expense (corporate level)</t>
  </si>
  <si>
    <t>Gross debt $12.8bn at 30-Jun-26 after 1H26 issuance; CapIQ interest-expense consensus $(130.16)m.</t>
  </si>
  <si>
    <t>Income before taxes, excluding charges &amp; credits (segment bridge)</t>
  </si>
  <si>
    <t xml:space="preserve">   Charges &amp; credits (pretax, from bridge below)</t>
  </si>
  <si>
    <t>Income before taxes (bridge)</t>
  </si>
  <si>
    <t xml:space="preserve">   Check: bridge = income statement pretax</t>
  </si>
  <si>
    <t>Segment EBITDA components outside the Divisions</t>
  </si>
  <si>
    <t xml:space="preserve">   Eliminations — D&amp;A</t>
  </si>
  <si>
    <t>3Q25 derived from reported eliminations EBITDA. FY25 G151 = 286 per issuer FY25 table (S4); quarterly values sum to 288 (70+71+73 derived+74). Issuer figure retained; $2m quarter-vs-annual gap disclosed at I115.</t>
  </si>
  <si>
    <t xml:space="preserve">   Eliminations — net interest expense (income)</t>
  </si>
  <si>
    <t xml:space="preserve">   Eliminations — adjusted EBITDA as reported (memo)</t>
  </si>
  <si>
    <t xml:space="preserve">   Corporate &amp; other — D&amp;A</t>
  </si>
  <si>
    <t xml:space="preserve">   Corporate &amp; other — adjusted EBITDA as reported (memo)</t>
  </si>
  <si>
    <t xml:space="preserve">   Segment-level net interest income (memo)</t>
  </si>
  <si>
    <t>Adjusted EBITDA (issuer non-GAAP)</t>
  </si>
  <si>
    <t xml:space="preserve">   Adjusted EBITDA — sum of segment EBITDA, eliminations and corporate</t>
  </si>
  <si>
    <t xml:space="preserve">   Check: reconciliation = segment build</t>
  </si>
  <si>
    <t>GAAP to non-GAAP bridge (one row per charge / credit; pretax unless stated)</t>
  </si>
  <si>
    <t xml:space="preserve">   Merger &amp; integration (incl. acquisition fees and employee benefits)</t>
  </si>
  <si>
    <t>3Q26E $70m: ongoing ChampionX integration (1Q26 $41m, 2Q26 $69m) plus Kelvion deal costs (signed 31-Aug-26; close 1H27, S17).</t>
  </si>
  <si>
    <t xml:space="preserve">   Workforce reductions</t>
  </si>
  <si>
    <t xml:space="preserve">   Restructuring (other)</t>
  </si>
  <si>
    <t xml:space="preserve">   Impairment of equity-method investment</t>
  </si>
  <si>
    <t xml:space="preserve">   Goodwill / asset impairments</t>
  </si>
  <si>
    <t xml:space="preserve">   Amortization of inventory purchase-accounting fair value adjustment</t>
  </si>
  <si>
    <t>Included in cost of revenue.</t>
  </si>
  <si>
    <t xml:space="preserve">   Gains on sale (Palliser APS, investments) — credits</t>
  </si>
  <si>
    <t>Included in interest &amp; other income.</t>
  </si>
  <si>
    <t>Total charges &amp; credits (pretax)</t>
  </si>
  <si>
    <t xml:space="preserve">   Tax effect of charges &amp; credits</t>
  </si>
  <si>
    <t>3Q26E ~21% on M&amp;I (2Q26: $19m on $69m).</t>
  </si>
  <si>
    <t xml:space="preserve">   Reversal of deferred-tax valuation allowance (tax credit excluded)</t>
  </si>
  <si>
    <t xml:space="preserve">   Noncontrolling-interest share of charges &amp; credits</t>
  </si>
  <si>
    <t>Net income attributable to SLB, excluding charges &amp; credits</t>
  </si>
  <si>
    <t xml:space="preserve">   Net margin excluding charges &amp; credits</t>
  </si>
  <si>
    <t>Diluted EPS, excluding charges &amp; credits (consensus "normalized" basis)</t>
  </si>
  <si>
    <t xml:space="preserve">   Normalized diluted EPS per S&amp;P Capital IQ history (Inputs)</t>
  </si>
  <si>
    <t>FY25 from the 4Q25 release (CapIQ history is quarterly only).</t>
  </si>
  <si>
    <t xml:space="preserve">   Normalized EPS consensus (CapIQ frozen 18-Oct-2026)</t>
  </si>
  <si>
    <t xml:space="preserve">        Surprise vs consensus ($/share; 3Q26E = estimate − consensus)</t>
  </si>
  <si>
    <t xml:space="preserve">   Check: EPS = net income / diluted shares (ties to reported at 2dp)</t>
  </si>
  <si>
    <t>Tax and noncontrolling interest excluding charges &amp; credits</t>
  </si>
  <si>
    <t>Income before taxes, excluding charges &amp; credits</t>
  </si>
  <si>
    <t>Tax expense, excluding charges &amp; credits</t>
  </si>
  <si>
    <t xml:space="preserve">   Effective tax rate, excluding charges &amp; credits (driver)</t>
  </si>
  <si>
    <t>SLB ETR ex-charges: 19.2% (3Q25), 19.5% (4Q25), 20.3% (1Q26), 20.5% (2Q26). 3Q26E 20.3%.</t>
  </si>
  <si>
    <t>Noncontrolling interests, excluding charges &amp; credits</t>
  </si>
  <si>
    <t>Mostly OneSubsea JV partners; 2Q26 $32m, 3Q25 $38m. 3Q26E $31m.</t>
  </si>
  <si>
    <t xml:space="preserve">   Check: NI ex charges = pretax ex − tax ex − NCI ex</t>
  </si>
  <si>
    <t xml:space="preserve">   Revenue — prior year</t>
  </si>
  <si>
    <t xml:space="preserve">   Interest &amp; other income — prior year</t>
  </si>
  <si>
    <t xml:space="preserve">   of which: interest income (total) — prior year</t>
  </si>
  <si>
    <t xml:space="preserve">   Equity-method earnings &amp; other — prior year</t>
  </si>
  <si>
    <t xml:space="preserve">   Cost of revenue — prior year</t>
  </si>
  <si>
    <t xml:space="preserve">   Cost of revenue % of revenue — prior year</t>
  </si>
  <si>
    <t xml:space="preserve">   Gross profit (derived: revenue − cost of revenue; not an SLB-reported metric) — prior year</t>
  </si>
  <si>
    <t xml:space="preserve">   Gross margin (derived) — prior year</t>
  </si>
  <si>
    <t xml:space="preserve">   Research &amp; engineering — prior year</t>
  </si>
  <si>
    <t xml:space="preserve">   R&amp;E % of revenue — prior year</t>
  </si>
  <si>
    <t xml:space="preserve">   General &amp; administrative — prior year</t>
  </si>
  <si>
    <t xml:space="preserve">   G&amp;A % of revenue — prior year</t>
  </si>
  <si>
    <t xml:space="preserve">   Merger &amp; integration — prior year</t>
  </si>
  <si>
    <t xml:space="preserve">   Restructuring &amp; other — prior year</t>
  </si>
  <si>
    <t xml:space="preserve">   Impairments — prior year</t>
  </si>
  <si>
    <t xml:space="preserve">   Interest expense — prior year</t>
  </si>
  <si>
    <t xml:space="preserve">   Income before taxes — prior year</t>
  </si>
  <si>
    <t xml:space="preserve">   Pretax margin — prior year</t>
  </si>
  <si>
    <t xml:space="preserve">   Tax expense — prior year</t>
  </si>
  <si>
    <t xml:space="preserve">   Effective tax rate (GAAP) — prior year</t>
  </si>
  <si>
    <t xml:space="preserve">   Net income — prior year</t>
  </si>
  <si>
    <t xml:space="preserve">   Net income attributable to noncontrolling interests — prior year</t>
  </si>
  <si>
    <t xml:space="preserve">   Net income attributable to SLB (GAAP) — prior year</t>
  </si>
  <si>
    <t xml:space="preserve">   Net margin (GAAP) — prior year</t>
  </si>
  <si>
    <t xml:space="preserve">   Diluted shares — prior year (m)</t>
  </si>
  <si>
    <t xml:space="preserve">   Diluted EPS — GAAP — prior year</t>
  </si>
  <si>
    <t xml:space="preserve">   Depreciation &amp; amortization (total) — prior year</t>
  </si>
  <si>
    <t xml:space="preserve">   Depreciation of fixed assets — prior year</t>
  </si>
  <si>
    <t xml:space="preserve">   Amortization of intangible assets — prior year</t>
  </si>
  <si>
    <t xml:space="preserve">   Amortization of APS investments — prior year</t>
  </si>
  <si>
    <t xml:space="preserve">   Amortization of exploration data costs capitalized — prior year</t>
  </si>
  <si>
    <t xml:space="preserve">   Digital pretax OI — prior year</t>
  </si>
  <si>
    <t xml:space="preserve">   Reservoir Performance pretax OI — prior year</t>
  </si>
  <si>
    <t xml:space="preserve">   Well Construction pretax OI — prior year</t>
  </si>
  <si>
    <t xml:space="preserve">   Production Systems pretax OI — prior year</t>
  </si>
  <si>
    <t xml:space="preserve">   All Other (APS, Data Center Solutions, Capturi) pretax OI — prior year</t>
  </si>
  <si>
    <t xml:space="preserve">   Pretax segment operating margin (issuer operating margin) — prior year</t>
  </si>
  <si>
    <t xml:space="preserve">   Corporate &amp; other — prior year</t>
  </si>
  <si>
    <t xml:space="preserve">   Interest income (corporate level) — prior year</t>
  </si>
  <si>
    <t xml:space="preserve">   Interest expense (corporate level) — prior year</t>
  </si>
  <si>
    <t xml:space="preserve">   Eliminations — D&amp;A — prior year</t>
  </si>
  <si>
    <t xml:space="preserve">   Eliminations — net interest expense (income) — prior year</t>
  </si>
  <si>
    <t xml:space="preserve">   Corporate &amp; other — D&amp;A — prior year</t>
  </si>
  <si>
    <t xml:space="preserve">   Merger &amp; integration (incl. acquisition fees and employee benefits) — prior year</t>
  </si>
  <si>
    <t xml:space="preserve">   Workforce reductions — prior year</t>
  </si>
  <si>
    <t xml:space="preserve">   Restructuring (other) — prior year</t>
  </si>
  <si>
    <t xml:space="preserve">   Impairment of equity-method investment — prior year</t>
  </si>
  <si>
    <t xml:space="preserve">   Goodwill / asset impairments — prior year</t>
  </si>
  <si>
    <t xml:space="preserve">   Amortization of inventory purchase-accounting fair value adjustment — prior year</t>
  </si>
  <si>
    <t xml:space="preserve">   Gains on sale (Palliser APS, investments) — credits — prior year</t>
  </si>
  <si>
    <t xml:space="preserve">   Total charges &amp; credits (pretax) — prior year</t>
  </si>
  <si>
    <t xml:space="preserve">   Tax effect of charges &amp; credits — prior year</t>
  </si>
  <si>
    <t xml:space="preserve">   Reversal of deferred-tax valuation allowance (tax credit excluded) — prior year</t>
  </si>
  <si>
    <t xml:space="preserve">   Noncontrolling-interest share of charges &amp; credits — prior year</t>
  </si>
  <si>
    <t xml:space="preserve">   Net income attributable to SLB, excluding charges &amp; credits — prior year</t>
  </si>
  <si>
    <t xml:space="preserve">   Net margin excluding charges &amp; credits — prior year</t>
  </si>
  <si>
    <t xml:space="preserve">   Diluted EPS ex charges &amp; credits — prior year</t>
  </si>
  <si>
    <t xml:space="preserve">   Pretax ex charges — prior year</t>
  </si>
  <si>
    <t xml:space="preserve">   Tax ex charges — prior year</t>
  </si>
  <si>
    <t xml:space="preserve">   ETR ex charges — prior year</t>
  </si>
  <si>
    <t xml:space="preserve">   NCI ex charges — prior year</t>
  </si>
  <si>
    <t>Balance Sheet</t>
  </si>
  <si>
    <t>Assets</t>
  </si>
  <si>
    <t xml:space="preserve">   Cash</t>
  </si>
  <si>
    <t xml:space="preserve">   Short-term investments</t>
  </si>
  <si>
    <t xml:space="preserve">   Receivables, net</t>
  </si>
  <si>
    <t xml:space="preserve">   Inventories</t>
  </si>
  <si>
    <t xml:space="preserve">   Other current assets</t>
  </si>
  <si>
    <t>Total current assets</t>
  </si>
  <si>
    <t xml:space="preserve">   Investments in affiliated companies</t>
  </si>
  <si>
    <t xml:space="preserve">   Fixed assets, net</t>
  </si>
  <si>
    <t xml:space="preserve">   Goodwill</t>
  </si>
  <si>
    <t xml:space="preserve">   Intangible assets</t>
  </si>
  <si>
    <t xml:space="preserve">   Other assets (incl. APS and exploration data)</t>
  </si>
  <si>
    <t>Total assets</t>
  </si>
  <si>
    <t>Liabilities</t>
  </si>
  <si>
    <t xml:space="preserve">   Accounts payable and accrued liabilities</t>
  </si>
  <si>
    <t xml:space="preserve">   Estimated liability for taxes on income</t>
  </si>
  <si>
    <t xml:space="preserve">   Short-term borrowings and current portion of LT debt</t>
  </si>
  <si>
    <t xml:space="preserve">   Dividends payable</t>
  </si>
  <si>
    <t>3Q26E: + dividend declared in 3Q (Share Count) − dividend paid (Cash Flow).</t>
  </si>
  <si>
    <t>Total current liabilities</t>
  </si>
  <si>
    <t xml:space="preserve">   Long-term debt</t>
  </si>
  <si>
    <t xml:space="preserve">   Postretirement benefits</t>
  </si>
  <si>
    <t xml:space="preserve">   Deferred taxes</t>
  </si>
  <si>
    <t xml:space="preserve">   Other liabilities</t>
  </si>
  <si>
    <t>Total liabilities</t>
  </si>
  <si>
    <t>Equity</t>
  </si>
  <si>
    <t xml:space="preserve">   Common stock</t>
  </si>
  <si>
    <t xml:space="preserve">   Treasury stock</t>
  </si>
  <si>
    <t xml:space="preserve">   Retained earnings</t>
  </si>
  <si>
    <t xml:space="preserve">   Accumulated other comprehensive loss</t>
  </si>
  <si>
    <t>SLB stockholders' equity</t>
  </si>
  <si>
    <t xml:space="preserve">   Noncontrolling interests</t>
  </si>
  <si>
    <t>Total equity</t>
  </si>
  <si>
    <t>Total liabilities and equity</t>
  </si>
  <si>
    <t>Check: assets − liabilities − equity</t>
  </si>
  <si>
    <t xml:space="preserve">   Check: balance sheet balances (= 0)</t>
  </si>
  <si>
    <t>Net debt and working-capital drivers</t>
  </si>
  <si>
    <t>Net debt (issuer definition: gross debt − cash − short-term investments)</t>
  </si>
  <si>
    <t xml:space="preserve">   Net debt / LTM adjusted EBITDA</t>
  </si>
  <si>
    <t>SLB target: up to 1.5x (S17). LTM needs four in-window quarters.</t>
  </si>
  <si>
    <t xml:space="preserve">        Δ Q/Q (x)</t>
  </si>
  <si>
    <t xml:space="preserve">   Days in period</t>
  </si>
  <si>
    <t xml:space="preserve">   Revenue (Income Statement)</t>
  </si>
  <si>
    <t xml:space="preserve">   Cost of revenue (Income Statement)</t>
  </si>
  <si>
    <t xml:space="preserve">   Days sales outstanding (receivables / revenue × days) — driver</t>
  </si>
  <si>
    <t>93.8 / 82.0 / 93.3 / 92.6 days over the last four quarters (4Q seasonal collections). 3Q26E 92.0.</t>
  </si>
  <si>
    <t xml:space="preserve">        Δ Q/Q (days)</t>
  </si>
  <si>
    <t xml:space="preserve">        Δ Y/Y (days)</t>
  </si>
  <si>
    <t xml:space="preserve">   Days inventory (inventories / cost of revenue × days) — driver</t>
  </si>
  <si>
    <t>66.4 / 57.7 / 64.2 / 65.3 days; management expects lower inventories in 2H26 (S7). 3Q26E 64.0.</t>
  </si>
  <si>
    <t xml:space="preserve">   Payables &amp; accruals days (AP &amp; accrued / cost of revenue × days) — driver</t>
  </si>
  <si>
    <t>135.5 / 131.9 / 135.7 / 134.6 days. 3Q26E 135.0.</t>
  </si>
  <si>
    <t xml:space="preserve">   Trade working capital (receivables + inventories − AP &amp; accrued)</t>
  </si>
  <si>
    <t xml:space="preserve">        Δ Y/Y ($m)</t>
  </si>
  <si>
    <t xml:space="preserve">        Δ Q/Q ($m)</t>
  </si>
  <si>
    <t xml:space="preserve">   Cash — prior year</t>
  </si>
  <si>
    <t xml:space="preserve">   Short-term investments — prior year</t>
  </si>
  <si>
    <t xml:space="preserve">   Receivables, net — prior year</t>
  </si>
  <si>
    <t xml:space="preserve">   Inventories — prior year</t>
  </si>
  <si>
    <t xml:space="preserve">   Other current assets — prior year</t>
  </si>
  <si>
    <t xml:space="preserve">   Total current assets — prior year</t>
  </si>
  <si>
    <t xml:space="preserve">   Investments in affiliated companies — prior year</t>
  </si>
  <si>
    <t xml:space="preserve">   Fixed assets, net — prior year</t>
  </si>
  <si>
    <t xml:space="preserve">   Goodwill — prior year</t>
  </si>
  <si>
    <t xml:space="preserve">   Intangible assets — prior year</t>
  </si>
  <si>
    <t xml:space="preserve">   Other assets (incl. APS and exploration data) — prior year</t>
  </si>
  <si>
    <t xml:space="preserve">   Total assets — prior year</t>
  </si>
  <si>
    <t xml:space="preserve">   Accounts payable and accrued liabilities — prior year</t>
  </si>
  <si>
    <t xml:space="preserve">   Estimated liability for taxes on income — prior year</t>
  </si>
  <si>
    <t xml:space="preserve">   Short-term borrowings and current portion of LT debt — prior year</t>
  </si>
  <si>
    <t xml:space="preserve">   Dividends payable — prior year</t>
  </si>
  <si>
    <t xml:space="preserve">   Total current liabilities — prior year</t>
  </si>
  <si>
    <t xml:space="preserve">   Long-term debt — prior year</t>
  </si>
  <si>
    <t xml:space="preserve">   Postretirement benefits — prior year</t>
  </si>
  <si>
    <t xml:space="preserve">   Deferred taxes — prior year</t>
  </si>
  <si>
    <t xml:space="preserve">   Other liabilities — prior year</t>
  </si>
  <si>
    <t xml:space="preserve">   Total liabilities — prior year</t>
  </si>
  <si>
    <t xml:space="preserve">   Common stock — prior year</t>
  </si>
  <si>
    <t xml:space="preserve">   Treasury stock — prior year</t>
  </si>
  <si>
    <t xml:space="preserve">   Retained earnings — prior year</t>
  </si>
  <si>
    <t xml:space="preserve">   Accumulated other comprehensive loss — prior year</t>
  </si>
  <si>
    <t xml:space="preserve">   SLB stockholders' equity — prior year</t>
  </si>
  <si>
    <t xml:space="preserve">   Noncontrolling interests — prior year</t>
  </si>
  <si>
    <t xml:space="preserve">   Total equity — prior year</t>
  </si>
  <si>
    <t xml:space="preserve">   Total liabilities and equity — prior year</t>
  </si>
  <si>
    <t xml:space="preserve">   Net debt — prior year</t>
  </si>
  <si>
    <t xml:space="preserve">   Days in period — prior year</t>
  </si>
  <si>
    <t xml:space="preserve">   Days sales outstanding — prior year</t>
  </si>
  <si>
    <t xml:space="preserve">   Days inventory — prior year</t>
  </si>
  <si>
    <t xml:space="preserve">   Payables &amp; accruals days — prior year</t>
  </si>
  <si>
    <t xml:space="preserve">   Trade working capital — prior year</t>
  </si>
  <si>
    <t>Cash Flow Statement</t>
  </si>
  <si>
    <t>Operating activities</t>
  </si>
  <si>
    <t xml:space="preserve">   Net income (incl. noncontrolling interests)</t>
  </si>
  <si>
    <t xml:space="preserve">   Depreciation &amp; amortization</t>
  </si>
  <si>
    <t xml:space="preserve">   Impairments, inventory FV amortization and gains (non-cash)</t>
  </si>
  <si>
    <t xml:space="preserve">   Stock-based compensation</t>
  </si>
  <si>
    <t>3Q26E $85m (3Q25 $89m; 2Q26 $78m).</t>
  </si>
  <si>
    <t xml:space="preserve">   Equity-method earnings less dividends received</t>
  </si>
  <si>
    <t>Equity earnings largely retained (2Q26: $(4)m incl. other).</t>
  </si>
  <si>
    <t xml:space="preserve">   Change in receivables</t>
  </si>
  <si>
    <t>Driven by DSO on the Balance Sheet.</t>
  </si>
  <si>
    <t xml:space="preserve">   Change in inventories</t>
  </si>
  <si>
    <t>Driven by days inventory on the Balance Sheet.</t>
  </si>
  <si>
    <t xml:space="preserve">   Change in other current assets</t>
  </si>
  <si>
    <t xml:space="preserve">   Change in other assets</t>
  </si>
  <si>
    <t xml:space="preserve">   Change in accounts payable and accrued liabilities</t>
  </si>
  <si>
    <t>Driven by payables days on the Balance Sheet.</t>
  </si>
  <si>
    <t xml:space="preserve">   Change in estimated liability for taxes on income</t>
  </si>
  <si>
    <t>Partial rebuild of tax payables after a $(239)m 1H26 draw.</t>
  </si>
  <si>
    <t xml:space="preserve">   Change in other liabilities</t>
  </si>
  <si>
    <t xml:space="preserve">   Other operating items</t>
  </si>
  <si>
    <t>Cash flow from operations</t>
  </si>
  <si>
    <t xml:space="preserve">   memo: change in working capital (issuer definition: all asset/liability changes + other)</t>
  </si>
  <si>
    <t>Investing activities</t>
  </si>
  <si>
    <t xml:space="preserve">   Capital expenditures</t>
  </si>
  <si>
    <t>FY26 capital investment guide ~$2.5bn (S6/S7); 1H26 $1,153m → 2H26 ~$1,350m; 3Q26E capex $440m.</t>
  </si>
  <si>
    <t xml:space="preserve">   APS investments</t>
  </si>
  <si>
    <t>Part of the ~$2.5bn capital investment guide.</t>
  </si>
  <si>
    <t xml:space="preserve">   Exploration data costs capitalized</t>
  </si>
  <si>
    <t xml:space="preserve">   Business acquisitions, net of cash acquired (incl. ChampionX cash acquired)</t>
  </si>
  <si>
    <t>Kelvion ($3.4bn cash) expected to close 1H27 (S17); no 3Q26 cash outflow assumed.</t>
  </si>
  <si>
    <t xml:space="preserve">   Proceeds from divestitures (APS project, ChampionX Drilling Technologies)</t>
  </si>
  <si>
    <t xml:space="preserve">   (Purchase) sale of short-term investments, net</t>
  </si>
  <si>
    <t xml:space="preserve">   Blue Chip Swap securities, net</t>
  </si>
  <si>
    <t xml:space="preserve">   Other investing</t>
  </si>
  <si>
    <t>Cash flow from investing</t>
  </si>
  <si>
    <t>Financing activities</t>
  </si>
  <si>
    <t xml:space="preserve">   Dividends paid</t>
  </si>
  <si>
    <t>$0.295/share × shares outstanding at 30-Jun-26 (record date in quarter).</t>
  </si>
  <si>
    <t xml:space="preserve">   Stock repurchase program</t>
  </si>
  <si>
    <t>Linked to Share Count buyback assumption.</t>
  </si>
  <si>
    <t xml:space="preserve">   Proceeds from employee stock purchase plan and option exercises</t>
  </si>
  <si>
    <t>ESPP issuance in 1Q and 3Q (3Q25: $117m).</t>
  </si>
  <si>
    <t xml:space="preserve">   Taxes paid on net-settled stock-based compensation</t>
  </si>
  <si>
    <t xml:space="preserve">   Long-term debt issued, net of repayments</t>
  </si>
  <si>
    <t>No debt issuance assumed ahead of Kelvion financing.</t>
  </si>
  <si>
    <t xml:space="preserve">   Net change in short-term borrowings</t>
  </si>
  <si>
    <t xml:space="preserve">   Other financing</t>
  </si>
  <si>
    <t>Cash flow from financing</t>
  </si>
  <si>
    <t>Foreign exchange</t>
  </si>
  <si>
    <t xml:space="preserve">   Translation effect on cash</t>
  </si>
  <si>
    <t>Cash reconciliation</t>
  </si>
  <si>
    <t>Net change in cash before translation</t>
  </si>
  <si>
    <t xml:space="preserve">   Cash, beginning of period</t>
  </si>
  <si>
    <t>Cash, end of period</t>
  </si>
  <si>
    <t xml:space="preserve">   Cash per Balance Sheet</t>
  </si>
  <si>
    <t xml:space="preserve">   Check: change in cash ties to Balance Sheet</t>
  </si>
  <si>
    <t xml:space="preserve">   Check: derived quarters + 1H25 = reported FY25 CFO</t>
  </si>
  <si>
    <t>Quarterly cash flows (and prior-year quarters for Y/Y) are derived from reported YTD statements on Inputs §D; Y/Y shown as $ change because many lines change sign.</t>
  </si>
  <si>
    <t>Free cash flow (issuer definition) and capital investment</t>
  </si>
  <si>
    <t>Capital investment (capex + APS + exploration data)</t>
  </si>
  <si>
    <t>Free cash flow (CFO − capex − APS − exploration data)</t>
  </si>
  <si>
    <t xml:space="preserve">   FCF conversion (FCF / net income attributable to SLB)</t>
  </si>
  <si>
    <t xml:space="preserve">   Capital investment % of revenue</t>
  </si>
  <si>
    <t xml:space="preserve">   Shareholder returns (dividends + buybacks)</t>
  </si>
  <si>
    <t xml:space="preserve">   CFO as reported in quarterly earnings releases (memo; 1Q26/FY25 = reported YTD on Inputs)</t>
  </si>
  <si>
    <t xml:space="preserve">        Derived − reported</t>
  </si>
  <si>
    <t xml:space="preserve">   Net income (incl. noncontrolling interests) — prior year</t>
  </si>
  <si>
    <t xml:space="preserve">   Impairments, inventory FV amortization and gains (non-cash) — prior year</t>
  </si>
  <si>
    <t xml:space="preserve">   Stock-based compensation — prior year</t>
  </si>
  <si>
    <t xml:space="preserve">   Equity-method earnings less dividends received — prior year</t>
  </si>
  <si>
    <t xml:space="preserve">   Change in receivables — prior year</t>
  </si>
  <si>
    <t xml:space="preserve">   Change in inventories — prior year</t>
  </si>
  <si>
    <t xml:space="preserve">   Change in other current assets — prior year</t>
  </si>
  <si>
    <t xml:space="preserve">   Change in other assets — prior year</t>
  </si>
  <si>
    <t xml:space="preserve">   Change in accounts payable and accrued liabilities — prior year</t>
  </si>
  <si>
    <t xml:space="preserve">   Change in estimated liability for taxes on income — prior year</t>
  </si>
  <si>
    <t xml:space="preserve">   Change in other liabilities — prior year</t>
  </si>
  <si>
    <t xml:space="preserve">   Other operating items — prior year</t>
  </si>
  <si>
    <t xml:space="preserve">   Cash flow from operations — prior year</t>
  </si>
  <si>
    <t xml:space="preserve">   Capital expenditures — prior year</t>
  </si>
  <si>
    <t xml:space="preserve">   APS investments — prior year</t>
  </si>
  <si>
    <t xml:space="preserve">   Exploration data costs capitalized — prior year</t>
  </si>
  <si>
    <t xml:space="preserve">   Business acquisitions, net of cash acquired (incl. ChampionX cash acquired) — prior year</t>
  </si>
  <si>
    <t xml:space="preserve">   Proceeds from divestitures (APS project, ChampionX Drilling Technologies) — prior year</t>
  </si>
  <si>
    <t xml:space="preserve">   (Purchase) sale of short-term investments, net — prior year</t>
  </si>
  <si>
    <t xml:space="preserve">   Blue Chip Swap securities, net — prior year</t>
  </si>
  <si>
    <t xml:space="preserve">   Other investing — prior year</t>
  </si>
  <si>
    <t xml:space="preserve">   Cash flow from investing — prior year</t>
  </si>
  <si>
    <t xml:space="preserve">   Dividends paid — prior year</t>
  </si>
  <si>
    <t xml:space="preserve">   Stock repurchase program — prior year</t>
  </si>
  <si>
    <t xml:space="preserve">   Proceeds from employee stock purchase plan and option exercises — prior year</t>
  </si>
  <si>
    <t xml:space="preserve">   Taxes paid on net-settled stock-based compensation — prior year</t>
  </si>
  <si>
    <t xml:space="preserve">   Long-term debt issued, net of repayments — prior year</t>
  </si>
  <si>
    <t xml:space="preserve">   Net change in short-term borrowings — prior year</t>
  </si>
  <si>
    <t xml:space="preserve">   Other financing — prior year</t>
  </si>
  <si>
    <t xml:space="preserve">   Cash flow from financing — prior year</t>
  </si>
  <si>
    <t xml:space="preserve">   Translation effect on cash — prior year</t>
  </si>
  <si>
    <t xml:space="preserve">   Capital investment — prior year</t>
  </si>
  <si>
    <t xml:space="preserve">   Free cash flow — prior year</t>
  </si>
  <si>
    <t xml:space="preserve">   FCF conversion — prior year</t>
  </si>
  <si>
    <t xml:space="preserve">   Capital investment % of revenue — prior year</t>
  </si>
  <si>
    <t xml:space="preserve">   Shareholder returns — prior year</t>
  </si>
  <si>
    <t>Geo — revenue by geographic area</t>
  </si>
  <si>
    <t>ChampionX revenue contribution by area (feeds the growth decomposition below)</t>
  </si>
  <si>
    <t xml:space="preserve">   ChampionX revenue — North America</t>
  </si>
  <si>
    <t>3Q26E ~flat vs 2Q26.</t>
  </si>
  <si>
    <t xml:space="preserve">   ChampionX revenue — International</t>
  </si>
  <si>
    <t xml:space="preserve">   ChampionX revenue — other / eliminations (derived)</t>
  </si>
  <si>
    <t>Revenue by area — as reported</t>
  </si>
  <si>
    <t>Production chemicals/artificial lift/valves in U.S. land, DCS growth, Canada post-breakup.</t>
  </si>
  <si>
    <t xml:space="preserve">      % Q/Q</t>
  </si>
  <si>
    <t xml:space="preserve">      Growth ex-ChampionX, FX-inclusive (issuer "excluding acquisition" basis)</t>
  </si>
  <si>
    <t xml:space="preserve">      M&amp;A / scope impact (ChampionX)</t>
  </si>
  <si>
    <t xml:space="preserve">      Organic growth (ex M&amp;A, ex FX) = (1+Y/Y)/((1+M&amp;A)×(1+FX))−1</t>
  </si>
  <si>
    <t xml:space="preserve">   Latin America</t>
  </si>
  <si>
    <t>Offshore Brazil/Guyana/Mexico momentum after +12% q/q in 2Q26 (OneSubsea, digital exploration).</t>
  </si>
  <si>
    <t xml:space="preserve">   Europe &amp; Africa (incl. Russia and Caspian)</t>
  </si>
  <si>
    <t>Africa deepwater FIDs; Scandinavia OneSubsea.</t>
  </si>
  <si>
    <t xml:space="preserve">   Middle East &amp; Asia</t>
  </si>
  <si>
    <t>3Q26E = total revenue (Division build) less other areas: geography sums to total by construction; implied Middle East shown below.</t>
  </si>
  <si>
    <t>Held near recent run-rate.</t>
  </si>
  <si>
    <t xml:space="preserve">   Check: areas sum to total revenue (Revenue summary)</t>
  </si>
  <si>
    <t>International (Latin America + Europe &amp; Africa + Middle East &amp; Asia)</t>
  </si>
  <si>
    <t>Middle East vs Asia (management commentary)</t>
  </si>
  <si>
    <t xml:space="preserve">   Middle East revenue change q/q (disclosed)</t>
  </si>
  <si>
    <t xml:space="preserve">   Middle East revenue</t>
  </si>
  <si>
    <t>1Q26 derived from the 2Q26 decline (−13%). 3Q26E = Middle East &amp; Asia less Asia. Guide base case ≈ +$150m q/q (S7).</t>
  </si>
  <si>
    <t xml:space="preserve">        % Y/Y</t>
  </si>
  <si>
    <t>Prior-year Middle East revenue not disclosed in window releases.</t>
  </si>
  <si>
    <t xml:space="preserve">   Asia revenue (derived)</t>
  </si>
  <si>
    <t xml:space="preserve">        Asia sequential growth (driver)</t>
  </si>
  <si>
    <t>2Q26 derived +17% matches the disclosed +17% Asia growth (check of the derivation). 3Q26E +3%.</t>
  </si>
  <si>
    <t>Prior-year Asia revenue not disclosed in window releases.</t>
  </si>
  <si>
    <t xml:space="preserve">   Middle East % of Middle East &amp; Asia</t>
  </si>
  <si>
    <t>SLB: ~65% in 2Q26.</t>
  </si>
  <si>
    <t xml:space="preserve">   Implied Middle East q/q change vs management base case ($m)</t>
  </si>
  <si>
    <t>Base case ≈ +$150m q/q (downside scenario: flat ME = −$150m revenue, −$75m EBITDA; Guidance tab). Negative = shortfall vs guided pace.</t>
  </si>
  <si>
    <t>Pro forma revenue by area (ChampionX owned from 1-Jan-2025; constant-scope growth)</t>
  </si>
  <si>
    <t>3Q26E equals reported (ChampionX in both periods).</t>
  </si>
  <si>
    <t xml:space="preserve">      % Y/Y (constant scope)</t>
  </si>
  <si>
    <t xml:space="preserve">   Europe &amp; Africa</t>
  </si>
  <si>
    <t>Total pro forma revenue</t>
  </si>
  <si>
    <t xml:space="preserve">   % Y/Y (constant scope)</t>
  </si>
  <si>
    <t xml:space="preserve">   ChampionX revenue — North America — prior year</t>
  </si>
  <si>
    <t xml:space="preserve">   ChampionX revenue — International — prior year</t>
  </si>
  <si>
    <t xml:space="preserve">   Latin America — prior year</t>
  </si>
  <si>
    <t xml:space="preserve">   Europe &amp; Africa (incl. Russia and Caspian) — prior year</t>
  </si>
  <si>
    <t xml:space="preserve">   Middle East &amp; Asia — prior year</t>
  </si>
  <si>
    <t xml:space="preserve">   Europe &amp; Africa — prior year</t>
  </si>
  <si>
    <t xml:space="preserve">   Total pro forma revenue — prior year</t>
  </si>
  <si>
    <t>Share Count</t>
  </si>
  <si>
    <t>Shares outstanding roll-forward (millions)</t>
  </si>
  <si>
    <t xml:space="preserve">   Shares outstanding — opening</t>
  </si>
  <si>
    <t xml:space="preserve">   Shares issued to ChampionX holders</t>
  </si>
  <si>
    <t xml:space="preserve">   Employee stock purchase plan</t>
  </si>
  <si>
    <t>ESPP issues in 1Q and 3Q (3Q25: 4m). FY25 split not disclosed in window releases.</t>
  </si>
  <si>
    <t xml:space="preserve">   Shares issued to optionees, less shares exchanged</t>
  </si>
  <si>
    <t xml:space="preserve">   Vesting of restricted stock</t>
  </si>
  <si>
    <t xml:space="preserve">   Stock repurchase program (shares)</t>
  </si>
  <si>
    <t xml:space="preserve">   Other issuance, net (FY: derived residual)</t>
  </si>
  <si>
    <t>FY25 ESPP/options/RSU split not tabulated in window filings; residual = closing − opening − ChampionX − buybacks.</t>
  </si>
  <si>
    <t>Shares outstanding — closing</t>
  </si>
  <si>
    <t xml:space="preserve">   Shares outstanding as reported (memo)</t>
  </si>
  <si>
    <t xml:space="preserve">   Check: roll-forward = reported</t>
  </si>
  <si>
    <t xml:space="preserve">        Δ Q/Q (m)</t>
  </si>
  <si>
    <t xml:space="preserve">        Δ Y/Y (m)</t>
  </si>
  <si>
    <t>Prior-year closing shares available for Dec-24 (FY25 opening) and Jun-25 (3Q25 opening); Sep-24 and Mar-25 counts are not in the window filings.</t>
  </si>
  <si>
    <t>Buybacks</t>
  </si>
  <si>
    <t xml:space="preserve">   Stock repurchases ($m)</t>
  </si>
  <si>
    <t>FY26 minimum $2.4bn (S7); 1H26 $1,099m → ~$650m/qtr in 2H26.</t>
  </si>
  <si>
    <t xml:space="preserve">   Average repurchase price ($/share)</t>
  </si>
  <si>
    <t>3Q26E uses CapIQ last close ($49.50) as the average price. Historic averages use rounded share counts.</t>
  </si>
  <si>
    <t xml:space="preserve">        Δ Q/Q buyback ($m)</t>
  </si>
  <si>
    <t xml:space="preserve">        Δ Y/Y buyback ($m)</t>
  </si>
  <si>
    <t xml:space="preserve">        Δ Q/Q ($/share)</t>
  </si>
  <si>
    <t>4Q25 had no repurchases; 3Q25 average uses a rounded 3m-share count.</t>
  </si>
  <si>
    <t xml:space="preserve">   Dividend per share declared ($)</t>
  </si>
  <si>
    <t>3Q25 Q/Q n/a: 2Q25 DPS not tabulated in the window releases.</t>
  </si>
  <si>
    <t xml:space="preserve">        Δ Y/Y ($/share)</t>
  </si>
  <si>
    <t>2024–1H25 quarterly DPS not tabulated in window releases.</t>
  </si>
  <si>
    <t xml:space="preserve">   Dividends declared in quarter ($m) = DPS × closing shares</t>
  </si>
  <si>
    <t>Feeds Balance Sheet retained earnings and dividends payable (3Q26E).</t>
  </si>
  <si>
    <t>Weighted-average shares (millions)</t>
  </si>
  <si>
    <t xml:space="preserve">   Weighting of in-quarter share changes (mid-quarter convention)</t>
  </si>
  <si>
    <t>Assumes buybacks and issuance accrue evenly through the quarter.</t>
  </si>
  <si>
    <t xml:space="preserve">   Weighted-average shares — basic</t>
  </si>
  <si>
    <t>3Q26E: mid-quarter convention on the roll-forward (opening + ½ × net change).</t>
  </si>
  <si>
    <t xml:space="preserve">      Basic shares — Δ Q/Q (m)</t>
  </si>
  <si>
    <t xml:space="preserve">   Unvested restricted stock (dilutive)</t>
  </si>
  <si>
    <t>Prior-year RSU/option split not disclosed in window releases (total dilution Y/Y is in the diluted-share Δ row).</t>
  </si>
  <si>
    <t xml:space="preserve">   Assumed exercise of stock options (dilutive)</t>
  </si>
  <si>
    <t>Prior-year RSU/option split not disclosed in window releases.</t>
  </si>
  <si>
    <t>Weighted-average shares — diluted (used for EPS)</t>
  </si>
  <si>
    <t xml:space="preserve">   Diluted shares as reported (memo)</t>
  </si>
  <si>
    <t xml:space="preserve">   Check: diluted build = reported</t>
  </si>
  <si>
    <t xml:space="preserve">   Dilution (diluted / basic − 1)</t>
  </si>
  <si>
    <t xml:space="preserve">        Δ Q/Q (bp)</t>
  </si>
  <si>
    <t xml:space="preserve">   Forecast EPS check: NI ex charges / diluted shares</t>
  </si>
  <si>
    <t xml:space="preserve">   Weighted-average shares — basic — prior year</t>
  </si>
  <si>
    <t>Guidance — management guidance history and 3Q26 guidance-implied P&amp;L</t>
  </si>
  <si>
    <t>Reference tab — no period band. Columns follow the guidance-log header in row 10 (date given, period, low, high, midpoint, actual).</t>
  </si>
  <si>
    <t>Guidance log (one row per guidance item)</t>
  </si>
  <si>
    <t>Metric (guidance wording)</t>
  </si>
  <si>
    <t>Date given</t>
  </si>
  <si>
    <t>Midpoint</t>
  </si>
  <si>
    <t>Actual</t>
  </si>
  <si>
    <t>vs midpoint</t>
  </si>
  <si>
    <t>Notes / source</t>
  </si>
  <si>
    <t>2H25 revenue $18.2–18.8bn ($m)</t>
  </si>
  <si>
    <t>2H25</t>
  </si>
  <si>
    <t>2Q25 call (S15). Actual = 3Q25 + 4Q25.</t>
  </si>
  <si>
    <t>2H25 adj. EBITDA margin vs 2Q25 (%-pt change; "flat")</t>
  </si>
  <si>
    <t>2Q25 call (S15): "flat compared to the second quarter" (2Q25 margin 24.0%).</t>
  </si>
  <si>
    <t>4Q25 revenue growth q/q (high single digit; read as +7% to +9%)</t>
  </si>
  <si>
    <t>4Q25</t>
  </si>
  <si>
    <t>3Q25 call (S14). Range is our reading of "high single-digit".</t>
  </si>
  <si>
    <t>4Q25 adj. EBITDA margin change q/q (+50 to +150bp)</t>
  </si>
  <si>
    <t>3Q25 call (S14).</t>
  </si>
  <si>
    <t>1Q26 revenue growth q/q (high single-digit decline; read as −9% to −7%)</t>
  </si>
  <si>
    <t>1Q26</t>
  </si>
  <si>
    <t>4Q25 prepared remarks (S13). Missed: Middle East conflict from 28-Feb-2026.</t>
  </si>
  <si>
    <t>1Q26 adj. EBITDA margin change q/q (−150 to −200bp)</t>
  </si>
  <si>
    <t>4Q25 prepared remarks (S13).</t>
  </si>
  <si>
    <t>FY26 adj. EBITDA $8.6–9.1bn ($m)</t>
  </si>
  <si>
    <t>FY26</t>
  </si>
  <si>
    <t>4Q25 prepared remarks (S13); pre-conflict, not reaffirmed since; FY26 not yet reported.</t>
  </si>
  <si>
    <t>2Q26 Middle East q/q EPS headwind $0.06–0.08 (lower = better)</t>
  </si>
  <si>
    <t>2Q26</t>
  </si>
  <si>
    <t>Below low end</t>
  </si>
  <si>
    <t>Beat</t>
  </si>
  <si>
    <t>1Q26 call (S16). Actual: "slightly below the low end" (2Q26 prepared remarks, S7) → better than guided.</t>
  </si>
  <si>
    <t>2Q26 North America revenue growth q/q (flat)</t>
  </si>
  <si>
    <t>1Q26 prepared remarks (S16).</t>
  </si>
  <si>
    <t>3Q26 revenue growth q/q (+3% to +4%, base case)</t>
  </si>
  <si>
    <t>3Q26</t>
  </si>
  <si>
    <t>2Q26 prepared remarks (S7). Target quarter — not reported.</t>
  </si>
  <si>
    <t>3Q26 revenue implied by the guide ($m)</t>
  </si>
  <si>
    <t>Guide applied to 2Q26 revenue; Shortcut 3Q26E in Revenue summary.</t>
  </si>
  <si>
    <t>3Q26 revenue guidance per Capital IQ ($m, cross-check)</t>
  </si>
  <si>
    <t>CapIQ revenue_guidance_low/high (S2) match the guide.</t>
  </si>
  <si>
    <t>3Q26 adj. EBITDA margin change q/q (+~75bp)</t>
  </si>
  <si>
    <t>2Q26 prepared remarks (S7).</t>
  </si>
  <si>
    <t>3Q26 Core division revenue growth q/q (low-to-mid single digit; read as +1% to +5%)</t>
  </si>
  <si>
    <t>S7. Range is our reading of the wording.</t>
  </si>
  <si>
    <t>3Q26 Digital revenue growth q/q (low single digit; read as +1% to +3%)</t>
  </si>
  <si>
    <t>3Q26 downside scenario (flat Middle East): revenue vs base ($m)</t>
  </si>
  <si>
    <t>Scenario</t>
  </si>
  <si>
    <t>S7.</t>
  </si>
  <si>
    <t>3Q26 downside scenario: adj. EBITDA vs base ($m)</t>
  </si>
  <si>
    <t>4Q26 revenue &gt; $10.0bn (preliminary, $m)</t>
  </si>
  <si>
    <t>4Q26</t>
  </si>
  <si>
    <t>Pending</t>
  </si>
  <si>
    <t>S7. Lower bound only.</t>
  </si>
  <si>
    <t>4Q26 adj. EBITDA margin ~24% (preliminary)</t>
  </si>
  <si>
    <t>4Q26 Middle East revenue $2.1–2.2bn ($m)</t>
  </si>
  <si>
    <t>S7 (~95% of 4Q25).</t>
  </si>
  <si>
    <t>FY26 capital investment ~$2.5bn ($m)</t>
  </si>
  <si>
    <t>S6/S7; 1H26 actual $1,153m.</t>
  </si>
  <si>
    <t>FY26 buybacks ≥ $2.4bn ($m)</t>
  </si>
  <si>
    <t>S7; 1H26 $1,099m.</t>
  </si>
  <si>
    <t>FY26 shareholder returns &gt; $4.0bn ($m)</t>
  </si>
  <si>
    <t>Data Center Solutions annualized run-rate exiting 2026 &gt; $1bn ($m)</t>
  </si>
  <si>
    <t>S6/S7; 2Q26 run-rate $744m.</t>
  </si>
  <si>
    <t>Guidance record (quantified items with reported actuals)</t>
  </si>
  <si>
    <t>Beats vs midpoint</t>
  </si>
  <si>
    <t>Misses vs midpoint</t>
  </si>
  <si>
    <t>Read-across</t>
  </si>
  <si>
    <t>Revenue has landed at/above the midpoint except 1Q26 (war shock); EBITDA-margin guidance has landed at or below the midpoint — no margin cushion assumed for 3Q26.</t>
  </si>
  <si>
    <t>3Q26 guidance-implied P&amp;L (Shortcut calculation; below-EBITDA lines from the model)</t>
  </si>
  <si>
    <t>Revenue — guidance midpoint ($m)</t>
  </si>
  <si>
    <t>Adj. EBITDA margin — 2Q26 + ~75bp</t>
  </si>
  <si>
    <t>Implied adjusted EBITDA ($m)</t>
  </si>
  <si>
    <t>less: D&amp;A (model 3Q26E)</t>
  </si>
  <si>
    <t>less: interest expense (model 3Q26E)</t>
  </si>
  <si>
    <t>plus: interest income (model 3Q26E)</t>
  </si>
  <si>
    <t>Implied income before taxes, excl. charges ($m)</t>
  </si>
  <si>
    <t>less: tax at model ETR ex-charges</t>
  </si>
  <si>
    <t>less: noncontrolling interests (model)</t>
  </si>
  <si>
    <t>Implied net income attributable to SLB, excl. charges ($m)</t>
  </si>
  <si>
    <t>Diluted shares (model, m)</t>
  </si>
  <si>
    <t>Implied diluted EPS, excl. charges ($)</t>
  </si>
  <si>
    <t>Sources — publication dates, publishers, URLs/files and what each feeds</t>
  </si>
  <si>
    <t>Reference tab — no period band. Columns follow the source-register header in row 10 (published, publisher, retrieved, etc.).</t>
  </si>
  <si>
    <t>Source register (all publication dates precede the 2026-10-18 21:34 UTC cutoff unless flagged)</t>
  </si>
  <si>
    <t>ID / title</t>
  </si>
  <si>
    <t>Published</t>
  </si>
  <si>
    <t>Publisher</t>
  </si>
  <si>
    <t>Retrieved (UTC)</t>
  </si>
  <si>
    <t>Pre-cutoff</t>
  </si>
  <si>
    <t>Type</t>
  </si>
  <si>
    <t>Used</t>
  </si>
  <si>
    <t>URL or file</t>
  </si>
  <si>
    <t>Feeds (tabs / rows)</t>
  </si>
  <si>
    <t>S1 S&amp;P Capital IQ history export (6 quarters)</t>
  </si>
  <si>
    <t>S&amp;P Capital IQ (attached)</t>
  </si>
  <si>
    <t>attached file</t>
  </si>
  <si>
    <t>Data file</t>
  </si>
  <si>
    <t>SLB_history.csv (sha256 fa469076…a821)</t>
  </si>
  <si>
    <t>Inputs §C; Revenue summary CapIQ tie row; Income Statement EPS tie rows; Cover calibration (b, n)</t>
  </si>
  <si>
    <t>S2 S&amp;P Capital IQ consensus snapshot (FQ3 2026)</t>
  </si>
  <si>
    <t>SLB_consensus.json (sha256 98ab3406…96c1)</t>
  </si>
  <si>
    <t>Inputs §A–B; Cover headline consensus and dispersion; Share Count buyback price (last close); Guidance (CapIQ guidance range cross-check)</t>
  </si>
  <si>
    <t>S3 SLB Announces Third-Quarter 2025 Results (Form 8-K EX-99)</t>
  </si>
  <si>
    <t>SLB / SEC EDGAR</t>
  </si>
  <si>
    <t>2026-10-20T04:20Z</t>
  </si>
  <si>
    <t>Earnings release</t>
  </si>
  <si>
    <t>https://www.sec.gov/Archives/edgar/data/87347/000119312525241946/d83993dex99.htm</t>
  </si>
  <si>
    <t>3Q25A and 3Q24 comparatives: all segment tabs, Income Statement, Geo, Share Count, charges bridge</t>
  </si>
  <si>
    <t>S4 SLB Announces Fourth-Quarter and Full-Year 2025 Results (Form 8-K EX-99)</t>
  </si>
  <si>
    <t>https://www.sec.gov/Archives/edgar/data/87347/000119312526020133/d59412dex99.htm</t>
  </si>
  <si>
    <t>4Q25A, FY25A, 4Q24/FY24 comparatives: all statement and segment tabs</t>
  </si>
  <si>
    <t>S5 SLB Announces First-Quarter 2026 Results (Form 8-K EX-99)</t>
  </si>
  <si>
    <t>https://www.sec.gov/Archives/edgar/data/87347/000119312526174940/d111579dex99.htm</t>
  </si>
  <si>
    <t>1Q26A and 1Q25 comparatives; restated 4Q25 eliminations/corporate EBITDA; DCS and ARR history</t>
  </si>
  <si>
    <t>S6 SLB Announces Second-Quarter 2026 Results (Form 8-K EX-99)</t>
  </si>
  <si>
    <t>2026-10-20T04:16Z</t>
  </si>
  <si>
    <t>https://www.sec.gov/Archives/edgar/data/87347/000119312526315068/d122193dex99.htm</t>
  </si>
  <si>
    <t>2Q26A and 2Q25 comparatives; ChampionX contributions; Middle East commentary; capital investment guide</t>
  </si>
  <si>
    <t>S7 SLB Second-Quarter 2026 Results Prepared Remarks (3Q26 and 4Q26 outlook)</t>
  </si>
  <si>
    <t>SLB investor center</t>
  </si>
  <si>
    <t>Call remarks / guidance</t>
  </si>
  <si>
    <t>https://investorcenter.slb.com/static-files/3aa0dd6e-1dd9-410f-82a3-2df80cf58e75</t>
  </si>
  <si>
    <t>Guidance rows 3Q26/4Q26/FY26; Geo Middle East $1.66bn; segment growth drivers</t>
  </si>
  <si>
    <t>S8 SLB Form 10-Q for 2Q26 (balance sheet R4, cash flow R6)</t>
  </si>
  <si>
    <t>SEC EDGAR</t>
  </si>
  <si>
    <t>2026-10-20T04:27Z</t>
  </si>
  <si>
    <t>10-Q</t>
  </si>
  <si>
    <t>https://www.sec.gov/Archives/edgar/data/87347/000119312526322595/</t>
  </si>
  <si>
    <t>Balance Sheet Jun-26 and Dec-25; Inputs §D 6M26 and 6M25 cash flows</t>
  </si>
  <si>
    <t>S9 SLB Form 10-Q for 1Q26 (balance sheet R4, cash flow R6)</t>
  </si>
  <si>
    <t>2026-10-20T04:28Z</t>
  </si>
  <si>
    <t>https://www.sec.gov/Archives/edgar/data/87347/000119312526190101/</t>
  </si>
  <si>
    <t>Balance Sheet Mar-26; Inputs §D 3M26; 1Q25 CFO/capex comparatives</t>
  </si>
  <si>
    <t>S10 SLB Form 10-Q for 3Q25 (balance sheet R4, cash flow R6)</t>
  </si>
  <si>
    <t>https://www.sec.gov/Archives/edgar/data/87347/000119312525246028/</t>
  </si>
  <si>
    <t>Balance Sheet Sep-25 and Dec-24 comparatives; Inputs §D 9M25</t>
  </si>
  <si>
    <t>S11 SLB Form 10-K for FY2025 (cash flow R6, equity R7)</t>
  </si>
  <si>
    <t>2026-10-20T04:29Z</t>
  </si>
  <si>
    <t>10-K</t>
  </si>
  <si>
    <t>https://www.sec.gov/Archives/edgar/data/87347/000119312526021017/</t>
  </si>
  <si>
    <t>Inputs §D FY25 cash flow; Share Count opening shares Dec-24</t>
  </si>
  <si>
    <t>S12 SLB Announces Date for Third-Quarter 2026 Results Conference Call</t>
  </si>
  <si>
    <t>SLB / Business Wire</t>
  </si>
  <si>
    <t>2026-10-20T04:14Z</t>
  </si>
  <si>
    <t>Press release</t>
  </si>
  <si>
    <t>https://www.slb.com/newsroom/press-release/2026/pr-2026-0928-q3-earnings-call-announcement</t>
  </si>
  <si>
    <t>Cover expected report date (23-Oct-2026, 7:00 a.m. ET)</t>
  </si>
  <si>
    <t>S13 SLB Fourth-Quarter and Full-Year 2025 Prepared Remarks (1Q26/FY26 outlook)</t>
  </si>
  <si>
    <t>2026-10-20T04:33Z</t>
  </si>
  <si>
    <t>https://investorcenter.slb.com/static-files/b47909ec-13c4-4c09-a29b-853b04eb6558</t>
  </si>
  <si>
    <t>Guidance rows 1Q26 revenue/margin, FY26 EBITDA</t>
  </si>
  <si>
    <t>S14 SLB 3Q25 earnings call transcript (4Q25 outlook)</t>
  </si>
  <si>
    <t>Call transcript</t>
  </si>
  <si>
    <t>https://investorcenter.slb.com/static-files/1139ee84-e9dd-4cd2-abb9-cddc095b1c23</t>
  </si>
  <si>
    <t>Guidance rows 4Q25 revenue/margin</t>
  </si>
  <si>
    <t>S15 SLB 2Q25 earnings call transcript (2H25 outlook)</t>
  </si>
  <si>
    <t>https://investorcenter.slb.com/static-files/d1fa7696-b0a7-40bb-a77f-b6ca62def018</t>
  </si>
  <si>
    <t>Guidance rows 2H25 revenue/margin</t>
  </si>
  <si>
    <t>S16 SLB First-Quarter 2026 Prepared Remarks (2Q26 outlook)</t>
  </si>
  <si>
    <t>https://investorcenter.slb.com/static-files/55302a14-51da-4f56-a671-09e64072a3ba</t>
  </si>
  <si>
    <t>Guidance rows 2Q26 Middle East EPS headwind, North America flat</t>
  </si>
  <si>
    <t>S17 SLB Form 8-K: agreement to acquire Kelvion ($3.4bn cash + $0.7bn debt; close 1H27)</t>
  </si>
  <si>
    <t>SEC EDGAR / Stock Titan summary</t>
  </si>
  <si>
    <t>2026-10-20T04:24Z</t>
  </si>
  <si>
    <t>8-K</t>
  </si>
  <si>
    <t>https://www.sec.gov/Archives/edgar/data/87347/000119312526375358/d106278d8k.htm</t>
  </si>
  <si>
    <t>Cash Flow (no 3Q26 acquisition outflow); M&amp;I charge assumption; leverage note</t>
  </si>
  <si>
    <t>S18 Saudi oil supply hits three-decade low after attacks, IEA says (Aug-26 output 6.0–6.24 mb/d)</t>
  </si>
  <si>
    <t>Reuters / Investing.com</t>
  </si>
  <si>
    <t>2026-10-20T04:31Z</t>
  </si>
  <si>
    <t>News / agency data</t>
  </si>
  <si>
    <t>https://www.reuters.com/world/middle-east/saudi-oil-supply-hits-more-than-three-decade-low-after-houthi-attacks-iea-says-2026-09-11/</t>
  </si>
  <si>
    <t>Segment RP/WC international growth haircut; Cover evidence adjustment</t>
  </si>
  <si>
    <t>S19 Saudi Arabia shuts / restarts East-West pipeline after drone attack</t>
  </si>
  <si>
    <t>2026-09-12 / 2026-09-22</t>
  </si>
  <si>
    <t>BBC / Reuters</t>
  </si>
  <si>
    <t>News</t>
  </si>
  <si>
    <t>https://www.reuters.com/business/energy/saudi-arabia-restarts-east-west-oil-pipeline-resume-exports-yanbu-sources-say-2026-09-22/</t>
  </si>
  <si>
    <t>Middle East recovery haircut; Cover evidence adjustment</t>
  </si>
  <si>
    <t>S20 Iraqi production surges on partial export recovery (Aug-26 ≈3.5 mb/d, +0.7 mb/d m/m)</t>
  </si>
  <si>
    <t>Iraq Oil Report</t>
  </si>
  <si>
    <t>2026-10-20T04:22Z</t>
  </si>
  <si>
    <t>News / field data</t>
  </si>
  <si>
    <t>https://www.iraqoilreport.com/news/iraqi-production-surges-on-partial-export-recovery-47982/</t>
  </si>
  <si>
    <t>Middle East recovery offset; Cover evidence adjustment</t>
  </si>
  <si>
    <t>S21 ADES / Arabian Drilling receive resumption notices for all suspended Saudi offshore rigs</t>
  </si>
  <si>
    <t>Drilling Contractor / Arab News</t>
  </si>
  <si>
    <t>https://drillingcontractor.org/ades-resumes-all-suspended-offshore-rigs-in-saudi-arabia-79312</t>
  </si>
  <si>
    <t>Well Construction international growth; Cover evidence adjustment</t>
  </si>
  <si>
    <t>S22 Baker Hughes international rig count, August 2026 (Middle East 503 vs 501 y/y; Iraq 16 vs 62)</t>
  </si>
  <si>
    <t>2026-09 (OGJ)</t>
  </si>
  <si>
    <t>Baker Hughes via Oil &amp; Gas Journal</t>
  </si>
  <si>
    <t>2026-10-20T04:23Z</t>
  </si>
  <si>
    <t>Industry statistics</t>
  </si>
  <si>
    <t>Context</t>
  </si>
  <si>
    <t>https://img.ogj.com/files/base/ebm/ogj/document/2026/09/6aa818bd5277f22c862c106e-international_rig_count.pdf</t>
  </si>
  <si>
    <t>Context for ME activity (Saudi count methodology changed; not used numerically)</t>
  </si>
  <si>
    <t>S23 Earnings Preview: SLB Q3 earnings expected to decline (Zacks; EPS $0.62, rev $9.29bn, −2.19% 30-day revision, ESP −1.45%)</t>
  </si>
  <si>
    <t>Yahoo Finance / Zacks</t>
  </si>
  <si>
    <t>Sell-side style preview</t>
  </si>
  <si>
    <t>https://finance.yahoo.com/markets/stocks/articles/earnings-preview-slb-slb-q3-130008802.html</t>
  </si>
  <si>
    <t>Cover newer consensus row; evidence adjustment</t>
  </si>
  <si>
    <t>S24 Schlumberger (SLB) market cap history: $73.47bn as of 16-Oct-2026</t>
  </si>
  <si>
    <t>finhacker.cz (EDGAR/Yahoo data)</t>
  </si>
  <si>
    <t>2026-10-20T04:32Z</t>
  </si>
  <si>
    <t>Market data</t>
  </si>
  <si>
    <t>https://www.finhacker.cz/en/stocks/schlumberger-market-cap/</t>
  </si>
  <si>
    <t>Cover calibration market cap / size bucket</t>
  </si>
  <si>
    <t>S25 SLB investor-relations profile (S&amp;P 500 member)</t>
  </si>
  <si>
    <t>undated (accessed)</t>
  </si>
  <si>
    <t>Equibles</t>
  </si>
  <si>
    <t>Reference</t>
  </si>
  <si>
    <t>https://equibles.com/stocks/slb/investor-relations</t>
  </si>
  <si>
    <t>Cover calibration S&amp;P 500 membership</t>
  </si>
  <si>
    <t>S26 Analyst price-target changes before cutoff (TD Cowen 1-Jul, BofA 2-Oct, Barclays 14/15-Oct-2026: all trims, ratings kept)</t>
  </si>
  <si>
    <t>2026-07-01 to 2026-10-15</t>
  </si>
  <si>
    <t>Investing.com / Business Insider / TipRanks</t>
  </si>
  <si>
    <t>Sell-side news</t>
  </si>
  <si>
    <t>https://markets.businessinsider.com/news/stocks/slb-price-target-lowered-to-56-from-57-at-bofa-1036594869</t>
  </si>
  <si>
    <t>Cover evidence adjustment (estimate-revision tone)</t>
  </si>
  <si>
    <t>S27 Kpler: Middle Eastern supply recovery postponed to early 2027</t>
  </si>
  <si>
    <t>Kpler</t>
  </si>
  <si>
    <t>Industry analysis</t>
  </si>
  <si>
    <t>https://www.kpler.com/blog/update-middle-eastern-supply-recovery-postponed-to-early-2027</t>
  </si>
  <si>
    <t>Middle East recovery risk (context)</t>
  </si>
  <si>
    <t>S28 Halliburton 3Q26 call date 20-Oct-2026; Baker Hughes 3Q26 release 27-Oct-2026 (no peer 3Q26 results before cutoff)</t>
  </si>
  <si>
    <t>2026-09-15 / 2026-09-28</t>
  </si>
  <si>
    <t>Halliburton / Baker Hughes</t>
  </si>
  <si>
    <t>https://ir.halliburton.com/news-releases/news-release-details/halliburton-third-quarter-2026-earnings-conference-call</t>
  </si>
  <si>
    <t>Confirms no peer read-across available pre-cutoff</t>
  </si>
  <si>
    <t>S29 FactSet S&amp;P 500 earnings season update (5-yr beat average 78%); LSEG Russell 2000 review</t>
  </si>
  <si>
    <t>2026-07-31 / 2023-12</t>
  </si>
  <si>
    <t>FactSet / LSEG (playbook reference)</t>
  </si>
  <si>
    <t>playbook</t>
  </si>
  <si>
    <t>https://insight.factset.com/sp-500-earnings-season-update-july-31-2026</t>
  </si>
  <si>
    <t>Cohort prior context (playbook)</t>
  </si>
  <si>
    <t>S30 Gulf producers find workarounds as Hormuz tensions persist (Kuwait exports ~1 mb/d; Qatar/Kuwait ~70% of pre-war)</t>
  </si>
  <si>
    <t>OilPrice.com</t>
  </si>
  <si>
    <t>https://oilprice.com/Latest-Energy-News/World-News/Gulf-Producers-Find-Workarounds-As-Hormuz-Tensions-Persist.html</t>
  </si>
  <si>
    <t>S31 Earnings Whispers SLB page (consensus $0.62, revenue $9.29bn; report confirmed 23-Oct)</t>
  </si>
  <si>
    <t>pre-cutoff page</t>
  </si>
  <si>
    <t>Earnings Whispers</t>
  </si>
  <si>
    <t>Consensus aggregator</t>
  </si>
  <si>
    <t>https://beta.earningswhispers.com/stocks/SLB</t>
  </si>
  <si>
    <t>Cover newer consensus row</t>
  </si>
  <si>
    <t>S32 SLB Form 10-Q for 3Q24 (balance sheet R4: Sep. 30, 2024)</t>
  </si>
  <si>
    <t>2026-10-20T05:12Z</t>
  </si>
  <si>
    <t>https://www.sec.gov/Archives/edgar/data/87347/000095017024116535/R4.htm</t>
  </si>
  <si>
    <t>Balance Sheet prior-year memo (Sep-24) for Y/Y rows</t>
  </si>
  <si>
    <t>S33 SLB Form 10-Q for 1Q25 (balance sheet R4: Mar. 31, 2025)</t>
  </si>
  <si>
    <t>https://www.sec.gov/Archives/edgar/data/87347/000095017025058413/R4.htm</t>
  </si>
  <si>
    <t>Balance Sheet prior-year memo (Mar-25)</t>
  </si>
  <si>
    <t>S34 SLB Form 10-Q for 2Q25 (balance sheet R4: Jun. 30, 2025; cash flow R6: 6M24)</t>
  </si>
  <si>
    <t>https://www.sec.gov/Archives/edgar/data/87347/000095017025098217/</t>
  </si>
  <si>
    <t>Balance Sheet prior-year memo (Jun-25); Inputs §D 6M24 cash flow</t>
  </si>
  <si>
    <t>Tab coverage</t>
  </si>
  <si>
    <t>All standard tabs carry content; none omitted. Geo is included because SLB discloses four areas plus a Middle East figure (2Q26 release, S6/S7).</t>
  </si>
  <si>
    <t>One Segment tab per reported Division (Digital, Reservoir Performance, Well Construction, Production Systems) plus All Other (APS, Data Center Solutions, Capturi), per the 2Q26 EX-99 (S6).</t>
  </si>
  <si>
    <t>Inputs (last tab) embeds the attached Capital IQ files verbatim and the reported YTD cash-flow statements used to derive quarterly cash flows.</t>
  </si>
  <si>
    <t>No Dates, Consensus or Checks tab: period headers sit on each tab; consensus is on the Cover; check summary is in artifacts/checks.md.</t>
  </si>
  <si>
    <t>Post-cutoff items seen in search snippets but NOT used: Citi and Piper Sandler price-target notes dated 19-Oct-2026; stock-price pages dated 19-Oct-2026. No 3Q26 actual results were encountered.</t>
  </si>
  <si>
    <t>Inputs — attached S&amp;P Capital IQ files (verbatim) and reported YTD cash flows</t>
  </si>
  <si>
    <t>Reference tab — no period band. Columns follow each table's own header row (e.g. §C history fields, §D YTD periods 6M25…3M25).</t>
  </si>
  <si>
    <t>A. S&amp;P Capital IQ consensus snapshot — SLB_consensus.json (top-level fields, verbatim)</t>
  </si>
  <si>
    <t>Field</t>
  </si>
  <si>
    <t>Value</t>
  </si>
  <si>
    <t>source</t>
  </si>
  <si>
    <t>S&amp;P Capital IQ</t>
  </si>
  <si>
    <t>ticker</t>
  </si>
  <si>
    <t>SLB</t>
  </si>
  <si>
    <t>company</t>
  </si>
  <si>
    <t>SLB N.V.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</si>
  <si>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</si>
  <si>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</si>
  <si>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</si>
  <si>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</si>
  <si>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</si>
  <si>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</si>
  <si>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</si>
  <si>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</si>
  <si>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</si>
  <si>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</si>
  <si>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</si>
  <si>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</si>
  <si>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</si>
  <si>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</si>
  <si>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</si>
  <si>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</si>
  <si>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</si>
  <si>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</si>
  <si>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</si>
  <si>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</si>
  <si>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</si>
  <si>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</si>
  <si>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target_manifest.ticker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</si>
  <si>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</si>
  <si>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</si>
  <si>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target_manifest.policy</t>
  </si>
  <si>
    <t>Track applicable disclosed lines; record unavailable/not applicable with a reason. Only normalized EPS is scored.</t>
  </si>
  <si>
    <t>target_manifest.currency_units</t>
  </si>
  <si>
    <t>USD; financial amounts in millions</t>
  </si>
  <si>
    <t>target_manifest.period</t>
  </si>
  <si>
    <t>B. Capital IQ summary row — SLB_consensus.json summary_row (complete; blank source values left blank)</t>
  </si>
  <si>
    <t>company_name</t>
  </si>
  <si>
    <t>exchange_ticker</t>
  </si>
  <si>
    <t>NYSE:SLB</t>
  </si>
  <si>
    <t>capiq_company_id</t>
  </si>
  <si>
    <t>currency_basis</t>
  </si>
  <si>
    <t>fiscal_year_end</t>
  </si>
  <si>
    <t>Dec-31</t>
  </si>
  <si>
    <t>fiscal_quarter</t>
  </si>
  <si>
    <t>quarter_end_date</t>
  </si>
  <si>
    <t>expected_report_date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</si>
  <si>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</si>
  <si>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</si>
  <si>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</si>
  <si>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</si>
  <si>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</si>
  <si>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</si>
  <si>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</si>
  <si>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</si>
  <si>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</si>
  <si>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</si>
  <si>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</si>
  <si>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</si>
  <si>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</si>
  <si>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</si>
  <si>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</si>
  <si>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</si>
  <si>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</si>
  <si>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</si>
  <si>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</si>
  <si>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</si>
  <si>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</si>
  <si>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</si>
  <si>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</si>
  <si>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</si>
  <si>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</si>
  <si>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</si>
  <si>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</si>
  <si>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</si>
  <si>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</si>
  <si>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</si>
  <si>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</si>
  <si>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</si>
  <si>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</si>
  <si>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</si>
  <si>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</si>
  <si>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</si>
  <si>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</si>
  <si>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</si>
  <si>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</si>
  <si>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</si>
  <si>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</si>
  <si>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</si>
  <si>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</si>
  <si>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</si>
  <si>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</si>
  <si>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</si>
  <si>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</si>
  <si>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</si>
  <si>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</si>
  <si>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</si>
  <si>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</si>
  <si>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</si>
  <si>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</si>
  <si>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</si>
  <si>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</si>
  <si>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</si>
  <si>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</si>
  <si>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</si>
  <si>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60.46/31.64</t>
  </si>
  <si>
    <t>estimates_captured_at</t>
  </si>
  <si>
    <t>notes</t>
  </si>
  <si>
    <t>CapIQ carries the company as SLB N.V. (redomiciled); the per-share level steps down from Dec-2025 to Mar-2026 on both consensus and actual, so the two halves of the history are on a consistent basis but reflect a changed earnings run-rate</t>
  </si>
  <si>
    <t>C. Capital IQ history — SLB_history.csv (all six rows, verbatim) with derived surprise columns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</si>
  <si>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</si>
  <si>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</si>
  <si>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</si>
  <si>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</si>
  <si>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</si>
  <si>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</si>
  <si>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</si>
  <si>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norm. EPS surprise ($)</t>
  </si>
  <si>
    <t>strict beat (actual &gt; consensus)</t>
  </si>
  <si>
    <t>GAAP EPS surprise ($)</t>
  </si>
  <si>
    <t>revenue surprise ($m)</t>
  </si>
  <si>
    <t>revenue surprise (%)</t>
  </si>
  <si>
    <t>Strict normalized-EPS beats (b)</t>
  </si>
  <si>
    <t>Valid actual/consensus pairs (n)</t>
  </si>
  <si>
    <t>Mean normalized EPS surprise ($/share)</t>
  </si>
  <si>
    <t>Mean surprise, last four quarters ($/share)</t>
  </si>
  <si>
    <t>Revenue beats (actual &gt; consensus)</t>
  </si>
  <si>
    <t>D. Reported year-to-date cash flow statements (10-Q / 10-K, $m) — quarterly Cash Flow Statement is derived from these</t>
  </si>
  <si>
    <t>Line item</t>
  </si>
  <si>
    <t>6M25 (2Q26 10-Q comp.)</t>
  </si>
  <si>
    <t>9M25 (3Q25 10-Q)</t>
  </si>
  <si>
    <t>FY25 (FY25 10-K)</t>
  </si>
  <si>
    <t>3M26 (1Q26 10-Q)</t>
  </si>
  <si>
    <t>6M26 (2Q26 10-Q)</t>
  </si>
  <si>
    <t>6M24 (2Q25 10-Q comp.)</t>
  </si>
  <si>
    <t>9M24 (3Q25 10-Q comp.)</t>
  </si>
  <si>
    <t>FY24 (FY25 10-K comp.)</t>
  </si>
  <si>
    <t>3M25 (1Q26 10-Q comp.)</t>
  </si>
  <si>
    <t>Net income (incl. noncontrolling interests)</t>
  </si>
  <si>
    <t>Impairments, inventory FV amortization and gains (non-cash)</t>
  </si>
  <si>
    <t>Deferred taxes</t>
  </si>
  <si>
    <t>Stock-based compensation</t>
  </si>
  <si>
    <t>Equity-method earnings less dividends received</t>
  </si>
  <si>
    <t>Change in receivables</t>
  </si>
  <si>
    <t>Change in inventories</t>
  </si>
  <si>
    <t>Change in other current assets</t>
  </si>
  <si>
    <t>Change in other assets</t>
  </si>
  <si>
    <t>Change in accounts payable and accrued liabilities</t>
  </si>
  <si>
    <t>Change in estimated liability for taxes on income</t>
  </si>
  <si>
    <t>Change in other liabilities</t>
  </si>
  <si>
    <t>Other operating items</t>
  </si>
  <si>
    <t>Capital expenditures</t>
  </si>
  <si>
    <t>APS investments</t>
  </si>
  <si>
    <t>Exploration data costs capitalized</t>
  </si>
  <si>
    <t>Business acquisitions, net of cash acquired (incl. ChampionX cash acquired)</t>
  </si>
  <si>
    <t>Proceeds from divestitures (APS project, ChampionX Drilling Technologies)</t>
  </si>
  <si>
    <t>(Purchase) sale of short-term investments, net</t>
  </si>
  <si>
    <t>Blue Chip Swap securities, net</t>
  </si>
  <si>
    <t>Other investing</t>
  </si>
  <si>
    <t>Dividends paid</t>
  </si>
  <si>
    <t>Stock repurchase program</t>
  </si>
  <si>
    <t>Proceeds from employee stock purchase plan and option exercises</t>
  </si>
  <si>
    <t>Taxes paid on net-settled stock-based compensation</t>
  </si>
  <si>
    <t>Long-term debt issued, net of repayments</t>
  </si>
  <si>
    <t>Net change in short-term borrowings</t>
  </si>
  <si>
    <t>Other financing</t>
  </si>
  <si>
    <t>Translation effect on cash</t>
  </si>
  <si>
    <t>Net cash provided by operating activities (reported)</t>
  </si>
  <si>
    <t>Net cash used in / provided by investing activities (reported)</t>
  </si>
  <si>
    <t>Net cash used in financing activities (reported)</t>
  </si>
  <si>
    <t>Cash, beginning of period (reported)</t>
  </si>
  <si>
    <t>Cash, end of period (reported)</t>
  </si>
  <si>
    <t>Check: YTD operating lines sum to reported CFO (each column)</t>
  </si>
  <si>
    <t>Check: YTD investing lines sum to reported CFI</t>
  </si>
  <si>
    <t>Check: YTD financing lines sum to reported CFF</t>
  </si>
  <si>
    <t>Check: beginning + CFO + CFI + CFF + FX = ending cash</t>
  </si>
</sst>
</file>

<file path=xl/styles.xml><?xml version="1.0" encoding="utf-8"?>
<styleSheet xmlns="http://schemas.openxmlformats.org/spreadsheetml/2006/main">
  <numFmts count="16">
    <numFmt numFmtId="164" formatCode="yyyy-mm-dd"/>
    <numFmt numFmtId="165" formatCode="$0.00_);($0.00);&quot;–&quot;_)"/>
    <numFmt numFmtId="166" formatCode="#,##0.0_);(#,##0.0);&quot;–&quot;_)"/>
    <numFmt numFmtId="167" formatCode="0"/>
    <numFmt numFmtId="168" formatCode="0.0%_);(0.0%);&quot;–&quot;_)"/>
    <numFmt numFmtId="169" formatCode="dd-mmm-yy"/>
    <numFmt numFmtId="170" formatCode="0.00%_);(0.00%);&quot;–&quot;_)"/>
    <numFmt numFmtId="171" formatCode="General"/>
    <numFmt numFmtId="172" formatCode="#,##0&quot;bp&quot;_);(#,##0&quot;bp&quot;);&quot;–&quot;_)"/>
    <numFmt numFmtId="173" formatCode="#,##0.00"/>
    <numFmt numFmtId="174" formatCode="$0.000_);($0.000)"/>
    <numFmt numFmtId="175" formatCode="@"/>
    <numFmt numFmtId="176" formatCode="0.0_);(0.0);&quot;–&quot;_)"/>
    <numFmt numFmtId="177" formatCode="0.0&quot;x&quot;"/>
    <numFmt numFmtId="178" formatCode="0_);(0);&quot;–&quot;_)"/>
    <numFmt numFmtId="179" formatCode="0.00"/>
  </numFmts>
  <fonts count="19">
    <font>
      <sz val="11"/>
      <name val="Calibri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/>
      <i val="0"/>
      <strike val="0"/>
      <sz val="11"/>
      <color rgb="FF000000"/>
      <name val="Arial"/>
    </font>
    <font>
      <b val="0"/>
      <i/>
      <strike val="0"/>
      <sz val="10"/>
      <color rgb="FF006100"/>
      <name val="Arial"/>
    </font>
    <font>
      <b/>
      <i val="0"/>
      <strike val="0"/>
      <u/>
      <sz val="10"/>
      <color rgb="FF000000"/>
      <name val="Arial"/>
    </font>
    <font>
      <b/>
      <i val="0"/>
      <strike val="0"/>
      <sz val="12"/>
      <color rgb="FF000000"/>
      <name val="Arial"/>
    </font>
    <font>
      <b/>
      <i val="0"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00FF"/>
      <name val="Arial"/>
    </font>
    <font>
      <b/>
      <i val="0"/>
      <strike val="0"/>
      <sz val="14"/>
      <color rgb="FF0000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/>
      <i/>
      <strike val="0"/>
      <sz val="10"/>
      <color rgb="FF000000"/>
      <name val="Arial"/>
    </font>
    <font>
      <b val="0"/>
      <i/>
      <strike val="0"/>
      <sz val="10"/>
      <color rgb="FF595959"/>
      <name val="Arial"/>
    </font>
  </fonts>
  <fills count="5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DDEBF7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bottom style="thin">
        <color rgb="FF808080"/>
      </bottom>
    </border>
    <border>
      <top style="thin">
        <color rgb="FF808080"/>
      </top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Fill="1" applyAlignment="1" applyProtection="1">
      <alignment horizontal="general" vertical="top"/>
      <protection locked="1" hidden="0"/>
    </xf>
    <xf numFmtId="164" fontId="2" fillId="0" borderId="0" xfId="0" applyNumberFormat="1" applyFont="1" applyFill="1" applyAlignment="1" applyProtection="1">
      <alignment horizontal="left" vertical="top" wrapText="1"/>
      <protection locked="1" hidden="0"/>
    </xf>
    <xf numFmtId="165" fontId="3" fillId="0" borderId="0" xfId="0" applyNumberFormat="1" applyFont="1" applyFill="1" applyAlignment="1" applyProtection="1">
      <alignment horizontal="right" vertical="top"/>
      <protection locked="1" hidden="0"/>
    </xf>
    <xf numFmtId="0" fontId="1" fillId="0" borderId="0" xfId="0" applyFont="1" applyFill="1" applyAlignment="1" applyProtection="1">
      <alignment horizontal="general" vertical="top" wrapText="1"/>
      <protection locked="1" hidden="0"/>
    </xf>
    <xf numFmtId="166" fontId="4" fillId="0" borderId="0" xfId="0" applyNumberFormat="1" applyFont="1" applyFill="1" applyAlignment="1" applyProtection="1">
      <alignment horizontal="right" vertical="top"/>
      <protection locked="1" hidden="0"/>
    </xf>
    <xf numFmtId="167" fontId="1" fillId="2" borderId="1" xfId="0" applyNumberFormat="1" applyFont="1" applyFill="1" applyBorder="1" applyAlignment="1" applyProtection="1">
      <alignment horizontal="right" vertical="top"/>
      <protection locked="1" hidden="0"/>
    </xf>
    <xf numFmtId="0" fontId="5" fillId="2" borderId="2" xfId="0" applyFont="1" applyFill="1" applyBorder="1" applyAlignment="1" applyProtection="1">
      <alignment horizontal="right" vertical="top"/>
      <protection locked="1" hidden="0"/>
    </xf>
    <xf numFmtId="166" fontId="2" fillId="3" borderId="0" xfId="0" applyNumberFormat="1" applyFont="1" applyFill="1" applyAlignment="1" applyProtection="1">
      <alignment horizontal="right" vertical="top"/>
      <protection locked="1" hidden="0"/>
    </xf>
    <xf numFmtId="166" fontId="2" fillId="0" borderId="0" xfId="0" applyNumberFormat="1" applyFont="1" applyFill="1" applyAlignment="1" applyProtection="1">
      <alignment horizontal="right" vertical="top"/>
      <protection locked="1" hidden="0"/>
    </xf>
    <xf numFmtId="165" fontId="4" fillId="0" borderId="0" xfId="0" applyNumberFormat="1" applyFont="1" applyFill="1" applyAlignment="1" applyProtection="1">
      <alignment horizontal="right" vertical="top"/>
      <protection locked="1" hidden="0"/>
    </xf>
    <xf numFmtId="168" fontId="4" fillId="0" borderId="0" xfId="0" applyNumberFormat="1" applyFont="1" applyFill="1" applyAlignment="1" applyProtection="1">
      <alignment horizontal="right" vertical="top"/>
      <protection locked="1" hidden="0"/>
    </xf>
    <xf numFmtId="0" fontId="1" fillId="2" borderId="1" xfId="0" applyFont="1" applyFill="1" applyBorder="1" applyAlignment="1" applyProtection="1">
      <alignment horizontal="general" vertical="top"/>
      <protection locked="1" hidden="0"/>
    </xf>
    <xf numFmtId="0" fontId="6" fillId="0" borderId="0" xfId="0" applyFont="1" applyFill="1" applyAlignment="1" applyProtection="1">
      <alignment horizontal="left" vertical="top"/>
      <protection locked="1" hidden="0"/>
    </xf>
    <xf numFmtId="0" fontId="5" fillId="4" borderId="1" xfId="0" applyFont="1" applyFill="1" applyBorder="1" applyAlignment="1" applyProtection="1">
      <alignment horizontal="general" vertical="top" wrapText="1"/>
      <protection locked="1" hidden="0"/>
    </xf>
    <xf numFmtId="0" fontId="4" fillId="0" borderId="0" xfId="0" applyFont="1" applyFill="1" applyAlignment="1" applyProtection="1">
      <alignment horizontal="general" vertical="top"/>
      <protection locked="1" hidden="0"/>
    </xf>
    <xf numFmtId="166" fontId="3" fillId="0" borderId="0" xfId="0" applyNumberFormat="1" applyFont="1" applyFill="1" applyAlignment="1" applyProtection="1">
      <alignment horizontal="right" vertical="top"/>
      <protection locked="1" hidden="0"/>
    </xf>
    <xf numFmtId="167" fontId="1" fillId="3" borderId="1" xfId="0" applyNumberFormat="1" applyFont="1" applyFill="1" applyBorder="1" applyAlignment="1" applyProtection="1">
      <alignment horizontal="right" vertical="top"/>
      <protection locked="1" hidden="0"/>
    </xf>
    <xf numFmtId="169" fontId="1" fillId="2" borderId="0" xfId="0" applyNumberFormat="1" applyFont="1" applyFill="1" applyAlignment="1" applyProtection="1">
      <alignment horizontal="right" vertical="top"/>
      <protection locked="1" hidden="0"/>
    </xf>
    <xf numFmtId="165" fontId="4" fillId="3" borderId="0" xfId="0" applyNumberFormat="1" applyFont="1" applyFill="1" applyAlignment="1" applyProtection="1">
      <alignment horizontal="right" vertical="top"/>
      <protection locked="1" hidden="0"/>
    </xf>
    <xf numFmtId="169" fontId="2" fillId="0" borderId="0" xfId="0" applyNumberFormat="1" applyFont="1" applyFill="1" applyAlignment="1" applyProtection="1">
      <alignment horizontal="right" vertical="top"/>
      <protection locked="1" hidden="0"/>
    </xf>
    <xf numFmtId="166" fontId="4" fillId="3" borderId="0" xfId="0" applyNumberFormat="1" applyFont="1" applyFill="1" applyAlignment="1" applyProtection="1">
      <alignment horizontal="right" vertical="top"/>
      <protection locked="1" hidden="0"/>
    </xf>
    <xf numFmtId="166" fontId="1" fillId="0" borderId="0" xfId="0" applyNumberFormat="1" applyFont="1" applyFill="1" applyAlignment="1" applyProtection="1">
      <alignment horizontal="right" vertical="top"/>
      <protection locked="1" hidden="0"/>
    </xf>
    <xf numFmtId="0" fontId="5" fillId="4" borderId="1" xfId="0" applyFont="1" applyFill="1" applyBorder="1" applyAlignment="1" applyProtection="1">
      <alignment horizontal="general" vertical="top"/>
      <protection locked="1" hidden="0"/>
    </xf>
    <xf numFmtId="169" fontId="3" fillId="0" borderId="0" xfId="0" applyNumberFormat="1" applyFont="1" applyFill="1" applyAlignment="1" applyProtection="1">
      <alignment horizontal="right" vertical="top"/>
      <protection locked="1" hidden="0"/>
    </xf>
    <xf numFmtId="168" fontId="1" fillId="0" borderId="0" xfId="0" applyNumberFormat="1" applyFont="1" applyFill="1" applyAlignment="1" applyProtection="1">
      <alignment horizontal="right" vertical="top"/>
      <protection locked="1" hidden="0"/>
    </xf>
    <xf numFmtId="0" fontId="5" fillId="0" borderId="0" xfId="0" applyFont="1" applyFill="1" applyAlignment="1" applyProtection="1">
      <alignment horizontal="general" vertical="top" wrapText="1"/>
      <protection locked="1" hidden="0"/>
    </xf>
    <xf numFmtId="165" fontId="2" fillId="3" borderId="0" xfId="0" applyNumberFormat="1" applyFont="1" applyFill="1" applyAlignment="1" applyProtection="1">
      <alignment horizontal="right" vertical="top"/>
      <protection locked="1" hidden="0"/>
    </xf>
    <xf numFmtId="170" fontId="2" fillId="0" borderId="0" xfId="0" applyNumberFormat="1" applyFont="1" applyFill="1" applyAlignment="1" applyProtection="1">
      <alignment horizontal="right" vertical="top"/>
      <protection locked="1" hidden="0"/>
    </xf>
    <xf numFmtId="166" fontId="5" fillId="0" borderId="2" xfId="0" applyNumberFormat="1" applyFont="1" applyFill="1" applyBorder="1" applyAlignment="1" applyProtection="1">
      <alignment horizontal="right" vertical="top"/>
      <protection locked="1" hidden="0"/>
    </xf>
    <xf numFmtId="168" fontId="2" fillId="0" borderId="0" xfId="0" applyNumberFormat="1" applyFont="1" applyFill="1" applyAlignment="1" applyProtection="1">
      <alignment horizontal="right" vertical="top"/>
      <protection locked="1" hidden="0"/>
    </xf>
    <xf numFmtId="169" fontId="5" fillId="0" borderId="0" xfId="0" applyNumberFormat="1" applyFont="1" applyFill="1" applyAlignment="1" applyProtection="1">
      <alignment horizontal="right" vertical="top"/>
      <protection locked="1" hidden="0"/>
    </xf>
    <xf numFmtId="169" fontId="1" fillId="0" borderId="0" xfId="0" applyNumberFormat="1" applyFont="1" applyFill="1" applyAlignment="1" applyProtection="1">
      <alignment horizontal="right" vertical="top"/>
      <protection locked="1" hidden="0"/>
    </xf>
    <xf numFmtId="0" fontId="7" fillId="0" borderId="0" xfId="0" applyFont="1" applyFill="1" applyAlignment="1" applyProtection="1">
      <alignment horizontal="general" vertical="top"/>
      <protection locked="1" hidden="0"/>
    </xf>
    <xf numFmtId="0" fontId="1" fillId="2" borderId="0" xfId="0" applyFont="1" applyFill="1" applyAlignment="1" applyProtection="1">
      <alignment horizontal="general" vertical="top"/>
      <protection locked="1" hidden="0"/>
    </xf>
    <xf numFmtId="166" fontId="8" fillId="0" borderId="0" xfId="0" applyNumberFormat="1" applyFont="1" applyFill="1" applyAlignment="1" applyProtection="1">
      <alignment horizontal="right" vertical="top"/>
      <protection locked="1" hidden="0"/>
    </xf>
    <xf numFmtId="164" fontId="1" fillId="0" borderId="0" xfId="0" applyNumberFormat="1" applyFont="1" applyFill="1" applyAlignment="1" applyProtection="1">
      <alignment horizontal="left" vertical="top"/>
      <protection locked="1" hidden="0"/>
    </xf>
    <xf numFmtId="166" fontId="1" fillId="3" borderId="0" xfId="0" applyNumberFormat="1" applyFont="1" applyFill="1" applyAlignment="1" applyProtection="1">
      <alignment horizontal="right" vertical="top"/>
      <protection locked="1" hidden="0"/>
    </xf>
    <xf numFmtId="171" fontId="1" fillId="0" borderId="0" xfId="0" applyNumberFormat="1" applyFont="1" applyFill="1" applyAlignment="1" applyProtection="1">
      <alignment horizontal="right" vertical="top"/>
      <protection locked="1" hidden="0"/>
    </xf>
    <xf numFmtId="164" fontId="1" fillId="0" borderId="0" xfId="0" applyNumberFormat="1" applyFont="1" applyFill="1" applyAlignment="1" applyProtection="1">
      <alignment horizontal="left" vertical="top" wrapText="1"/>
      <protection locked="1" hidden="0"/>
    </xf>
    <xf numFmtId="172" fontId="4" fillId="0" borderId="0" xfId="0" applyNumberFormat="1" applyFont="1" applyFill="1" applyAlignment="1" applyProtection="1">
      <alignment horizontal="right" vertical="top"/>
      <protection locked="1" hidden="0"/>
    </xf>
    <xf numFmtId="0" fontId="9" fillId="0" borderId="0" xfId="0" applyFont="1" applyFill="1" applyAlignment="1" applyProtection="1">
      <alignment horizontal="general" vertical="top"/>
      <protection locked="1" hidden="0"/>
    </xf>
    <xf numFmtId="171" fontId="3" fillId="0" borderId="0" xfId="0" applyNumberFormat="1" applyFont="1" applyFill="1" applyAlignment="1" applyProtection="1">
      <alignment horizontal="right" vertical="top"/>
      <protection locked="1" hidden="0"/>
    </xf>
    <xf numFmtId="165" fontId="1" fillId="0" borderId="0" xfId="0" applyNumberFormat="1" applyFont="1" applyFill="1" applyAlignment="1" applyProtection="1">
      <alignment horizontal="right" vertical="top"/>
      <protection locked="1" hidden="0"/>
    </xf>
    <xf numFmtId="165" fontId="2" fillId="0" borderId="0" xfId="0" applyNumberFormat="1" applyFont="1" applyFill="1" applyAlignment="1" applyProtection="1">
      <alignment horizontal="right" vertical="top"/>
      <protection locked="1" hidden="0"/>
    </xf>
    <xf numFmtId="0" fontId="5" fillId="0" borderId="0" xfId="0" applyFont="1" applyFill="1" applyAlignment="1" applyProtection="1">
      <alignment horizontal="general" vertical="top"/>
      <protection locked="1" hidden="0"/>
    </xf>
    <xf numFmtId="0" fontId="5" fillId="2" borderId="2" xfId="0" applyFont="1" applyFill="1" applyBorder="1" applyAlignment="1" applyProtection="1">
      <alignment horizontal="general" vertical="top"/>
      <protection locked="1" hidden="0"/>
    </xf>
    <xf numFmtId="166" fontId="5" fillId="3" borderId="2" xfId="0" applyNumberFormat="1" applyFont="1" applyFill="1" applyBorder="1" applyAlignment="1" applyProtection="1">
      <alignment horizontal="right" vertical="top"/>
      <protection locked="1" hidden="0"/>
    </xf>
    <xf numFmtId="170" fontId="3" fillId="0" borderId="0" xfId="0" applyNumberFormat="1" applyFont="1" applyFill="1" applyAlignment="1" applyProtection="1">
      <alignment horizontal="right" vertical="top"/>
      <protection locked="1" hidden="0"/>
    </xf>
    <xf numFmtId="173" fontId="2" fillId="0" borderId="0" xfId="0" applyNumberFormat="1" applyFont="1" applyFill="1" applyAlignment="1" applyProtection="1">
      <alignment horizontal="right" vertical="top"/>
      <protection locked="1" hidden="0"/>
    </xf>
    <xf numFmtId="168" fontId="4" fillId="3" borderId="0" xfId="0" applyNumberFormat="1" applyFont="1" applyFill="1" applyAlignment="1" applyProtection="1">
      <alignment horizontal="right" vertical="top"/>
      <protection locked="1" hidden="0"/>
    </xf>
    <xf numFmtId="0" fontId="10" fillId="0" borderId="0" xfId="0" applyFont="1" applyFill="1" applyAlignment="1" applyProtection="1">
      <alignment horizontal="general" vertical="top"/>
      <protection locked="1" hidden="0"/>
    </xf>
    <xf numFmtId="171" fontId="2" fillId="0" borderId="0" xfId="0" applyNumberFormat="1" applyFont="1" applyFill="1" applyAlignment="1" applyProtection="1">
      <alignment horizontal="right" vertical="top"/>
      <protection locked="1" hidden="0"/>
    </xf>
    <xf numFmtId="0" fontId="1" fillId="3" borderId="0" xfId="0" applyFont="1" applyFill="1" applyAlignment="1" applyProtection="1">
      <alignment horizontal="general" vertical="top"/>
      <protection locked="1" hidden="0"/>
    </xf>
    <xf numFmtId="174" fontId="3" fillId="0" borderId="0" xfId="0" applyNumberFormat="1" applyFont="1" applyFill="1" applyAlignment="1" applyProtection="1">
      <alignment horizontal="right" vertical="top"/>
      <protection locked="1" hidden="0"/>
    </xf>
    <xf numFmtId="169" fontId="1" fillId="3" borderId="0" xfId="0" applyNumberFormat="1" applyFont="1" applyFill="1" applyAlignment="1" applyProtection="1">
      <alignment horizontal="right" vertical="top"/>
      <protection locked="1" hidden="0"/>
    </xf>
    <xf numFmtId="172" fontId="4" fillId="3" borderId="0" xfId="0" applyNumberFormat="1" applyFont="1" applyFill="1" applyAlignment="1" applyProtection="1">
      <alignment horizontal="right" vertical="top"/>
      <protection locked="1" hidden="0"/>
    </xf>
    <xf numFmtId="0" fontId="4" fillId="0" borderId="0" xfId="0" applyFont="1" applyFill="1" applyAlignment="1" applyProtection="1">
      <alignment horizontal="general" vertical="top" wrapText="1"/>
      <protection locked="1" hidden="0"/>
    </xf>
    <xf numFmtId="0" fontId="5" fillId="3" borderId="2" xfId="0" applyFont="1" applyFill="1" applyBorder="1" applyAlignment="1" applyProtection="1">
      <alignment horizontal="right" vertical="top"/>
      <protection locked="1" hidden="0"/>
    </xf>
    <xf numFmtId="175" fontId="1" fillId="0" borderId="0" xfId="0" applyNumberFormat="1" applyFont="1" applyFill="1" applyAlignment="1" applyProtection="1">
      <alignment horizontal="right" vertical="top"/>
      <protection locked="1" hidden="0"/>
    </xf>
    <xf numFmtId="168" fontId="8" fillId="0" borderId="0" xfId="0" applyNumberFormat="1" applyFont="1" applyFill="1" applyAlignment="1" applyProtection="1">
      <alignment horizontal="right" vertical="top"/>
      <protection locked="1" hidden="0"/>
    </xf>
    <xf numFmtId="170" fontId="1" fillId="0" borderId="0" xfId="0" applyNumberFormat="1" applyFont="1" applyFill="1" applyAlignment="1" applyProtection="1">
      <alignment horizontal="right" vertical="top"/>
      <protection locked="1" hidden="0"/>
    </xf>
    <xf numFmtId="166" fontId="11" fillId="0" borderId="2" xfId="0" applyNumberFormat="1" applyFont="1" applyFill="1" applyBorder="1" applyAlignment="1" applyProtection="1">
      <alignment horizontal="right" vertical="top"/>
      <protection locked="1" hidden="0"/>
    </xf>
    <xf numFmtId="0" fontId="12" fillId="0" borderId="0" xfId="0" applyFont="1" applyFill="1" applyAlignment="1" applyProtection="1">
      <alignment horizontal="general" vertical="top"/>
      <protection locked="1" hidden="0"/>
    </xf>
    <xf numFmtId="168" fontId="3" fillId="0" borderId="0" xfId="0" applyNumberFormat="1" applyFont="1" applyFill="1" applyAlignment="1" applyProtection="1">
      <alignment horizontal="right" vertical="top"/>
      <protection locked="1" hidden="0"/>
    </xf>
    <xf numFmtId="165" fontId="3" fillId="3" borderId="0" xfId="0" applyNumberFormat="1" applyFont="1" applyFill="1" applyAlignment="1" applyProtection="1">
      <alignment horizontal="right" vertical="top"/>
      <protection locked="1" hidden="0"/>
    </xf>
    <xf numFmtId="168" fontId="13" fillId="3" borderId="0" xfId="0" applyNumberFormat="1" applyFont="1" applyFill="1" applyAlignment="1" applyProtection="1">
      <alignment horizontal="right" vertical="top"/>
      <protection locked="1" hidden="0"/>
    </xf>
    <xf numFmtId="174" fontId="1" fillId="0" borderId="0" xfId="0" applyNumberFormat="1" applyFont="1" applyFill="1" applyAlignment="1" applyProtection="1">
      <alignment horizontal="right" vertical="top"/>
      <protection locked="1" hidden="0"/>
    </xf>
    <xf numFmtId="171" fontId="1" fillId="3" borderId="0" xfId="0" applyNumberFormat="1" applyFont="1" applyFill="1" applyAlignment="1" applyProtection="1">
      <alignment horizontal="right" vertical="top"/>
      <protection locked="1" hidden="0"/>
    </xf>
    <xf numFmtId="168" fontId="5" fillId="0" borderId="0" xfId="0" applyNumberFormat="1" applyFont="1" applyFill="1" applyAlignment="1" applyProtection="1">
      <alignment horizontal="right" vertical="top"/>
      <protection locked="1" hidden="0"/>
    </xf>
    <xf numFmtId="168" fontId="8" fillId="3" borderId="0" xfId="0" applyNumberFormat="1" applyFont="1" applyFill="1" applyAlignment="1" applyProtection="1">
      <alignment horizontal="right" vertical="top"/>
      <protection locked="1" hidden="0"/>
    </xf>
    <xf numFmtId="0" fontId="14" fillId="0" borderId="0" xfId="0" applyFont="1" applyFill="1" applyAlignment="1" applyProtection="1">
      <alignment horizontal="general" vertical="center"/>
      <protection locked="1" hidden="0"/>
    </xf>
    <xf numFmtId="175" fontId="4" fillId="0" borderId="0" xfId="0" applyNumberFormat="1" applyFont="1" applyFill="1" applyAlignment="1" applyProtection="1">
      <alignment horizontal="right" vertical="top"/>
      <protection locked="1" hidden="0"/>
    </xf>
    <xf numFmtId="166" fontId="3" fillId="3" borderId="0" xfId="0" applyNumberFormat="1" applyFont="1" applyFill="1" applyAlignment="1" applyProtection="1">
      <alignment horizontal="right" vertical="top"/>
      <protection locked="1" hidden="0"/>
    </xf>
    <xf numFmtId="168" fontId="13" fillId="0" borderId="0" xfId="0" applyNumberFormat="1" applyFont="1" applyFill="1" applyAlignment="1" applyProtection="1">
      <alignment horizontal="right" vertical="top"/>
      <protection locked="1" hidden="0"/>
    </xf>
    <xf numFmtId="171" fontId="3" fillId="3" borderId="0" xfId="0" applyNumberFormat="1" applyFont="1" applyFill="1" applyAlignment="1" applyProtection="1">
      <alignment horizontal="right" vertical="top"/>
      <protection locked="1" hidden="0"/>
    </xf>
    <xf numFmtId="166" fontId="8" fillId="3" borderId="0" xfId="0" applyNumberFormat="1" applyFont="1" applyFill="1" applyAlignment="1" applyProtection="1">
      <alignment horizontal="right" vertical="top"/>
      <protection locked="1" hidden="0"/>
    </xf>
    <xf numFmtId="166" fontId="11" fillId="3" borderId="2" xfId="0" applyNumberFormat="1" applyFont="1" applyFill="1" applyBorder="1" applyAlignment="1" applyProtection="1">
      <alignment horizontal="right" vertical="top"/>
      <protection locked="1" hidden="0"/>
    </xf>
    <xf numFmtId="175" fontId="1" fillId="3" borderId="0" xfId="0" applyNumberFormat="1" applyFont="1" applyFill="1" applyAlignment="1" applyProtection="1">
      <alignment horizontal="right" vertical="top"/>
      <protection locked="1" hidden="0"/>
    </xf>
    <xf numFmtId="175" fontId="4" fillId="3" borderId="0" xfId="0" applyNumberFormat="1" applyFont="1" applyFill="1" applyAlignment="1" applyProtection="1">
      <alignment horizontal="right" vertical="top"/>
      <protection locked="1" hidden="0"/>
    </xf>
    <xf numFmtId="165" fontId="5" fillId="0" borderId="2" xfId="0" applyNumberFormat="1" applyFont="1" applyFill="1" applyBorder="1" applyAlignment="1" applyProtection="1">
      <alignment horizontal="right" vertical="top"/>
      <protection locked="1" hidden="0"/>
    </xf>
    <xf numFmtId="165" fontId="1" fillId="3" borderId="0" xfId="0" applyNumberFormat="1" applyFont="1" applyFill="1" applyAlignment="1" applyProtection="1">
      <alignment horizontal="right" vertical="top"/>
      <protection locked="1" hidden="0"/>
    </xf>
    <xf numFmtId="176" fontId="8" fillId="0" borderId="0" xfId="0" applyNumberFormat="1" applyFont="1" applyFill="1" applyAlignment="1" applyProtection="1">
      <alignment horizontal="right" vertical="top"/>
      <protection locked="1" hidden="0"/>
    </xf>
    <xf numFmtId="176" fontId="4" fillId="3" borderId="0" xfId="0" applyNumberFormat="1" applyFont="1" applyFill="1" applyAlignment="1" applyProtection="1">
      <alignment horizontal="right" vertical="top"/>
      <protection locked="1" hidden="0"/>
    </xf>
    <xf numFmtId="176" fontId="4" fillId="0" borderId="0" xfId="0" applyNumberFormat="1" applyFont="1" applyFill="1" applyAlignment="1" applyProtection="1">
      <alignment horizontal="right" vertical="top"/>
      <protection locked="1" hidden="0"/>
    </xf>
    <xf numFmtId="176" fontId="13" fillId="3" borderId="0" xfId="0" applyNumberFormat="1" applyFont="1" applyFill="1" applyAlignment="1" applyProtection="1">
      <alignment horizontal="right" vertical="top"/>
      <protection locked="1" hidden="0"/>
    </xf>
    <xf numFmtId="166" fontId="12" fillId="0" borderId="2" xfId="0" applyNumberFormat="1" applyFont="1" applyFill="1" applyBorder="1" applyAlignment="1" applyProtection="1">
      <alignment horizontal="right" vertical="top"/>
      <protection locked="1" hidden="0"/>
    </xf>
    <xf numFmtId="177" fontId="4" fillId="3" borderId="0" xfId="0" applyNumberFormat="1" applyFont="1" applyFill="1" applyAlignment="1" applyProtection="1">
      <alignment horizontal="right" vertical="top"/>
      <protection locked="1" hidden="0"/>
    </xf>
    <xf numFmtId="166" fontId="12" fillId="3" borderId="2" xfId="0" applyNumberFormat="1" applyFont="1" applyFill="1" applyBorder="1" applyAlignment="1" applyProtection="1">
      <alignment horizontal="right" vertical="top"/>
      <protection locked="1" hidden="0"/>
    </xf>
    <xf numFmtId="178" fontId="1" fillId="3" borderId="0" xfId="0" applyNumberFormat="1" applyFont="1" applyFill="1" applyAlignment="1" applyProtection="1">
      <alignment horizontal="right" vertical="top"/>
      <protection locked="1" hidden="0"/>
    </xf>
    <xf numFmtId="177" fontId="8" fillId="3" borderId="0" xfId="0" applyNumberFormat="1" applyFont="1" applyFill="1" applyAlignment="1" applyProtection="1">
      <alignment horizontal="right" vertical="top"/>
      <protection locked="1" hidden="0"/>
    </xf>
    <xf numFmtId="177" fontId="4" fillId="0" borderId="0" xfId="0" applyNumberFormat="1" applyFont="1" applyFill="1" applyAlignment="1" applyProtection="1">
      <alignment horizontal="right" vertical="top"/>
      <protection locked="1" hidden="0"/>
    </xf>
    <xf numFmtId="178" fontId="1" fillId="0" borderId="0" xfId="0" applyNumberFormat="1" applyFont="1" applyFill="1" applyAlignment="1" applyProtection="1">
      <alignment horizontal="right" vertical="top"/>
      <protection locked="1" hidden="0"/>
    </xf>
    <xf numFmtId="165" fontId="5" fillId="3" borderId="2" xfId="0" applyNumberFormat="1" applyFont="1" applyFill="1" applyBorder="1" applyAlignment="1" applyProtection="1">
      <alignment horizontal="right" vertical="top"/>
      <protection locked="1" hidden="0"/>
    </xf>
    <xf numFmtId="177" fontId="8" fillId="0" borderId="0" xfId="0" applyNumberFormat="1" applyFont="1" applyFill="1" applyAlignment="1" applyProtection="1">
      <alignment horizontal="right" vertical="top"/>
      <protection locked="1" hidden="0"/>
    </xf>
    <xf numFmtId="166" fontId="11" fillId="0" borderId="0" xfId="0" applyNumberFormat="1" applyFont="1" applyFill="1" applyAlignment="1" applyProtection="1">
      <alignment horizontal="right" vertical="top"/>
      <protection locked="1" hidden="0"/>
    </xf>
    <xf numFmtId="164" fontId="2" fillId="0" borderId="0" xfId="0" applyNumberFormat="1" applyFont="1" applyFill="1" applyAlignment="1" applyProtection="1">
      <alignment horizontal="general" vertical="top"/>
      <protection locked="1" hidden="0"/>
    </xf>
    <xf numFmtId="179" fontId="2" fillId="0" borderId="0" xfId="0" applyNumberFormat="1" applyFont="1" applyFill="1" applyAlignment="1" applyProtection="1">
      <alignment horizontal="right" vertical="top"/>
      <protection locked="1" hidden="0"/>
    </xf>
    <xf numFmtId="164" fontId="1" fillId="0" borderId="0" xfId="0" applyNumberFormat="1" applyFont="1" applyFill="1" applyAlignment="1" applyProtection="1">
      <alignment horizontal="general" vertical="top"/>
      <protection locked="1" hidden="0"/>
    </xf>
    <xf numFmtId="0" fontId="2" fillId="0" borderId="0" xfId="0" applyFont="1" applyFill="1" applyAlignment="1" applyProtection="1">
      <alignment horizontal="general" vertical="top"/>
      <protection locked="1" hidden="0"/>
    </xf>
    <xf numFmtId="164" fontId="2" fillId="0" borderId="0" xfId="0" applyNumberFormat="1" applyFont="1" applyFill="1" applyAlignment="1" applyProtection="1">
      <alignment horizontal="left" vertical="top"/>
      <protection locked="1" hidden="0"/>
    </xf>
    <xf numFmtId="167" fontId="15" fillId="2" borderId="1" xfId="0" applyNumberFormat="1" applyFont="1" applyFill="1" applyBorder="1" applyAlignment="1" applyProtection="1">
      <alignment horizontal="right" vertical="top" textRotation="0" indent="0" readingOrder="0"/>
      <protection locked="1" hidden="0"/>
    </xf>
    <xf numFmtId="171" fontId="16" fillId="2" borderId="2" xfId="0" applyNumberFormat="1" applyFont="1" applyFill="1" applyBorder="1" applyAlignment="1" applyProtection="1">
      <alignment horizontal="right" vertical="top" textRotation="0" indent="0" readingOrder="0"/>
      <protection locked="1" hidden="0"/>
    </xf>
    <xf numFmtId="171" fontId="17" fillId="2" borderId="2" xfId="0" applyNumberFormat="1" applyFont="1" applyFill="1" applyBorder="1" applyAlignment="1" applyProtection="1">
      <alignment horizontal="general" vertical="top" textRotation="0" indent="0" readingOrder="0"/>
      <protection locked="1" hidden="0"/>
    </xf>
    <xf numFmtId="169" fontId="15" fillId="2" borderId="0" xfId="0" applyNumberFormat="1" applyFont="1" applyFill="1" applyAlignment="1" applyProtection="1">
      <alignment horizontal="right" vertical="top" textRotation="0" indent="0" readingOrder="0"/>
      <protection locked="1" hidden="0"/>
    </xf>
    <xf numFmtId="171" fontId="16" fillId="4" borderId="1" xfId="0" applyNumberFormat="1" applyFont="1" applyFill="1" applyBorder="1" applyAlignment="1" applyProtection="1">
      <alignment horizontal="right" vertical="top" textRotation="0" wrapText="1" indent="0" readingOrder="0"/>
      <protection locked="1" hidden="0"/>
    </xf>
    <xf numFmtId="171" fontId="16" fillId="4" borderId="1" xfId="0" applyNumberFormat="1" applyFont="1" applyFill="1" applyBorder="1" applyAlignment="1" applyProtection="1">
      <alignment horizontal="right" vertical="top" textRotation="0" indent="0" readingOrder="0"/>
      <protection locked="1" hidden="0"/>
    </xf>
    <xf numFmtId="171" fontId="18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65" fontId="15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71" fontId="15" fillId="0" borderId="0" xfId="0" applyNumberFormat="1" applyFont="1" applyFill="1" applyAlignment="1" applyProtection="1">
      <alignment horizontal="general" vertical="top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theme" Target="theme/theme1.xml"/><Relationship Id="rId1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171450</xdr:colOff>
      <xdr:row>0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omments" Target="../comments13.xml"/><Relationship Id="rId2" Type="http://schemas.openxmlformats.org/officeDocument/2006/relationships/vmlDrawing" Target="../drawings/vmlDrawing13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comments" Target="../comments14.xml"/><Relationship Id="rId2" Type="http://schemas.openxmlformats.org/officeDocument/2006/relationships/vmlDrawing" Target="../drawings/vmlDrawing14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Views>
    <sheetView showGridLines="0" tabSelected="1" workbookViewId="0"/>
  </sheetViews>
  <sheetFormatPr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 ht="51">
      <c r="A1" s="1"/>
      <c r="B1" s="1"/>
      <c r="C1" s="71" t="s">
        <v>0</v>
      </c>
      <c r="D1" s="1"/>
      <c r="E1" s="1"/>
      <c r="F1" s="1"/>
      <c r="G1" s="1"/>
      <c r="H1" s="1"/>
      <c r="I1" s="1"/>
    </row>
    <row r="2">
      <c r="A2" s="1"/>
      <c r="B2" s="51" t="s">
        <v>1</v>
      </c>
      <c r="C2" s="1"/>
      <c r="D2" s="1"/>
      <c r="E2" s="1"/>
      <c r="F2" s="1"/>
      <c r="G2" s="1"/>
      <c r="H2" s="1"/>
      <c r="I2" s="1"/>
    </row>
    <row r="3">
      <c r="A3" s="1"/>
      <c r="B3" s="33" t="s">
        <v>2</v>
      </c>
      <c r="C3" s="1"/>
      <c r="D3" s="1"/>
      <c r="E3" s="1"/>
      <c r="F3" s="1"/>
      <c r="G3" s="1"/>
      <c r="H3" s="1"/>
      <c r="I3" s="1"/>
    </row>
    <row r="4">
      <c r="A4" s="1"/>
      <c r="B4" s="15" t="s">
        <v>3</v>
      </c>
      <c r="C4" s="1"/>
      <c r="D4" s="1"/>
      <c r="E4" s="1"/>
      <c r="F4" s="1"/>
      <c r="G4" s="1"/>
      <c r="H4" s="1"/>
      <c r="I4" s="1"/>
    </row>
    <row r="5">
      <c r="A5" s="1"/>
      <c r="B5" s="4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58" t="s">
        <v>10</v>
      </c>
      <c r="I5" s="46"/>
    </row>
    <row r="6">
      <c r="A6" s="1"/>
      <c r="B6" s="34" t="s">
        <v>11</v>
      </c>
      <c r="C6" s="18">
        <f>DATE(2025,9,30)</f>
        <v>45930</v>
      </c>
      <c r="D6" s="18">
        <f>DATE(2025,12,31)</f>
        <v>46022</v>
      </c>
      <c r="E6" s="18">
        <f>DATE(2026,3,31)</f>
        <v>46112</v>
      </c>
      <c r="F6" s="18">
        <f>DATE(2026,6,30)</f>
        <v>46203</v>
      </c>
      <c r="G6" s="18">
        <f>DATE(2025,12,31)</f>
        <v>46022</v>
      </c>
      <c r="H6" s="55">
        <f>DATE(2026,9,30)</f>
        <v>46295</v>
      </c>
      <c r="I6" s="34"/>
    </row>
    <row r="7">
      <c r="A7" s="1"/>
      <c r="B7" s="12" t="s">
        <v>12</v>
      </c>
      <c r="C7" s="6">
        <f>C6-EOMONTH(C6,-3)</f>
        <v>92</v>
      </c>
      <c r="D7" s="6">
        <f>D6-EOMONTH(D6,-3)</f>
        <v>92</v>
      </c>
      <c r="E7" s="6">
        <f>E6-EOMONTH(E6,-3)</f>
        <v>90</v>
      </c>
      <c r="F7" s="6">
        <f>F6-EOMONTH(F6,-3)</f>
        <v>91</v>
      </c>
      <c r="G7" s="6">
        <f>G6-EOMONTH(G6,-12)</f>
        <v>365</v>
      </c>
      <c r="H7" s="17">
        <f>H6-EOMONTH(H6,-3)</f>
        <v>92</v>
      </c>
      <c r="I7" s="12"/>
    </row>
    <row r="8">
      <c r="A8" s="1"/>
      <c r="B8" s="1"/>
      <c r="C8" s="1"/>
      <c r="D8" s="1"/>
      <c r="E8" s="1"/>
      <c r="F8" s="1"/>
      <c r="G8" s="1"/>
      <c r="H8" s="1"/>
      <c r="I8" s="1"/>
    </row>
    <row r="9">
      <c r="A9" s="1"/>
      <c r="B9" s="41" t="s">
        <v>13</v>
      </c>
      <c r="C9" s="1"/>
      <c r="D9" s="1"/>
      <c r="E9" s="1"/>
      <c r="F9" s="1"/>
      <c r="G9" s="1"/>
      <c r="H9" s="1"/>
      <c r="I9" s="13"/>
    </row>
    <row r="10">
      <c r="A10" s="1"/>
      <c r="B10" s="1" t="s">
        <v>14</v>
      </c>
      <c r="C10" s="1" t="s">
        <v>15</v>
      </c>
      <c r="D10" s="1"/>
      <c r="E10" s="1"/>
      <c r="F10" s="1"/>
      <c r="G10" s="1"/>
      <c r="H10" s="1"/>
      <c r="I10" s="13"/>
    </row>
    <row r="11">
      <c r="A11" s="1"/>
      <c r="B11" s="1" t="s">
        <v>16</v>
      </c>
      <c r="C11" s="1" t="s">
        <v>17</v>
      </c>
      <c r="D11" s="1"/>
      <c r="E11" s="1"/>
      <c r="F11" s="1"/>
      <c r="G11" s="1"/>
      <c r="H11" s="1"/>
      <c r="I11" s="13"/>
    </row>
    <row r="12">
      <c r="A12" s="1"/>
      <c r="B12" s="1" t="s">
        <v>18</v>
      </c>
      <c r="C12" s="1" t="s">
        <v>19</v>
      </c>
      <c r="D12" s="1"/>
      <c r="E12" s="1"/>
      <c r="F12" s="1"/>
      <c r="G12" s="1"/>
      <c r="H12" s="1"/>
      <c r="I12" s="13"/>
    </row>
    <row r="13">
      <c r="A13" s="1"/>
      <c r="B13" s="1" t="s">
        <v>20</v>
      </c>
      <c r="C13" s="1" t="s">
        <v>21</v>
      </c>
      <c r="D13" s="1"/>
      <c r="E13" s="1"/>
      <c r="F13" s="1"/>
      <c r="G13" s="1"/>
      <c r="H13" s="1"/>
      <c r="I13" s="13"/>
    </row>
    <row r="14">
      <c r="A14" s="1"/>
      <c r="B14" s="1" t="s">
        <v>22</v>
      </c>
      <c r="C14" s="1" t="s">
        <v>23</v>
      </c>
      <c r="D14" s="1"/>
      <c r="E14" s="1"/>
      <c r="F14" s="1"/>
      <c r="G14" s="1"/>
      <c r="H14" s="1"/>
      <c r="I14" s="13"/>
    </row>
    <row r="15">
      <c r="A15" s="1"/>
      <c r="B15" s="1" t="s">
        <v>24</v>
      </c>
      <c r="C15" s="1" t="s">
        <v>25</v>
      </c>
      <c r="D15" s="1"/>
      <c r="E15" s="1"/>
      <c r="F15" s="1"/>
      <c r="G15" s="1"/>
      <c r="H15" s="1"/>
      <c r="I15" s="13"/>
    </row>
    <row r="16">
      <c r="A16" s="1"/>
      <c r="B16" s="1" t="s">
        <v>26</v>
      </c>
      <c r="C16" s="1" t="s">
        <v>27</v>
      </c>
      <c r="D16" s="1"/>
      <c r="E16" s="1"/>
      <c r="F16" s="1"/>
      <c r="G16" s="1"/>
      <c r="H16" s="1"/>
      <c r="I16" s="13"/>
    </row>
    <row r="17">
      <c r="A17" s="1"/>
      <c r="B17" s="1" t="s">
        <v>28</v>
      </c>
      <c r="C17" s="1" t="s">
        <v>29</v>
      </c>
      <c r="D17" s="1"/>
      <c r="E17" s="1"/>
      <c r="F17" s="1"/>
      <c r="G17" s="1"/>
      <c r="H17" s="1"/>
      <c r="I17" s="13"/>
    </row>
    <row r="18">
      <c r="A18" s="1"/>
      <c r="B18" s="1" t="s">
        <v>30</v>
      </c>
      <c r="C18" s="1" t="s">
        <v>31</v>
      </c>
      <c r="D18" s="1"/>
      <c r="E18" s="1"/>
      <c r="F18" s="1"/>
      <c r="G18" s="1"/>
      <c r="H18" s="1"/>
      <c r="I18" s="13"/>
    </row>
    <row r="19">
      <c r="A19" s="1"/>
      <c r="B19" s="1"/>
      <c r="C19" s="1"/>
      <c r="D19" s="1"/>
      <c r="E19" s="1"/>
      <c r="F19" s="1"/>
      <c r="G19" s="1"/>
      <c r="H19" s="1"/>
      <c r="I19" s="13"/>
    </row>
    <row r="20">
      <c r="A20" s="1"/>
      <c r="B20" s="41" t="s">
        <v>32</v>
      </c>
      <c r="C20" s="1"/>
      <c r="D20" s="1"/>
      <c r="E20" s="1"/>
      <c r="F20" s="1"/>
      <c r="G20" s="1"/>
      <c r="H20" s="1"/>
      <c r="I20" s="13"/>
    </row>
    <row r="21" ht="34.5">
      <c r="A21" s="1"/>
      <c r="B21" s="23" t="s">
        <v>33</v>
      </c>
      <c r="C21" s="105" t="s">
        <v>34</v>
      </c>
      <c r="D21" s="105" t="s">
        <v>35</v>
      </c>
      <c r="E21" s="105" t="s">
        <v>36</v>
      </c>
      <c r="F21" s="105" t="s">
        <v>37</v>
      </c>
      <c r="G21" s="105" t="s">
        <v>38</v>
      </c>
      <c r="H21" s="105" t="s">
        <v>39</v>
      </c>
      <c r="I21" s="13"/>
    </row>
    <row r="22">
      <c r="A22" s="1"/>
      <c r="B22" s="1" t="s">
        <v>40</v>
      </c>
      <c r="C22" s="16">
        <f>'Revenue summary'!H63</f>
        <v>9268.006513999999</v>
      </c>
      <c r="D22" s="16">
        <f>Inputs!$C$20</f>
        <v>9266.41</v>
      </c>
      <c r="E22" s="22">
        <f>C22-D22</f>
        <v>1.5965139999989333</v>
      </c>
      <c r="F22" s="25">
        <f>C22/D22-1</f>
        <v>0.00017229045552680233</v>
      </c>
      <c r="G22" s="16">
        <f>Guidance!C42</f>
        <v>9286.02</v>
      </c>
      <c r="H22" s="22">
        <f>IF(ISNUMBER(G22),C22-G22,"n/a")</f>
        <v>-18.01348600000165</v>
      </c>
      <c r="I22" s="13"/>
    </row>
    <row r="23">
      <c r="A23" s="1"/>
      <c r="B23" s="1" t="s">
        <v>41</v>
      </c>
      <c r="C23" s="16">
        <f>'Income Statement'!H164</f>
        <v>2012.0858699999999</v>
      </c>
      <c r="D23" s="16">
        <f>Inputs!$C$77</f>
        <v>2018.56</v>
      </c>
      <c r="E23" s="22">
        <f>C23-D23</f>
        <v>-6.474130000000059</v>
      </c>
      <c r="F23" s="25">
        <f>C23/D23-1</f>
        <v>-0.003207301244451566</v>
      </c>
      <c r="G23" s="16">
        <f>Guidance!C44</f>
        <v>2035.1101500000002</v>
      </c>
      <c r="H23" s="22">
        <f>IF(ISNUMBER(G23),C23-G23,"n/a")</f>
        <v>-23.024280000000317</v>
      </c>
      <c r="I23" s="13"/>
    </row>
    <row r="24" ht="24">
      <c r="A24" s="1"/>
      <c r="B24" s="4" t="s">
        <v>42</v>
      </c>
      <c r="C24" s="16">
        <f>'Income Statement'!H206</f>
        <v>924.6714383899999</v>
      </c>
      <c r="D24" s="16">
        <f>Inputs!$C$81</f>
        <v>934.02</v>
      </c>
      <c r="E24" s="22">
        <f>C24-D24</f>
        <v>-9.348561610000047</v>
      </c>
      <c r="F24" s="25">
        <f>C24/D24-1</f>
        <v>-0.010008952281535755</v>
      </c>
      <c r="G24" s="16">
        <f>Guidance!C51</f>
        <v>943.0217895500001</v>
      </c>
      <c r="H24" s="22">
        <f>IF(ISNUMBER(G24),C24-G24,"n/a")</f>
        <v>-18.350351160000173</v>
      </c>
      <c r="I24" s="13"/>
    </row>
    <row r="25">
      <c r="A25" s="1"/>
      <c r="B25" s="1" t="s">
        <v>43</v>
      </c>
      <c r="C25" s="16">
        <f>'Income Statement'!H83</f>
        <v>871.6714383899999</v>
      </c>
      <c r="D25" s="16">
        <f>Inputs!$C$82</f>
        <v>899.12</v>
      </c>
      <c r="E25" s="22">
        <f>C25-D25</f>
        <v>-27.44856161000007</v>
      </c>
      <c r="F25" s="25">
        <f>C25/D25-1</f>
        <v>-0.030528251634932002</v>
      </c>
      <c r="G25" s="22" t="s">
        <v>44</v>
      </c>
      <c r="H25" s="22" t="str">
        <f>IF(ISNUMBER(G25),C25-G25,"n/a")</f>
        <v>n/a</v>
      </c>
      <c r="I25" s="13"/>
    </row>
    <row r="26" ht="24">
      <c r="A26" s="1"/>
      <c r="B26" s="4" t="s">
        <v>45</v>
      </c>
      <c r="C26" s="3">
        <f>'Income Statement'!H212</f>
        <v>0.618123009507993</v>
      </c>
      <c r="D26" s="3">
        <f>Inputs!$C$18</f>
        <v>0.61</v>
      </c>
      <c r="E26" s="43">
        <f>C26-D26</f>
        <v>0.008123009507993051</v>
      </c>
      <c r="F26" s="25">
        <f>C26/D26-1</f>
        <v>0.013316409029496823</v>
      </c>
      <c r="G26" s="3">
        <f>Guidance!C53</f>
        <v>0.6303898253883422</v>
      </c>
      <c r="H26" s="43">
        <f>IF(ISNUMBER(G26),C26-G26,"n/a")</f>
        <v>-0.012266815880349169</v>
      </c>
      <c r="I26" s="13"/>
    </row>
    <row r="27">
      <c r="A27" s="1"/>
      <c r="B27" s="1" t="s">
        <v>46</v>
      </c>
      <c r="C27" s="3">
        <f>'Income Statement'!H91</f>
        <v>0.5826936470947179</v>
      </c>
      <c r="D27" s="3">
        <f>Inputs!$C$59</f>
        <v>0.61</v>
      </c>
      <c r="E27" s="43">
        <f>C27-D27</f>
        <v>-0.02730635290528205</v>
      </c>
      <c r="F27" s="25">
        <f>C27/D27-1</f>
        <v>-0.04476451295947881</v>
      </c>
      <c r="G27" s="43" t="s">
        <v>44</v>
      </c>
      <c r="H27" s="43" t="str">
        <f>IF(ISNUMBER(G27),C27-G27,"n/a")</f>
        <v>n/a</v>
      </c>
      <c r="I27" s="13"/>
    </row>
    <row r="28" ht="57">
      <c r="A28" s="1"/>
      <c r="B28" s="26" t="s">
        <v>47</v>
      </c>
      <c r="C28" s="63" t="str">
        <f>IF(AND('Revenue summary'!C93:H93,'Balance Sheet'!C104:H104,'Cash Flow Statement'!C118:H118,'Cash Flow Statement'!G119:G119,'Income Statement'!C218:H218,'Income Statement'!C149:H149,'Income Statement'!C171:H171,'Income Statement'!C232:H232,'Income Statement'!C115:H115,Geo!C63:H63,'Share Count'!C19:G19,'Share Count'!C45:G45,'Segment - Digital'!C83:H83,'Segment - Digital'!C55:H55,'Segment - Reservoir Performance'!C47:H47,'Segment - Well Construction'!C47:H47,'Segment - Production Systems'!C47:H47,'Segment - All Other'!C41:H41,Inputs!C157:K157,Inputs!C158:K158,Inputs!C159:K159,Inputs!C160:K160,ROUND(C22-'Revenue summary'!H63,9)=0,ROUND(C26-'Income Statement'!H212,9)=0,ROUND(C24-'Income Statement'!H206,9)=0,ROUND(C23-'Income Statement'!H164,9)=0,ROUND(C25-'Income Statement'!H83,9)=0,ROUND(C27-'Income Statement'!H91,9)=0),"PASS","FAIL")</f>
        <v>PASS</v>
      </c>
      <c r="D28" s="1"/>
      <c r="E28" s="1"/>
      <c r="F28" s="1"/>
      <c r="G28" s="1"/>
      <c r="H28" s="1"/>
      <c r="I28" s="13"/>
    </row>
    <row r="29">
      <c r="A29" s="1"/>
      <c r="B29" s="45" t="s">
        <v>48</v>
      </c>
      <c r="C29" s="69">
        <f>C48</f>
        <v>0.6628571428571428</v>
      </c>
      <c r="D29" s="1"/>
      <c r="E29" s="1"/>
      <c r="F29" s="1"/>
      <c r="G29" s="1"/>
      <c r="H29" s="1"/>
      <c r="I29" s="13"/>
    </row>
    <row r="30">
      <c r="A30" s="1"/>
      <c r="B30" s="45" t="s">
        <v>49</v>
      </c>
      <c r="C30" s="45" t="s">
        <v>50</v>
      </c>
      <c r="D30" s="1"/>
      <c r="E30" s="1"/>
      <c r="F30" s="1"/>
      <c r="G30" s="1"/>
      <c r="H30" s="1"/>
      <c r="I30" s="13"/>
    </row>
    <row r="31">
      <c r="A31" s="1"/>
      <c r="B31" s="1"/>
      <c r="C31" s="1"/>
      <c r="D31" s="1"/>
      <c r="E31" s="1"/>
      <c r="F31" s="1"/>
      <c r="G31" s="1"/>
      <c r="H31" s="1"/>
      <c r="I31" s="13"/>
    </row>
    <row r="32">
      <c r="A32" s="1"/>
      <c r="B32" s="41" t="s">
        <v>51</v>
      </c>
      <c r="C32" s="1"/>
      <c r="D32" s="1"/>
      <c r="E32" s="1"/>
      <c r="F32" s="1"/>
      <c r="G32" s="1"/>
      <c r="H32" s="1"/>
      <c r="I32" s="13"/>
    </row>
    <row r="33" ht="24">
      <c r="A33" s="1"/>
      <c r="B33" s="4" t="s">
        <v>52</v>
      </c>
      <c r="C33" s="49">
        <v>73.47</v>
      </c>
      <c r="D33" s="1"/>
      <c r="E33" s="1"/>
      <c r="F33" s="1"/>
      <c r="G33" s="1"/>
      <c r="H33" s="1"/>
      <c r="I33" s="13" t="s">
        <v>53</v>
      </c>
    </row>
    <row r="34" ht="24">
      <c r="A34" s="1"/>
      <c r="B34" s="4" t="s">
        <v>54</v>
      </c>
      <c r="C34" s="49">
        <v>10</v>
      </c>
      <c r="D34" s="1"/>
      <c r="E34" s="1"/>
      <c r="F34" s="1"/>
      <c r="G34" s="1"/>
      <c r="H34" s="1"/>
      <c r="I34" s="13"/>
    </row>
    <row r="35" ht="24">
      <c r="A35" s="1"/>
      <c r="B35" s="4" t="s">
        <v>55</v>
      </c>
      <c r="C35" s="49">
        <v>2</v>
      </c>
      <c r="D35" s="1"/>
      <c r="E35" s="1"/>
      <c r="F35" s="1"/>
      <c r="G35" s="1"/>
      <c r="H35" s="1"/>
      <c r="I35" s="13"/>
    </row>
    <row r="36" ht="24">
      <c r="A36" s="1"/>
      <c r="B36" s="4" t="s">
        <v>56</v>
      </c>
      <c r="C36" s="49">
        <v>0.3</v>
      </c>
      <c r="D36" s="1"/>
      <c r="E36" s="1"/>
      <c r="F36" s="1"/>
      <c r="G36" s="1"/>
      <c r="H36" s="1"/>
      <c r="I36" s="13"/>
    </row>
    <row r="37">
      <c r="A37" s="1"/>
      <c r="B37" s="1" t="s">
        <v>57</v>
      </c>
      <c r="C37" s="38" t="str">
        <f>IF(C33&gt;C34,"Large",IF(C33&gt;=C35,"Mid",IF(C33&gt;=C36,"Small","Micro")))</f>
        <v>Large</v>
      </c>
      <c r="D37" s="1"/>
      <c r="E37" s="1"/>
      <c r="F37" s="1"/>
      <c r="G37" s="1"/>
      <c r="H37" s="1"/>
      <c r="I37" s="13"/>
    </row>
    <row r="38">
      <c r="A38" s="1"/>
      <c r="B38" s="1" t="s">
        <v>58</v>
      </c>
      <c r="C38" s="38" t="s">
        <v>59</v>
      </c>
      <c r="D38" s="1"/>
      <c r="E38" s="1"/>
      <c r="F38" s="1"/>
      <c r="G38" s="1"/>
      <c r="H38" s="1"/>
      <c r="I38" s="13" t="s">
        <v>60</v>
      </c>
    </row>
    <row r="39" ht="24">
      <c r="A39" s="1"/>
      <c r="B39" s="4" t="s">
        <v>61</v>
      </c>
      <c r="C39" s="30">
        <v>0.78</v>
      </c>
      <c r="D39" s="1"/>
      <c r="E39" s="1"/>
      <c r="F39" s="1"/>
      <c r="G39" s="1"/>
      <c r="H39" s="1"/>
      <c r="I39" s="13"/>
    </row>
    <row r="40" ht="24">
      <c r="A40" s="1"/>
      <c r="B40" s="4" t="s">
        <v>62</v>
      </c>
      <c r="C40" s="30">
        <v>0.7</v>
      </c>
      <c r="D40" s="1"/>
      <c r="E40" s="1"/>
      <c r="F40" s="1"/>
      <c r="G40" s="1"/>
      <c r="H40" s="1"/>
      <c r="I40" s="13"/>
    </row>
    <row r="41" ht="24">
      <c r="A41" s="1"/>
      <c r="B41" s="4" t="s">
        <v>63</v>
      </c>
      <c r="C41" s="30">
        <v>0.6</v>
      </c>
      <c r="D41" s="1"/>
      <c r="E41" s="1"/>
      <c r="F41" s="1"/>
      <c r="G41" s="1"/>
      <c r="H41" s="1"/>
      <c r="I41" s="13"/>
    </row>
    <row r="42" ht="24">
      <c r="A42" s="1"/>
      <c r="B42" s="4" t="s">
        <v>64</v>
      </c>
      <c r="C42" s="25">
        <f>IF(OR(C37="Large",C38="Yes"),C39,IF(C37="Mid",C40,C41))</f>
        <v>0.78</v>
      </c>
      <c r="D42" s="1"/>
      <c r="E42" s="1"/>
      <c r="F42" s="1"/>
      <c r="G42" s="1"/>
      <c r="H42" s="1"/>
      <c r="I42" s="13"/>
    </row>
    <row r="43" ht="24">
      <c r="A43" s="1"/>
      <c r="B43" s="4" t="s">
        <v>65</v>
      </c>
      <c r="C43" s="42">
        <f>Inputs!C114</f>
        <v>5</v>
      </c>
      <c r="D43" s="1"/>
      <c r="E43" s="1"/>
      <c r="F43" s="1"/>
      <c r="G43" s="1"/>
      <c r="H43" s="1"/>
      <c r="I43" s="13"/>
    </row>
    <row r="44">
      <c r="A44" s="1"/>
      <c r="B44" s="1" t="s">
        <v>66</v>
      </c>
      <c r="C44" s="42">
        <f>Inputs!C115</f>
        <v>6</v>
      </c>
      <c r="D44" s="1"/>
      <c r="E44" s="1"/>
      <c r="F44" s="1"/>
      <c r="G44" s="1"/>
      <c r="H44" s="1"/>
      <c r="I44" s="13" t="s">
        <v>67</v>
      </c>
    </row>
    <row r="45">
      <c r="A45" s="1"/>
      <c r="B45" s="1" t="s">
        <v>68</v>
      </c>
      <c r="C45" s="52">
        <v>8</v>
      </c>
      <c r="D45" s="1"/>
      <c r="E45" s="1"/>
      <c r="F45" s="1"/>
      <c r="G45" s="1"/>
      <c r="H45" s="1"/>
      <c r="I45" s="13"/>
    </row>
    <row r="46" ht="24">
      <c r="A46" s="1"/>
      <c r="B46" s="4" t="s">
        <v>69</v>
      </c>
      <c r="C46" s="25">
        <f>(C45*C42+C43)/(C45+C44)</f>
        <v>0.8028571428571428</v>
      </c>
      <c r="D46" s="1"/>
      <c r="E46" s="1"/>
      <c r="F46" s="1"/>
      <c r="G46" s="1"/>
      <c r="H46" s="1"/>
      <c r="I46" s="13"/>
    </row>
    <row r="47" ht="90">
      <c r="A47" s="1"/>
      <c r="B47" s="4" t="s">
        <v>70</v>
      </c>
      <c r="C47" s="30">
        <v>-0.14</v>
      </c>
      <c r="D47" s="1"/>
      <c r="E47" s="1"/>
      <c r="F47" s="1"/>
      <c r="G47" s="1"/>
      <c r="H47" s="1"/>
      <c r="I47" s="107" t="s">
        <v>71</v>
      </c>
    </row>
    <row r="48">
      <c r="A48" s="1"/>
      <c r="B48" s="1" t="s">
        <v>72</v>
      </c>
      <c r="C48" s="25">
        <f>C46+C47</f>
        <v>0.6628571428571428</v>
      </c>
      <c r="D48" s="1"/>
      <c r="E48" s="1"/>
      <c r="F48" s="1"/>
      <c r="G48" s="1"/>
      <c r="H48" s="1"/>
      <c r="I48" s="13"/>
    </row>
    <row r="49" ht="24">
      <c r="A49" s="1"/>
      <c r="B49" s="4" t="s">
        <v>73</v>
      </c>
      <c r="C49" s="67">
        <f>C26-D26</f>
        <v>0.008123009507993051</v>
      </c>
      <c r="D49" s="1"/>
      <c r="E49" s="1"/>
      <c r="F49" s="1"/>
      <c r="G49" s="1"/>
      <c r="H49" s="1"/>
      <c r="I49" s="13"/>
    </row>
    <row r="50" ht="34.5">
      <c r="A50" s="1"/>
      <c r="B50" s="4" t="s">
        <v>74</v>
      </c>
      <c r="C50" s="54">
        <f>Inputs!C116</f>
        <v>0.01833333333333333</v>
      </c>
      <c r="D50" s="1"/>
      <c r="E50" s="1"/>
      <c r="F50" s="1"/>
      <c r="G50" s="1"/>
      <c r="H50" s="1"/>
      <c r="I50" s="13" t="s">
        <v>75</v>
      </c>
    </row>
    <row r="51">
      <c r="A51" s="1"/>
      <c r="B51" s="1"/>
      <c r="C51" s="1"/>
      <c r="D51" s="1"/>
      <c r="E51" s="1"/>
      <c r="F51" s="1"/>
      <c r="G51" s="1"/>
      <c r="H51" s="1"/>
      <c r="I51" s="13"/>
    </row>
    <row r="52">
      <c r="A52" s="1"/>
      <c r="B52" s="41" t="s">
        <v>76</v>
      </c>
      <c r="C52" s="1"/>
      <c r="D52" s="1"/>
      <c r="E52" s="1"/>
      <c r="F52" s="1"/>
      <c r="G52" s="1"/>
      <c r="H52" s="1"/>
      <c r="I52" s="13"/>
    </row>
    <row r="53">
      <c r="A53" s="1"/>
      <c r="B53" s="23" t="s">
        <v>77</v>
      </c>
      <c r="C53" s="106" t="s">
        <v>78</v>
      </c>
      <c r="D53" s="106" t="s">
        <v>79</v>
      </c>
      <c r="E53" s="106" t="s">
        <v>80</v>
      </c>
      <c r="F53" s="106" t="s">
        <v>81</v>
      </c>
      <c r="G53" s="106" t="s">
        <v>82</v>
      </c>
      <c r="H53" s="106" t="s">
        <v>83</v>
      </c>
      <c r="I53" s="13"/>
    </row>
    <row r="54">
      <c r="A54" s="1"/>
      <c r="B54" s="1" t="s">
        <v>84</v>
      </c>
      <c r="C54" s="3">
        <f>Inputs!$C$50</f>
        <v>0.61</v>
      </c>
      <c r="D54" s="3">
        <f>Inputs!$C$51</f>
        <v>0.62</v>
      </c>
      <c r="E54" s="3">
        <f>Inputs!$C$52</f>
        <v>0.68</v>
      </c>
      <c r="F54" s="3">
        <f>Inputs!$C$53</f>
        <v>0.51</v>
      </c>
      <c r="G54" s="3">
        <f>Inputs!$C$54</f>
        <v>0.03</v>
      </c>
      <c r="H54" s="42">
        <f>Inputs!$C$55</f>
        <v>24</v>
      </c>
      <c r="I54" s="13"/>
    </row>
    <row r="55">
      <c r="A55" s="1"/>
      <c r="B55" s="1" t="s">
        <v>85</v>
      </c>
      <c r="C55" s="3">
        <f>Inputs!$C$59</f>
        <v>0.61</v>
      </c>
      <c r="D55" s="3">
        <f>Inputs!$C$60</f>
        <v>0.62</v>
      </c>
      <c r="E55" s="3">
        <f>Inputs!$C$61</f>
        <v>0.63</v>
      </c>
      <c r="F55" s="3">
        <f>Inputs!$C$62</f>
        <v>0.55</v>
      </c>
      <c r="G55" s="3">
        <f>Inputs!$C$63</f>
        <v>0.03</v>
      </c>
      <c r="H55" s="42">
        <f>Inputs!$C$64</f>
        <v>13</v>
      </c>
      <c r="I55" s="13"/>
    </row>
    <row r="56">
      <c r="A56" s="1"/>
      <c r="B56" s="1" t="s">
        <v>40</v>
      </c>
      <c r="C56" s="16">
        <f>Inputs!$C$68</f>
        <v>9266.41</v>
      </c>
      <c r="D56" s="16">
        <f>Inputs!$C$69</f>
        <v>9286</v>
      </c>
      <c r="E56" s="16">
        <f>Inputs!$C$70</f>
        <v>9309</v>
      </c>
      <c r="F56" s="16">
        <f>Inputs!$C$71</f>
        <v>8943.3</v>
      </c>
      <c r="G56" s="16">
        <f>Inputs!$C$72</f>
        <v>74.45</v>
      </c>
      <c r="H56" s="42">
        <f>Inputs!$C$73</f>
        <v>21</v>
      </c>
      <c r="I56" s="13"/>
    </row>
    <row r="57" ht="24">
      <c r="A57" s="1"/>
      <c r="B57" s="23" t="s">
        <v>86</v>
      </c>
      <c r="C57" s="105" t="s">
        <v>87</v>
      </c>
      <c r="D57" s="105" t="s">
        <v>88</v>
      </c>
      <c r="E57" s="105" t="s">
        <v>89</v>
      </c>
      <c r="F57" s="105" t="s">
        <v>90</v>
      </c>
      <c r="G57" s="105" t="s">
        <v>91</v>
      </c>
      <c r="H57" s="105" t="s">
        <v>92</v>
      </c>
      <c r="I57" s="13"/>
    </row>
    <row r="58">
      <c r="A58" s="1"/>
      <c r="B58" s="1" t="s">
        <v>93</v>
      </c>
      <c r="C58" s="16">
        <f>Inputs!$C$77</f>
        <v>2018.56</v>
      </c>
      <c r="D58" s="16">
        <f>Inputs!$C$78</f>
        <v>1299.85</v>
      </c>
      <c r="E58" s="16">
        <f>Inputs!$C$79</f>
        <v>1214.58</v>
      </c>
      <c r="F58" s="16">
        <f>Inputs!$C$80</f>
        <v>1173.43</v>
      </c>
      <c r="G58" s="16">
        <f>Inputs!$C$81</f>
        <v>934.02</v>
      </c>
      <c r="H58" s="16">
        <f>Inputs!$C$82</f>
        <v>899.12</v>
      </c>
      <c r="I58" s="13"/>
    </row>
    <row r="59" ht="24">
      <c r="A59" s="1"/>
      <c r="B59" s="4" t="s">
        <v>94</v>
      </c>
      <c r="C59" s="44">
        <v>0.62</v>
      </c>
      <c r="D59" s="9">
        <v>9290</v>
      </c>
      <c r="E59" s="1"/>
      <c r="F59" s="1"/>
      <c r="G59" s="1"/>
      <c r="H59" s="1"/>
      <c r="I59" s="13" t="s">
        <v>95</v>
      </c>
    </row>
    <row r="60" ht="24">
      <c r="A60" s="1"/>
      <c r="B60" s="4" t="s">
        <v>96</v>
      </c>
      <c r="C60" s="44">
        <v>0.62</v>
      </c>
      <c r="D60" s="9">
        <v>9290</v>
      </c>
      <c r="E60" s="1"/>
      <c r="F60" s="1"/>
      <c r="G60" s="1"/>
      <c r="H60" s="1"/>
      <c r="I60" s="13" t="s">
        <v>97</v>
      </c>
    </row>
    <row r="61">
      <c r="A61" s="1"/>
      <c r="B61" s="1"/>
      <c r="C61" s="1"/>
      <c r="D61" s="1"/>
      <c r="E61" s="1"/>
      <c r="F61" s="1"/>
      <c r="G61" s="1"/>
      <c r="H61" s="1"/>
      <c r="I61" s="13"/>
    </row>
    <row r="62">
      <c r="A62" s="1"/>
      <c r="B62" s="1"/>
      <c r="C62" s="1"/>
      <c r="D62" s="1"/>
      <c r="E62" s="1"/>
      <c r="F62" s="1"/>
      <c r="G62" s="1"/>
      <c r="H62" s="1"/>
      <c r="I62" s="1"/>
    </row>
    <row r="63">
      <c r="A63" s="1"/>
      <c r="B63" s="1"/>
      <c r="C63" s="1"/>
      <c r="D63" s="1"/>
      <c r="E63" s="1"/>
      <c r="F63" s="1"/>
      <c r="G63" s="1"/>
      <c r="H63" s="1"/>
      <c r="I63" s="1"/>
    </row>
  </sheetData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8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51" t="s">
        <v>1</v>
      </c>
      <c r="C2" s="1"/>
      <c r="D2" s="1"/>
      <c r="E2" s="1"/>
      <c r="F2" s="1"/>
      <c r="G2" s="1"/>
      <c r="H2" s="1"/>
      <c r="I2" s="1"/>
    </row>
    <row r="3">
      <c r="A3" s="1"/>
      <c r="B3" s="33" t="s">
        <v>98</v>
      </c>
      <c r="C3" s="1"/>
      <c r="D3" s="1"/>
      <c r="E3" s="1"/>
      <c r="F3" s="1"/>
      <c r="G3" s="1"/>
      <c r="H3" s="1"/>
      <c r="I3" s="1"/>
    </row>
    <row r="4">
      <c r="A4" s="1"/>
      <c r="B4" s="15" t="s">
        <v>3</v>
      </c>
      <c r="C4" s="1"/>
      <c r="D4" s="1"/>
      <c r="E4" s="1"/>
      <c r="F4" s="1"/>
      <c r="G4" s="1"/>
      <c r="H4" s="1"/>
      <c r="I4" s="1"/>
    </row>
    <row r="5">
      <c r="A5" s="1"/>
      <c r="B5" s="4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58" t="s">
        <v>10</v>
      </c>
      <c r="I5" s="46" t="s">
        <v>99</v>
      </c>
    </row>
    <row r="6">
      <c r="A6" s="1"/>
      <c r="B6" s="34" t="s">
        <v>11</v>
      </c>
      <c r="C6" s="18">
        <f>DATE(2025,9,30)</f>
        <v>45930</v>
      </c>
      <c r="D6" s="18">
        <f>DATE(2025,12,31)</f>
        <v>46022</v>
      </c>
      <c r="E6" s="18">
        <f>DATE(2026,3,31)</f>
        <v>46112</v>
      </c>
      <c r="F6" s="18">
        <f>DATE(2026,6,30)</f>
        <v>46203</v>
      </c>
      <c r="G6" s="18">
        <f>DATE(2025,12,31)</f>
        <v>46022</v>
      </c>
      <c r="H6" s="55">
        <f>DATE(2026,9,30)</f>
        <v>46295</v>
      </c>
      <c r="I6" s="34"/>
    </row>
    <row r="7">
      <c r="A7" s="1"/>
      <c r="B7" s="12" t="s">
        <v>12</v>
      </c>
      <c r="C7" s="6">
        <f>C6-EOMONTH(C6,-3)</f>
        <v>92</v>
      </c>
      <c r="D7" s="6">
        <f>D6-EOMONTH(D6,-3)</f>
        <v>92</v>
      </c>
      <c r="E7" s="6">
        <f>E6-EOMONTH(E6,-3)</f>
        <v>90</v>
      </c>
      <c r="F7" s="6">
        <f>F6-EOMONTH(F6,-3)</f>
        <v>91</v>
      </c>
      <c r="G7" s="6">
        <f>G6-EOMONTH(G6,-12)</f>
        <v>365</v>
      </c>
      <c r="H7" s="17">
        <f>H6-EOMONTH(H6,-3)</f>
        <v>92</v>
      </c>
      <c r="I7" s="12"/>
    </row>
    <row r="8">
      <c r="A8" s="1"/>
      <c r="B8" s="1"/>
      <c r="C8" s="1"/>
      <c r="D8" s="1"/>
      <c r="E8" s="1"/>
      <c r="F8" s="1"/>
      <c r="G8" s="1"/>
      <c r="H8" s="53"/>
      <c r="I8" s="1"/>
    </row>
    <row r="9">
      <c r="A9" s="1"/>
      <c r="B9" s="41" t="s">
        <v>100</v>
      </c>
      <c r="C9" s="1"/>
      <c r="D9" s="1"/>
      <c r="E9" s="1"/>
      <c r="F9" s="1"/>
      <c r="G9" s="1"/>
      <c r="H9" s="53"/>
      <c r="I9" s="13"/>
    </row>
    <row r="10">
      <c r="A10" s="1"/>
      <c r="B10" s="1" t="s">
        <v>101</v>
      </c>
      <c r="C10" s="16">
        <f>'Segment - Digital'!C39</f>
        <v>658</v>
      </c>
      <c r="D10" s="16">
        <f>'Segment - Digital'!D39</f>
        <v>825</v>
      </c>
      <c r="E10" s="16">
        <f>'Segment - Digital'!E39</f>
        <v>640</v>
      </c>
      <c r="F10" s="16">
        <f>'Segment - Digital'!F39</f>
        <v>697</v>
      </c>
      <c r="G10" s="16">
        <f>'Segment - Digital'!G39</f>
        <v>2661</v>
      </c>
      <c r="H10" s="73">
        <f>'Segment - Digital'!H39</f>
        <v>714.6949999999999</v>
      </c>
      <c r="I10" s="13"/>
    </row>
    <row r="11">
      <c r="A11" s="1"/>
      <c r="B11" s="15" t="s">
        <v>102</v>
      </c>
      <c r="C11" s="11">
        <f>IFERROR(C10/C104-1,"n/a")</f>
        <v>0.03134796238244508</v>
      </c>
      <c r="D11" s="11">
        <f>IFERROR(D10/D104-1,"n/a")</f>
        <v>0.17021276595744683</v>
      </c>
      <c r="E11" s="11">
        <f>IFERROR(E10/E104-1,"n/a")</f>
        <v>0.09028960817717202</v>
      </c>
      <c r="F11" s="11">
        <f>IFERROR(F10/F104-1,"n/a")</f>
        <v>0.17935702199661585</v>
      </c>
      <c r="G11" s="11">
        <f>IFERROR(G10/G104-1,"n/a")</f>
        <v>0.09102091020910219</v>
      </c>
      <c r="H11" s="50">
        <f>IFERROR(H10/H104-1,"n/a")</f>
        <v>0.08616261398176284</v>
      </c>
      <c r="I11" s="13"/>
    </row>
    <row r="12">
      <c r="A12" s="1"/>
      <c r="B12" s="15" t="s">
        <v>103</v>
      </c>
      <c r="C12" s="11">
        <f>IFERROR(C10/F104-1,"n/a")</f>
        <v>0.11336717428087995</v>
      </c>
      <c r="D12" s="11">
        <f>IFERROR(D10/C10-1,"n/a")</f>
        <v>0.25379939209726454</v>
      </c>
      <c r="E12" s="11">
        <f>IFERROR(E10/D10-1,"n/a")</f>
        <v>-0.22424242424242424</v>
      </c>
      <c r="F12" s="11">
        <f>IFERROR(F10/E10-1,"n/a")</f>
        <v>0.08906250000000004</v>
      </c>
      <c r="G12" s="11" t="s">
        <v>44</v>
      </c>
      <c r="H12" s="50">
        <f>IFERROR(H10/F10-1,"n/a")</f>
        <v>0.025387374461979917</v>
      </c>
      <c r="I12" s="13"/>
    </row>
    <row r="13">
      <c r="A13" s="1"/>
      <c r="B13" s="15" t="s">
        <v>104</v>
      </c>
      <c r="C13" s="11">
        <f>C10/C63</f>
        <v>0.07370071684587813</v>
      </c>
      <c r="D13" s="11">
        <f>D10/D63</f>
        <v>0.08465879938429964</v>
      </c>
      <c r="E13" s="11">
        <f>E10/E63</f>
        <v>0.07338607957803005</v>
      </c>
      <c r="F13" s="11">
        <f>F10/F63</f>
        <v>0.07768613464110566</v>
      </c>
      <c r="G13" s="11">
        <f>G10/G63</f>
        <v>0.0745190288162648</v>
      </c>
      <c r="H13" s="50">
        <f>H10/H63</f>
        <v>0.07711420993504926</v>
      </c>
      <c r="I13" s="13"/>
    </row>
    <row r="14" ht="24">
      <c r="A14" s="1"/>
      <c r="B14" s="57" t="s">
        <v>105</v>
      </c>
      <c r="C14" s="60">
        <f>'Segment - Digital'!C46</f>
        <v>0</v>
      </c>
      <c r="D14" s="60">
        <f>'Segment - Digital'!D46</f>
        <v>0.1304964539007092</v>
      </c>
      <c r="E14" s="60">
        <f>'Segment - Digital'!E46</f>
        <v>0.035775127768313375</v>
      </c>
      <c r="F14" s="60">
        <f>'Segment - Digital'!F46</f>
        <v>0.12182741116751261</v>
      </c>
      <c r="G14" s="60">
        <f>'Segment - Digital'!G46</f>
        <v>0.071340713407134</v>
      </c>
      <c r="H14" s="70">
        <f>'Segment - Digital'!H46</f>
        <v>0.06535266457680233</v>
      </c>
      <c r="I14" s="13"/>
    </row>
    <row r="15">
      <c r="A15" s="1"/>
      <c r="B15" s="15" t="s">
        <v>106</v>
      </c>
      <c r="C15" s="60">
        <f>'Segment - Digital'!C47</f>
        <v>0.03134796238244508</v>
      </c>
      <c r="D15" s="60">
        <f>'Segment - Digital'!D47</f>
        <v>0.035131744040150625</v>
      </c>
      <c r="E15" s="60">
        <f>'Segment - Digital'!E47</f>
        <v>0.05263157894736836</v>
      </c>
      <c r="F15" s="60">
        <f>'Segment - Digital'!F47</f>
        <v>0.05128205128205132</v>
      </c>
      <c r="G15" s="60">
        <f>'Segment - Digital'!G47</f>
        <v>0.018369690011481143</v>
      </c>
      <c r="H15" s="70">
        <f>'Segment - Digital'!H47</f>
        <v>0.019533390300597864</v>
      </c>
      <c r="I15" s="13"/>
    </row>
    <row r="16">
      <c r="A16" s="1"/>
      <c r="B16" s="15" t="s">
        <v>107</v>
      </c>
      <c r="C16" s="11" t="s">
        <v>44</v>
      </c>
      <c r="D16" s="11" t="s">
        <v>44</v>
      </c>
      <c r="E16" s="11" t="s">
        <v>44</v>
      </c>
      <c r="F16" s="11" t="s">
        <v>44</v>
      </c>
      <c r="G16" s="11" t="s">
        <v>44</v>
      </c>
      <c r="H16" s="50" t="s">
        <v>44</v>
      </c>
      <c r="I16" s="13" t="s">
        <v>108</v>
      </c>
    </row>
    <row r="17" ht="24">
      <c r="A17" s="1"/>
      <c r="B17" s="57" t="s">
        <v>109</v>
      </c>
      <c r="C17" s="11" t="s">
        <v>44</v>
      </c>
      <c r="D17" s="11" t="s">
        <v>44</v>
      </c>
      <c r="E17" s="11" t="s">
        <v>44</v>
      </c>
      <c r="F17" s="11" t="s">
        <v>44</v>
      </c>
      <c r="G17" s="11" t="s">
        <v>44</v>
      </c>
      <c r="H17" s="50" t="s">
        <v>44</v>
      </c>
      <c r="I17" s="13" t="s">
        <v>110</v>
      </c>
    </row>
    <row r="18">
      <c r="A18" s="1"/>
      <c r="B18" s="1" t="s">
        <v>111</v>
      </c>
      <c r="C18" s="16">
        <f>'Segment - Reservoir Performance'!C32</f>
        <v>1682</v>
      </c>
      <c r="D18" s="16">
        <f>'Segment - Reservoir Performance'!D32</f>
        <v>1748</v>
      </c>
      <c r="E18" s="16">
        <f>'Segment - Reservoir Performance'!E32</f>
        <v>1594</v>
      </c>
      <c r="F18" s="16">
        <f>'Segment - Reservoir Performance'!F32</f>
        <v>1556</v>
      </c>
      <c r="G18" s="16">
        <f>'Segment - Reservoir Performance'!G32</f>
        <v>6821</v>
      </c>
      <c r="H18" s="73">
        <f>'Segment - Reservoir Performance'!H32</f>
        <v>1612.4820000000002</v>
      </c>
      <c r="I18" s="13"/>
    </row>
    <row r="19">
      <c r="A19" s="1"/>
      <c r="B19" s="15" t="s">
        <v>102</v>
      </c>
      <c r="C19" s="11">
        <f>IFERROR(C18/C105-1,"n/a")</f>
        <v>-0.07734503565551287</v>
      </c>
      <c r="D19" s="11">
        <f>IFERROR(D18/D105-1,"n/a")</f>
        <v>-0.034254143646408886</v>
      </c>
      <c r="E19" s="11">
        <f>IFERROR(E18/E105-1,"n/a")</f>
        <v>-0.06235294117647061</v>
      </c>
      <c r="F19" s="11">
        <f>IFERROR(F18/F105-1,"n/a")</f>
        <v>-0.0798344175044352</v>
      </c>
      <c r="G19" s="11">
        <f>IFERROR(G18/G105-1,"n/a")</f>
        <v>-0.04960289814685803</v>
      </c>
      <c r="H19" s="50">
        <f>IFERROR(H18/H105-1,"n/a")</f>
        <v>-0.041330558858501676</v>
      </c>
      <c r="I19" s="13"/>
    </row>
    <row r="20">
      <c r="A20" s="1"/>
      <c r="B20" s="15" t="s">
        <v>103</v>
      </c>
      <c r="C20" s="11">
        <f>IFERROR(C18/F105-1,"n/a")</f>
        <v>-0.0053222945002956434</v>
      </c>
      <c r="D20" s="11">
        <f>IFERROR(D18/C18-1,"n/a")</f>
        <v>0.03923900118906065</v>
      </c>
      <c r="E20" s="11">
        <f>IFERROR(E18/D18-1,"n/a")</f>
        <v>-0.08810068649885583</v>
      </c>
      <c r="F20" s="11">
        <f>IFERROR(F18/E18-1,"n/a")</f>
        <v>-0.023839397741530766</v>
      </c>
      <c r="G20" s="11" t="s">
        <v>44</v>
      </c>
      <c r="H20" s="50">
        <f>IFERROR(H18/F18-1,"n/a")</f>
        <v>0.0362994858611827</v>
      </c>
      <c r="I20" s="13"/>
    </row>
    <row r="21">
      <c r="A21" s="1"/>
      <c r="B21" s="15" t="s">
        <v>104</v>
      </c>
      <c r="C21" s="11">
        <f>C18/C63</f>
        <v>0.18839605734767026</v>
      </c>
      <c r="D21" s="11">
        <f>D18/D63</f>
        <v>0.17937403796818882</v>
      </c>
      <c r="E21" s="11">
        <f>E18/E63</f>
        <v>0.18277720444903106</v>
      </c>
      <c r="F21" s="11">
        <f>F18/F63</f>
        <v>0.1734284440481498</v>
      </c>
      <c r="G21" s="11">
        <f>G18/G63</f>
        <v>0.19101627040802038</v>
      </c>
      <c r="H21" s="50">
        <f>H18/H63</f>
        <v>0.1739836929941977</v>
      </c>
      <c r="I21" s="13"/>
    </row>
    <row r="22" ht="24">
      <c r="A22" s="1"/>
      <c r="B22" s="57" t="s">
        <v>105</v>
      </c>
      <c r="C22" s="60">
        <f>'Segment - Reservoir Performance'!C39</f>
        <v>-0.07734503565551287</v>
      </c>
      <c r="D22" s="60">
        <f>'Segment - Reservoir Performance'!D39</f>
        <v>-0.034254143646408886</v>
      </c>
      <c r="E22" s="60">
        <f>'Segment - Reservoir Performance'!E39</f>
        <v>-0.06235294117647061</v>
      </c>
      <c r="F22" s="60">
        <f>'Segment - Reservoir Performance'!F39</f>
        <v>-0.0798344175044352</v>
      </c>
      <c r="G22" s="60">
        <f>'Segment - Reservoir Performance'!G39</f>
        <v>-0.04960289814685803</v>
      </c>
      <c r="H22" s="70">
        <f>'Segment - Reservoir Performance'!H39</f>
        <v>-0.041330558858501676</v>
      </c>
      <c r="I22" s="13"/>
    </row>
    <row r="23">
      <c r="A23" s="1"/>
      <c r="B23" s="15" t="s">
        <v>106</v>
      </c>
      <c r="C23" s="60">
        <f>'Segment - Reservoir Performance'!C40</f>
        <v>0</v>
      </c>
      <c r="D23" s="60">
        <f>'Segment - Reservoir Performance'!D40</f>
        <v>0</v>
      </c>
      <c r="E23" s="60">
        <f>'Segment - Reservoir Performance'!E40</f>
        <v>0</v>
      </c>
      <c r="F23" s="60">
        <f>'Segment - Reservoir Performance'!F40</f>
        <v>0</v>
      </c>
      <c r="G23" s="60">
        <f>'Segment - Reservoir Performance'!G40</f>
        <v>0</v>
      </c>
      <c r="H23" s="70">
        <f>'Segment - Reservoir Performance'!H40</f>
        <v>0</v>
      </c>
      <c r="I23" s="13"/>
    </row>
    <row r="24">
      <c r="A24" s="1"/>
      <c r="B24" s="15" t="s">
        <v>107</v>
      </c>
      <c r="C24" s="11" t="s">
        <v>44</v>
      </c>
      <c r="D24" s="11" t="s">
        <v>44</v>
      </c>
      <c r="E24" s="11" t="s">
        <v>44</v>
      </c>
      <c r="F24" s="11" t="s">
        <v>44</v>
      </c>
      <c r="G24" s="11" t="s">
        <v>44</v>
      </c>
      <c r="H24" s="50" t="s">
        <v>44</v>
      </c>
      <c r="I24" s="13" t="s">
        <v>108</v>
      </c>
    </row>
    <row r="25" ht="24">
      <c r="A25" s="1"/>
      <c r="B25" s="57" t="s">
        <v>109</v>
      </c>
      <c r="C25" s="11" t="s">
        <v>44</v>
      </c>
      <c r="D25" s="11" t="s">
        <v>44</v>
      </c>
      <c r="E25" s="11" t="s">
        <v>44</v>
      </c>
      <c r="F25" s="11" t="s">
        <v>44</v>
      </c>
      <c r="G25" s="11" t="s">
        <v>44</v>
      </c>
      <c r="H25" s="50" t="s">
        <v>44</v>
      </c>
      <c r="I25" s="13" t="s">
        <v>110</v>
      </c>
    </row>
    <row r="26">
      <c r="A26" s="1"/>
      <c r="B26" s="1" t="s">
        <v>112</v>
      </c>
      <c r="C26" s="16">
        <f>'Segment - Well Construction'!C32</f>
        <v>2967</v>
      </c>
      <c r="D26" s="16">
        <f>'Segment - Well Construction'!D32</f>
        <v>2949</v>
      </c>
      <c r="E26" s="16">
        <f>'Segment - Well Construction'!E32</f>
        <v>2797</v>
      </c>
      <c r="F26" s="16">
        <f>'Segment - Well Construction'!F32</f>
        <v>2742</v>
      </c>
      <c r="G26" s="16">
        <f>'Segment - Well Construction'!G32</f>
        <v>11856</v>
      </c>
      <c r="H26" s="73">
        <f>'Segment - Well Construction'!H32</f>
        <v>2808.902</v>
      </c>
      <c r="I26" s="13"/>
    </row>
    <row r="27">
      <c r="A27" s="1"/>
      <c r="B27" s="15" t="s">
        <v>102</v>
      </c>
      <c r="C27" s="11">
        <f>IFERROR(C26/C106-1,"n/a")</f>
        <v>-0.10416666666666663</v>
      </c>
      <c r="D27" s="11">
        <f>IFERROR(D26/D106-1,"n/a")</f>
        <v>-0.09733700642791554</v>
      </c>
      <c r="E27" s="11">
        <f>IFERROR(E26/E106-1,"n/a")</f>
        <v>-0.06046355391333558</v>
      </c>
      <c r="F27" s="11">
        <f>IFERROR(F26/F106-1,"n/a")</f>
        <v>-0.07458656766790417</v>
      </c>
      <c r="G27" s="11">
        <f>IFERROR(G26/G106-1,"n/a")</f>
        <v>-0.11237553342816498</v>
      </c>
      <c r="H27" s="50">
        <f>IFERROR(H26/H106-1,"n/a")</f>
        <v>-0.05328547354229862</v>
      </c>
      <c r="I27" s="13"/>
    </row>
    <row r="28">
      <c r="A28" s="1"/>
      <c r="B28" s="15" t="s">
        <v>103</v>
      </c>
      <c r="C28" s="11">
        <f>IFERROR(C26/F106-1,"n/a")</f>
        <v>0.0013499831252108407</v>
      </c>
      <c r="D28" s="11">
        <f>IFERROR(D26/C26-1,"n/a")</f>
        <v>-0.006066734074823055</v>
      </c>
      <c r="E28" s="11">
        <f>IFERROR(E26/D26-1,"n/a")</f>
        <v>-0.05154289589691419</v>
      </c>
      <c r="F28" s="11">
        <f>IFERROR(F26/E26-1,"n/a")</f>
        <v>-0.019663925634608503</v>
      </c>
      <c r="G28" s="11" t="s">
        <v>44</v>
      </c>
      <c r="H28" s="50">
        <f>IFERROR(H26/F26-1,"n/a")</f>
        <v>0.024398978847556485</v>
      </c>
      <c r="I28" s="13"/>
    </row>
    <row r="29">
      <c r="A29" s="1"/>
      <c r="B29" s="15" t="s">
        <v>104</v>
      </c>
      <c r="C29" s="11">
        <f>C26/C63</f>
        <v>0.3323252688172043</v>
      </c>
      <c r="D29" s="11">
        <f>D26/D63</f>
        <v>0.3026167265264238</v>
      </c>
      <c r="E29" s="11">
        <f>E26/E63</f>
        <v>0.3207201009058594</v>
      </c>
      <c r="F29" s="11">
        <f>F26/F63</f>
        <v>0.3056174765938475</v>
      </c>
      <c r="G29" s="11">
        <f>G26/G63</f>
        <v>0.3320171385365034</v>
      </c>
      <c r="H29" s="50">
        <f>H26/H63</f>
        <v>0.3030750998887354</v>
      </c>
      <c r="I29" s="13"/>
    </row>
    <row r="30" ht="24">
      <c r="A30" s="1"/>
      <c r="B30" s="57" t="s">
        <v>105</v>
      </c>
      <c r="C30" s="60">
        <f>'Segment - Well Construction'!C39</f>
        <v>-0.10416666666666663</v>
      </c>
      <c r="D30" s="60">
        <f>'Segment - Well Construction'!D39</f>
        <v>-0.09733700642791554</v>
      </c>
      <c r="E30" s="60">
        <f>'Segment - Well Construction'!E39</f>
        <v>-0.06046355391333558</v>
      </c>
      <c r="F30" s="60">
        <f>'Segment - Well Construction'!F39</f>
        <v>-0.07458656766790417</v>
      </c>
      <c r="G30" s="60">
        <f>'Segment - Well Construction'!G39</f>
        <v>-0.11237553342816498</v>
      </c>
      <c r="H30" s="70">
        <f>'Segment - Well Construction'!H39</f>
        <v>-0.05328547354229862</v>
      </c>
      <c r="I30" s="13"/>
    </row>
    <row r="31">
      <c r="A31" s="1"/>
      <c r="B31" s="15" t="s">
        <v>106</v>
      </c>
      <c r="C31" s="60">
        <f>'Segment - Well Construction'!C40</f>
        <v>0</v>
      </c>
      <c r="D31" s="60">
        <f>'Segment - Well Construction'!D40</f>
        <v>0</v>
      </c>
      <c r="E31" s="60">
        <f>'Segment - Well Construction'!E40</f>
        <v>0</v>
      </c>
      <c r="F31" s="60">
        <f>'Segment - Well Construction'!F40</f>
        <v>0</v>
      </c>
      <c r="G31" s="60">
        <f>'Segment - Well Construction'!G40</f>
        <v>0</v>
      </c>
      <c r="H31" s="70">
        <f>'Segment - Well Construction'!H40</f>
        <v>0</v>
      </c>
      <c r="I31" s="13"/>
    </row>
    <row r="32">
      <c r="A32" s="1"/>
      <c r="B32" s="15" t="s">
        <v>107</v>
      </c>
      <c r="C32" s="11" t="s">
        <v>44</v>
      </c>
      <c r="D32" s="11" t="s">
        <v>44</v>
      </c>
      <c r="E32" s="11" t="s">
        <v>44</v>
      </c>
      <c r="F32" s="11" t="s">
        <v>44</v>
      </c>
      <c r="G32" s="11" t="s">
        <v>44</v>
      </c>
      <c r="H32" s="50" t="s">
        <v>44</v>
      </c>
      <c r="I32" s="13" t="s">
        <v>108</v>
      </c>
    </row>
    <row r="33" ht="24">
      <c r="A33" s="1"/>
      <c r="B33" s="57" t="s">
        <v>109</v>
      </c>
      <c r="C33" s="11" t="s">
        <v>44</v>
      </c>
      <c r="D33" s="11" t="s">
        <v>44</v>
      </c>
      <c r="E33" s="11" t="s">
        <v>44</v>
      </c>
      <c r="F33" s="11" t="s">
        <v>44</v>
      </c>
      <c r="G33" s="11" t="s">
        <v>44</v>
      </c>
      <c r="H33" s="50" t="s">
        <v>44</v>
      </c>
      <c r="I33" s="13" t="s">
        <v>110</v>
      </c>
    </row>
    <row r="34">
      <c r="A34" s="1"/>
      <c r="B34" s="1" t="s">
        <v>113</v>
      </c>
      <c r="C34" s="16">
        <f>'Segment - Production Systems'!C32</f>
        <v>3474</v>
      </c>
      <c r="D34" s="16">
        <f>'Segment - Production Systems'!D32</f>
        <v>4078</v>
      </c>
      <c r="E34" s="16">
        <f>'Segment - Production Systems'!E32</f>
        <v>3508</v>
      </c>
      <c r="F34" s="16">
        <f>'Segment - Production Systems'!F32</f>
        <v>3771</v>
      </c>
      <c r="G34" s="16">
        <f>'Segment - Production Systems'!G32</f>
        <v>13325</v>
      </c>
      <c r="H34" s="73">
        <f>'Segment - Production Systems'!H32</f>
        <v>3901.795</v>
      </c>
      <c r="I34" s="13"/>
    </row>
    <row r="35">
      <c r="A35" s="1"/>
      <c r="B35" s="15" t="s">
        <v>102</v>
      </c>
      <c r="C35" s="11">
        <f>IFERROR(C34/C107-1,"n/a")</f>
        <v>0.1438919986829108</v>
      </c>
      <c r="D35" s="11">
        <f>IFERROR(D34/D107-1,"n/a")</f>
        <v>0.3041253597697473</v>
      </c>
      <c r="E35" s="11">
        <f>IFERROR(E34/E107-1,"n/a")</f>
        <v>0.23477648715241117</v>
      </c>
      <c r="F35" s="11">
        <f>IFERROR(F34/F107-1,"n/a")</f>
        <v>0.2861527967257844</v>
      </c>
      <c r="G35" s="11">
        <f>IFERROR(G34/G107-1,"n/a")</f>
        <v>0.11646418098030997</v>
      </c>
      <c r="H35" s="50">
        <f>IFERROR(H34/H107-1,"n/a")</f>
        <v>0.12314191134139318</v>
      </c>
      <c r="I35" s="13"/>
    </row>
    <row r="36">
      <c r="A36" s="1"/>
      <c r="B36" s="15" t="s">
        <v>103</v>
      </c>
      <c r="C36" s="11">
        <f>IFERROR(C34/F107-1,"n/a")</f>
        <v>0.18485675306957705</v>
      </c>
      <c r="D36" s="11">
        <f>IFERROR(D34/C34-1,"n/a")</f>
        <v>0.17386298215313767</v>
      </c>
      <c r="E36" s="11">
        <f>IFERROR(E34/D34-1,"n/a")</f>
        <v>-0.13977439921530166</v>
      </c>
      <c r="F36" s="11">
        <f>IFERROR(F34/E34-1,"n/a")</f>
        <v>0.07497149372862033</v>
      </c>
      <c r="G36" s="11" t="s">
        <v>44</v>
      </c>
      <c r="H36" s="50">
        <f>IFERROR(H34/F34-1,"n/a")</f>
        <v>0.03468443383717856</v>
      </c>
      <c r="I36" s="13"/>
    </row>
    <row r="37">
      <c r="A37" s="1"/>
      <c r="B37" s="15" t="s">
        <v>104</v>
      </c>
      <c r="C37" s="11">
        <f>C34/C63</f>
        <v>0.38911290322580644</v>
      </c>
      <c r="D37" s="11">
        <f>D34/D63</f>
        <v>0.4184710107747563</v>
      </c>
      <c r="E37" s="11">
        <f>E34/E63</f>
        <v>0.4022474486870772</v>
      </c>
      <c r="F37" s="11">
        <f>F34/F63</f>
        <v>0.4203076237182345</v>
      </c>
      <c r="G37" s="11">
        <f>G34/G63</f>
        <v>0.3731552269735921</v>
      </c>
      <c r="H37" s="50">
        <f>H34/H63</f>
        <v>0.42099614346473047</v>
      </c>
      <c r="I37" s="13"/>
    </row>
    <row r="38" ht="24">
      <c r="A38" s="1"/>
      <c r="B38" s="57" t="s">
        <v>105</v>
      </c>
      <c r="C38" s="60">
        <f>'Segment - Production Systems'!C39</f>
        <v>-0.045439578531445535</v>
      </c>
      <c r="D38" s="60">
        <f>'Segment - Production Systems'!D39</f>
        <v>0.0246242404860888</v>
      </c>
      <c r="E38" s="60">
        <f>'Segment - Production Systems'!E39</f>
        <v>-0.058430130235832434</v>
      </c>
      <c r="F38" s="60">
        <f>'Segment - Production Systems'!F39</f>
        <v>-0.008867667121418843</v>
      </c>
      <c r="G38" s="60">
        <f>'Segment - Production Systems'!G39</f>
        <v>-0.004943443653121049</v>
      </c>
      <c r="H38" s="70">
        <f>'Segment - Production Systems'!H39</f>
        <v>0.04235770955501894</v>
      </c>
      <c r="I38" s="13"/>
    </row>
    <row r="39">
      <c r="A39" s="1"/>
      <c r="B39" s="15" t="s">
        <v>106</v>
      </c>
      <c r="C39" s="60">
        <f>'Segment - Production Systems'!C40</f>
        <v>0.19834425664022093</v>
      </c>
      <c r="D39" s="60">
        <f>'Segment - Production Systems'!D40</f>
        <v>0.2727840199750313</v>
      </c>
      <c r="E39" s="60">
        <f>'Segment - Production Systems'!E40</f>
        <v>0.31140186915887846</v>
      </c>
      <c r="F39" s="60">
        <f>'Segment - Production Systems'!F40</f>
        <v>0.2976600137646248</v>
      </c>
      <c r="G39" s="60">
        <f>'Segment - Production Systems'!G40</f>
        <v>0.12201077803974392</v>
      </c>
      <c r="H39" s="70">
        <f>'Segment - Production Systems'!H40</f>
        <v>0.0775014191825385</v>
      </c>
      <c r="I39" s="13"/>
    </row>
    <row r="40">
      <c r="A40" s="1"/>
      <c r="B40" s="15" t="s">
        <v>107</v>
      </c>
      <c r="C40" s="11" t="s">
        <v>44</v>
      </c>
      <c r="D40" s="11" t="s">
        <v>44</v>
      </c>
      <c r="E40" s="11" t="s">
        <v>44</v>
      </c>
      <c r="F40" s="11" t="s">
        <v>44</v>
      </c>
      <c r="G40" s="11" t="s">
        <v>44</v>
      </c>
      <c r="H40" s="50" t="s">
        <v>44</v>
      </c>
      <c r="I40" s="13" t="s">
        <v>108</v>
      </c>
    </row>
    <row r="41" ht="24">
      <c r="A41" s="1"/>
      <c r="B41" s="57" t="s">
        <v>109</v>
      </c>
      <c r="C41" s="11" t="s">
        <v>44</v>
      </c>
      <c r="D41" s="11" t="s">
        <v>44</v>
      </c>
      <c r="E41" s="11" t="s">
        <v>44</v>
      </c>
      <c r="F41" s="11" t="s">
        <v>44</v>
      </c>
      <c r="G41" s="11" t="s">
        <v>44</v>
      </c>
      <c r="H41" s="50" t="s">
        <v>44</v>
      </c>
      <c r="I41" s="13" t="s">
        <v>110</v>
      </c>
    </row>
    <row r="42" ht="24">
      <c r="A42" s="1"/>
      <c r="B42" s="4" t="s">
        <v>114</v>
      </c>
      <c r="C42" s="16">
        <f>'Segment - All Other'!C29</f>
        <v>397</v>
      </c>
      <c r="D42" s="16">
        <f>'Segment - All Other'!D29</f>
        <v>445</v>
      </c>
      <c r="E42" s="16">
        <f>'Segment - All Other'!E29</f>
        <v>443</v>
      </c>
      <c r="F42" s="16">
        <f>'Segment - All Other'!F29</f>
        <v>505</v>
      </c>
      <c r="G42" s="16">
        <f>'Segment - All Other'!G29</f>
        <v>1987</v>
      </c>
      <c r="H42" s="73">
        <f>'Segment - All Other'!H29</f>
        <v>531.5699999999999</v>
      </c>
      <c r="I42" s="13"/>
    </row>
    <row r="43">
      <c r="A43" s="1"/>
      <c r="B43" s="15" t="s">
        <v>102</v>
      </c>
      <c r="C43" s="11">
        <f>IFERROR(C42/C108-1,"n/a")</f>
        <v>-0.2833935018050542</v>
      </c>
      <c r="D43" s="11">
        <f>IFERROR(D42/D108-1,"n/a")</f>
        <v>-0.23539518900343648</v>
      </c>
      <c r="E43" s="11">
        <f>IFERROR(E42/E108-1,"n/a")</f>
        <v>-0.21174377224199292</v>
      </c>
      <c r="F43" s="11">
        <f>IFERROR(F42/F108-1,"n/a")</f>
        <v>-0.13379073756432247</v>
      </c>
      <c r="G43" s="11">
        <f>IFERROR(G42/G108-1,"n/a")</f>
        <v>-0.061407652338214436</v>
      </c>
      <c r="H43" s="50">
        <f>IFERROR(H42/H108-1,"n/a")</f>
        <v>0.3389672544080602</v>
      </c>
      <c r="I43" s="13"/>
    </row>
    <row r="44">
      <c r="A44" s="1"/>
      <c r="B44" s="15" t="s">
        <v>103</v>
      </c>
      <c r="C44" s="11">
        <f>IFERROR(C42/F108-1,"n/a")</f>
        <v>-0.3190394511149228</v>
      </c>
      <c r="D44" s="11">
        <f>IFERROR(D42/C42-1,"n/a")</f>
        <v>0.12090680100755669</v>
      </c>
      <c r="E44" s="11">
        <f>IFERROR(E42/D42-1,"n/a")</f>
        <v>-0.004494382022471877</v>
      </c>
      <c r="F44" s="11">
        <f>IFERROR(F42/E42-1,"n/a")</f>
        <v>0.1399548532731376</v>
      </c>
      <c r="G44" s="11" t="s">
        <v>44</v>
      </c>
      <c r="H44" s="50">
        <f>IFERROR(H42/F42-1,"n/a")</f>
        <v>0.05261386138613844</v>
      </c>
      <c r="I44" s="13"/>
    </row>
    <row r="45">
      <c r="A45" s="1"/>
      <c r="B45" s="15" t="s">
        <v>104</v>
      </c>
      <c r="C45" s="11">
        <f>C42/C63</f>
        <v>0.0444668458781362</v>
      </c>
      <c r="D45" s="11">
        <f>D42/D63</f>
        <v>0.045664443304258596</v>
      </c>
      <c r="E45" s="11">
        <f>E42/E63</f>
        <v>0.05079692695791767</v>
      </c>
      <c r="F45" s="11">
        <f>F42/F63</f>
        <v>0.0562862238074008</v>
      </c>
      <c r="G45" s="11">
        <f>G42/G63</f>
        <v>0.05564423534683133</v>
      </c>
      <c r="H45" s="50">
        <f>H42/H63</f>
        <v>0.05735537617469568</v>
      </c>
      <c r="I45" s="13"/>
    </row>
    <row r="46" ht="24">
      <c r="A46" s="1"/>
      <c r="B46" s="57" t="s">
        <v>105</v>
      </c>
      <c r="C46" s="60">
        <f>'Segment - All Other'!C34</f>
        <v>-0.2833935018050542</v>
      </c>
      <c r="D46" s="60">
        <f>'Segment - All Other'!D34</f>
        <v>-0.23539518900343648</v>
      </c>
      <c r="E46" s="60">
        <f>'Segment - All Other'!E34</f>
        <v>-0.21174377224199292</v>
      </c>
      <c r="F46" s="60">
        <f>'Segment - All Other'!F34</f>
        <v>-0.13379073756432247</v>
      </c>
      <c r="G46" s="60">
        <f>'Segment - All Other'!G34</f>
        <v>-0.061407652338214436</v>
      </c>
      <c r="H46" s="70">
        <f>'Segment - All Other'!H34</f>
        <v>0.3389672544080602</v>
      </c>
      <c r="I46" s="13"/>
    </row>
    <row r="47">
      <c r="A47" s="1"/>
      <c r="B47" s="15" t="s">
        <v>106</v>
      </c>
      <c r="C47" s="60">
        <f>'Segment - All Other'!C35</f>
        <v>0</v>
      </c>
      <c r="D47" s="60">
        <f>'Segment - All Other'!D35</f>
        <v>0</v>
      </c>
      <c r="E47" s="60">
        <f>'Segment - All Other'!E35</f>
        <v>0</v>
      </c>
      <c r="F47" s="60">
        <f>'Segment - All Other'!F35</f>
        <v>0</v>
      </c>
      <c r="G47" s="60">
        <f>'Segment - All Other'!G35</f>
        <v>0</v>
      </c>
      <c r="H47" s="70">
        <f>'Segment - All Other'!H35</f>
        <v>0</v>
      </c>
      <c r="I47" s="13"/>
    </row>
    <row r="48">
      <c r="A48" s="1"/>
      <c r="B48" s="15" t="s">
        <v>107</v>
      </c>
      <c r="C48" s="11" t="s">
        <v>44</v>
      </c>
      <c r="D48" s="11" t="s">
        <v>44</v>
      </c>
      <c r="E48" s="11" t="s">
        <v>44</v>
      </c>
      <c r="F48" s="11" t="s">
        <v>44</v>
      </c>
      <c r="G48" s="11" t="s">
        <v>44</v>
      </c>
      <c r="H48" s="50" t="s">
        <v>44</v>
      </c>
      <c r="I48" s="13" t="s">
        <v>108</v>
      </c>
    </row>
    <row r="49" ht="24">
      <c r="A49" s="1"/>
      <c r="B49" s="57" t="s">
        <v>109</v>
      </c>
      <c r="C49" s="11" t="s">
        <v>44</v>
      </c>
      <c r="D49" s="11" t="s">
        <v>44</v>
      </c>
      <c r="E49" s="11" t="s">
        <v>44</v>
      </c>
      <c r="F49" s="11" t="s">
        <v>44</v>
      </c>
      <c r="G49" s="11" t="s">
        <v>44</v>
      </c>
      <c r="H49" s="50" t="s">
        <v>44</v>
      </c>
      <c r="I49" s="13" t="s">
        <v>110</v>
      </c>
    </row>
    <row r="50" ht="24">
      <c r="A50" s="1"/>
      <c r="B50" s="26" t="s">
        <v>115</v>
      </c>
      <c r="C50" s="29">
        <f>C10+C18+C26+C34+C42</f>
        <v>9178</v>
      </c>
      <c r="D50" s="29">
        <f>D10+D18+D26+D34+D42</f>
        <v>10045</v>
      </c>
      <c r="E50" s="29">
        <f>E10+E18+E26+E34+E42</f>
        <v>8982</v>
      </c>
      <c r="F50" s="29">
        <f>F10+F18+F26+F34+F42</f>
        <v>9271</v>
      </c>
      <c r="G50" s="29">
        <f>G10+G18+G26+G34+G42</f>
        <v>36650</v>
      </c>
      <c r="H50" s="47">
        <f>H10+H18+H26+H34+H42</f>
        <v>9569.444</v>
      </c>
      <c r="I50" s="13"/>
    </row>
    <row r="51" ht="24">
      <c r="A51" s="1"/>
      <c r="B51" s="57" t="s">
        <v>116</v>
      </c>
      <c r="C51" s="11">
        <f>-C52/C50</f>
        <v>0.02723904990193942</v>
      </c>
      <c r="D51" s="11">
        <f>-D52/D50</f>
        <v>0.029865604778496764</v>
      </c>
      <c r="E51" s="11">
        <f>-E52/E50</f>
        <v>0.02905811623246493</v>
      </c>
      <c r="F51" s="11">
        <f>-F52/F50</f>
        <v>0.032251105598101605</v>
      </c>
      <c r="G51" s="11">
        <f>-G52/G50</f>
        <v>0.02567530695770805</v>
      </c>
      <c r="H51" s="66">
        <v>0.0315</v>
      </c>
      <c r="I51" s="13" t="s">
        <v>117</v>
      </c>
    </row>
    <row r="52">
      <c r="A52" s="1"/>
      <c r="B52" s="1" t="s">
        <v>118</v>
      </c>
      <c r="C52" s="9">
        <v>-250</v>
      </c>
      <c r="D52" s="9">
        <v>-300</v>
      </c>
      <c r="E52" s="9">
        <v>-261</v>
      </c>
      <c r="F52" s="9">
        <v>-299</v>
      </c>
      <c r="G52" s="22">
        <f>E110+F110+C52+D52</f>
        <v>-941</v>
      </c>
      <c r="H52" s="37">
        <f>-H50*H51</f>
        <v>-301.437486</v>
      </c>
      <c r="I52" s="13"/>
    </row>
    <row r="53">
      <c r="A53" s="1"/>
      <c r="B53" s="15" t="s">
        <v>119</v>
      </c>
      <c r="C53" s="40">
        <f>IFERROR((C51-C111)*10000,"n/a")</f>
        <v>53.46696206937285</v>
      </c>
      <c r="D53" s="40">
        <f>IFERROR((D51-D111)*10000,"n/a")</f>
        <v>80.55468860258433</v>
      </c>
      <c r="E53" s="40">
        <f>IFERROR((E51-E111)*10000,"n/a")</f>
        <v>86.35824782136099</v>
      </c>
      <c r="F53" s="40">
        <f>IFERROR((F51-F111)*10000,"n/a")</f>
        <v>78.21881853809366</v>
      </c>
      <c r="G53" s="40">
        <f>IFERROR((G51-G111)*10000,"n/a")</f>
        <v>57.96846458045658</v>
      </c>
      <c r="H53" s="56">
        <f>IFERROR((H51-H111)*10000,"n/a")</f>
        <v>42.6095009806058</v>
      </c>
      <c r="I53" s="13"/>
    </row>
    <row r="54">
      <c r="A54" s="1"/>
      <c r="B54" s="15" t="s">
        <v>120</v>
      </c>
      <c r="C54" s="40">
        <f>IFERROR((C51-F111)*10000,"n/a")</f>
        <v>28.098261576471813</v>
      </c>
      <c r="D54" s="40">
        <f>IFERROR((D51-C51)*10000,"n/a")</f>
        <v>26.26554876557344</v>
      </c>
      <c r="E54" s="40">
        <f>IFERROR((E51-D51)*10000,"n/a")</f>
        <v>-8.07488546031833</v>
      </c>
      <c r="F54" s="40">
        <f>IFERROR((F51-E51)*10000,"n/a")</f>
        <v>31.92989365636674</v>
      </c>
      <c r="G54" s="40" t="s">
        <v>44</v>
      </c>
      <c r="H54" s="56">
        <f>IFERROR((H51-F51)*10000,"n/a")</f>
        <v>-7.511055981016049</v>
      </c>
      <c r="I54" s="13"/>
    </row>
    <row r="55">
      <c r="A55" s="1"/>
      <c r="B55" s="15" t="s">
        <v>102</v>
      </c>
      <c r="C55" s="11" t="s">
        <v>44</v>
      </c>
      <c r="D55" s="11" t="s">
        <v>44</v>
      </c>
      <c r="E55" s="11" t="s">
        <v>44</v>
      </c>
      <c r="F55" s="11" t="s">
        <v>44</v>
      </c>
      <c r="G55" s="11" t="s">
        <v>44</v>
      </c>
      <c r="H55" s="50" t="s">
        <v>44</v>
      </c>
      <c r="I55" s="13" t="s">
        <v>121</v>
      </c>
    </row>
    <row r="56">
      <c r="A56" s="1"/>
      <c r="B56" s="15" t="s">
        <v>122</v>
      </c>
      <c r="C56" s="5">
        <f>C52-C110</f>
        <v>-45</v>
      </c>
      <c r="D56" s="5">
        <f>D52-D110</f>
        <v>-93</v>
      </c>
      <c r="E56" s="5">
        <f>E52-E110</f>
        <v>-84</v>
      </c>
      <c r="F56" s="5">
        <f>F52-F110</f>
        <v>-85</v>
      </c>
      <c r="G56" s="5">
        <f>G52-G110</f>
        <v>-205</v>
      </c>
      <c r="H56" s="21">
        <f>H52-H110</f>
        <v>-51.43748599999998</v>
      </c>
      <c r="I56" s="13"/>
    </row>
    <row r="57">
      <c r="A57" s="1"/>
      <c r="B57" s="15" t="s">
        <v>123</v>
      </c>
      <c r="C57" s="5">
        <f>C52-F110</f>
        <v>-36</v>
      </c>
      <c r="D57" s="5">
        <f>D52-C52</f>
        <v>-50</v>
      </c>
      <c r="E57" s="5">
        <f>E52-D52</f>
        <v>39</v>
      </c>
      <c r="F57" s="5">
        <f>F52-E52</f>
        <v>-38</v>
      </c>
      <c r="G57" s="5" t="s">
        <v>44</v>
      </c>
      <c r="H57" s="21">
        <f>H52-F52</f>
        <v>-2.4374859999999785</v>
      </c>
      <c r="I57" s="13"/>
    </row>
    <row r="58">
      <c r="A58" s="1"/>
      <c r="B58" s="15" t="s">
        <v>103</v>
      </c>
      <c r="C58" s="11" t="s">
        <v>44</v>
      </c>
      <c r="D58" s="11" t="s">
        <v>44</v>
      </c>
      <c r="E58" s="11" t="s">
        <v>44</v>
      </c>
      <c r="F58" s="11" t="s">
        <v>44</v>
      </c>
      <c r="G58" s="11" t="s">
        <v>44</v>
      </c>
      <c r="H58" s="50" t="s">
        <v>44</v>
      </c>
      <c r="I58" s="13" t="s">
        <v>121</v>
      </c>
    </row>
    <row r="59">
      <c r="A59" s="1"/>
      <c r="B59" s="15" t="s">
        <v>104</v>
      </c>
      <c r="C59" s="11">
        <f>C52/C63</f>
        <v>-0.02800179211469534</v>
      </c>
      <c r="D59" s="11">
        <f>D52/D63</f>
        <v>-0.03078501795792714</v>
      </c>
      <c r="E59" s="11">
        <f>E52/E63</f>
        <v>-0.029927760577915376</v>
      </c>
      <c r="F59" s="11">
        <f>F52/F63</f>
        <v>-0.033325902808738296</v>
      </c>
      <c r="G59" s="11">
        <f>G52/G63</f>
        <v>-0.02635190008121202</v>
      </c>
      <c r="H59" s="50">
        <f>H52/H63</f>
        <v>-0.03252452245740837</v>
      </c>
      <c r="I59" s="13"/>
    </row>
    <row r="60">
      <c r="A60" s="1"/>
      <c r="B60" s="15" t="s">
        <v>106</v>
      </c>
      <c r="C60" s="11" t="s">
        <v>44</v>
      </c>
      <c r="D60" s="11" t="s">
        <v>44</v>
      </c>
      <c r="E60" s="11" t="s">
        <v>44</v>
      </c>
      <c r="F60" s="11" t="s">
        <v>44</v>
      </c>
      <c r="G60" s="11" t="s">
        <v>44</v>
      </c>
      <c r="H60" s="50" t="s">
        <v>44</v>
      </c>
      <c r="I60" s="13" t="s">
        <v>124</v>
      </c>
    </row>
    <row r="61">
      <c r="A61" s="1"/>
      <c r="B61" s="15" t="s">
        <v>107</v>
      </c>
      <c r="C61" s="11" t="s">
        <v>44</v>
      </c>
      <c r="D61" s="11" t="s">
        <v>44</v>
      </c>
      <c r="E61" s="11" t="s">
        <v>44</v>
      </c>
      <c r="F61" s="11" t="s">
        <v>44</v>
      </c>
      <c r="G61" s="11" t="s">
        <v>44</v>
      </c>
      <c r="H61" s="50" t="s">
        <v>44</v>
      </c>
      <c r="I61" s="13" t="s">
        <v>125</v>
      </c>
    </row>
    <row r="62" ht="24">
      <c r="A62" s="1"/>
      <c r="B62" s="57" t="s">
        <v>109</v>
      </c>
      <c r="C62" s="11" t="s">
        <v>44</v>
      </c>
      <c r="D62" s="11" t="s">
        <v>44</v>
      </c>
      <c r="E62" s="11" t="s">
        <v>44</v>
      </c>
      <c r="F62" s="11" t="s">
        <v>44</v>
      </c>
      <c r="G62" s="11" t="s">
        <v>44</v>
      </c>
      <c r="H62" s="50" t="s">
        <v>44</v>
      </c>
      <c r="I62" s="13" t="s">
        <v>126</v>
      </c>
    </row>
    <row r="63">
      <c r="A63" s="1"/>
      <c r="B63" s="45" t="s">
        <v>127</v>
      </c>
      <c r="C63" s="29">
        <f>C50+C52</f>
        <v>8928</v>
      </c>
      <c r="D63" s="29">
        <f>D50+D52</f>
        <v>9745</v>
      </c>
      <c r="E63" s="29">
        <f>E50+E52</f>
        <v>8721</v>
      </c>
      <c r="F63" s="29">
        <f>F50+F52</f>
        <v>8972</v>
      </c>
      <c r="G63" s="29">
        <f>G50+G52</f>
        <v>35709</v>
      </c>
      <c r="H63" s="47">
        <f>H50+H52</f>
        <v>9268.006513999999</v>
      </c>
      <c r="I63" s="13"/>
    </row>
    <row r="64">
      <c r="A64" s="1"/>
      <c r="B64" s="15" t="s">
        <v>102</v>
      </c>
      <c r="C64" s="11">
        <f>IFERROR(C63/C112-1,"n/a")</f>
        <v>-0.025221094005895894</v>
      </c>
      <c r="D64" s="11">
        <f>IFERROR(D63/D112-1,"n/a")</f>
        <v>0.04965532098233516</v>
      </c>
      <c r="E64" s="11">
        <f>IFERROR(E63/E112-1,"n/a")</f>
        <v>0.02720848056537095</v>
      </c>
      <c r="F64" s="11">
        <f>IFERROR(F63/F112-1,"n/a")</f>
        <v>0.04984788205008184</v>
      </c>
      <c r="G64" s="11">
        <f>IFERROR(G63/G112-1,"n/a")</f>
        <v>-0.01598280470666047</v>
      </c>
      <c r="H64" s="50">
        <f>IFERROR(H63/H112-1,"n/a")</f>
        <v>0.03808316689068092</v>
      </c>
      <c r="I64" s="13"/>
    </row>
    <row r="65">
      <c r="A65" s="1"/>
      <c r="B65" s="15" t="s">
        <v>123</v>
      </c>
      <c r="C65" s="5">
        <f>C63-F112</f>
        <v>382</v>
      </c>
      <c r="D65" s="5">
        <f>D63-C63</f>
        <v>817</v>
      </c>
      <c r="E65" s="5">
        <f>E63-D63</f>
        <v>-1024</v>
      </c>
      <c r="F65" s="5">
        <f>F63-E63</f>
        <v>251</v>
      </c>
      <c r="G65" s="5" t="s">
        <v>44</v>
      </c>
      <c r="H65" s="21">
        <f>H63-F63</f>
        <v>296.0065139999988</v>
      </c>
      <c r="I65" s="13"/>
    </row>
    <row r="66">
      <c r="A66" s="1"/>
      <c r="B66" s="15" t="s">
        <v>103</v>
      </c>
      <c r="C66" s="11">
        <f>IFERROR(C63/F112-1,"n/a")</f>
        <v>0.044699274514392595</v>
      </c>
      <c r="D66" s="11">
        <f>IFERROR(D63/C63-1,"n/a")</f>
        <v>0.09150985663082434</v>
      </c>
      <c r="E66" s="11">
        <f>IFERROR(E63/D63-1,"n/a")</f>
        <v>-0.10507952796305797</v>
      </c>
      <c r="F66" s="11">
        <f>IFERROR(F63/E63-1,"n/a")</f>
        <v>0.028781103084508652</v>
      </c>
      <c r="G66" s="11" t="s">
        <v>44</v>
      </c>
      <c r="H66" s="50">
        <f>IFERROR(H63/F63-1,"n/a")</f>
        <v>0.032992255238519785</v>
      </c>
      <c r="I66" s="13"/>
    </row>
    <row r="67">
      <c r="A67" s="1"/>
      <c r="B67" s="15" t="s">
        <v>104</v>
      </c>
      <c r="C67" s="11">
        <f>C63/C63</f>
        <v>1</v>
      </c>
      <c r="D67" s="11">
        <f>D63/D63</f>
        <v>1</v>
      </c>
      <c r="E67" s="11">
        <f>E63/E63</f>
        <v>1</v>
      </c>
      <c r="F67" s="11">
        <f>F63/F63</f>
        <v>1</v>
      </c>
      <c r="G67" s="11">
        <f>G63/G63</f>
        <v>1</v>
      </c>
      <c r="H67" s="50">
        <f>H63/H63</f>
        <v>1</v>
      </c>
      <c r="I67" s="13"/>
    </row>
    <row r="68" ht="24">
      <c r="A68" s="1"/>
      <c r="B68" s="4" t="s">
        <v>128</v>
      </c>
      <c r="C68" s="16">
        <f>C71-'Segment - Digital'!C43-'Segment - Production Systems'!C36</f>
        <v>-16</v>
      </c>
      <c r="D68" s="16">
        <f>D71-'Segment - Digital'!D43-'Segment - Production Systems'!D36</f>
        <v>-23</v>
      </c>
      <c r="E68" s="16">
        <f>E71-'Segment - Digital'!E43-'Segment - Production Systems'!E36</f>
        <v>-27</v>
      </c>
      <c r="F68" s="16">
        <f>F71-'Segment - Digital'!F43-'Segment - Production Systems'!F36</f>
        <v>-29</v>
      </c>
      <c r="G68" s="16">
        <f>G71-'Segment - Digital'!G43-'Segment - Production Systems'!G36</f>
        <v>-39</v>
      </c>
      <c r="H68" s="8">
        <v>-30</v>
      </c>
      <c r="I68" s="13" t="s">
        <v>129</v>
      </c>
    </row>
    <row r="69">
      <c r="A69" s="1"/>
      <c r="B69" s="15" t="s">
        <v>130</v>
      </c>
      <c r="C69" s="5">
        <f>C68-C113</f>
        <v>-16</v>
      </c>
      <c r="D69" s="5">
        <f>D68-D113</f>
        <v>-23</v>
      </c>
      <c r="E69" s="5">
        <f>E68-E113</f>
        <v>-27</v>
      </c>
      <c r="F69" s="5">
        <f>F68-F113</f>
        <v>-29</v>
      </c>
      <c r="G69" s="5">
        <f>G68-G113</f>
        <v>-39</v>
      </c>
      <c r="H69" s="21">
        <f>H68-H113</f>
        <v>-14</v>
      </c>
      <c r="I69" s="13"/>
    </row>
    <row r="70">
      <c r="A70" s="1"/>
      <c r="B70" s="15" t="s">
        <v>131</v>
      </c>
      <c r="C70" s="5">
        <f>C68-F113</f>
        <v>-16</v>
      </c>
      <c r="D70" s="5">
        <f>D68-C68</f>
        <v>-7</v>
      </c>
      <c r="E70" s="5">
        <f>E68-D68</f>
        <v>-4</v>
      </c>
      <c r="F70" s="5">
        <f>F68-E68</f>
        <v>-2</v>
      </c>
      <c r="G70" s="5" t="s">
        <v>44</v>
      </c>
      <c r="H70" s="21">
        <f>H68-F68</f>
        <v>-1</v>
      </c>
      <c r="I70" s="13"/>
    </row>
    <row r="71" ht="24">
      <c r="A71" s="1"/>
      <c r="B71" s="4" t="s">
        <v>132</v>
      </c>
      <c r="C71" s="9">
        <v>579</v>
      </c>
      <c r="D71" s="9">
        <v>879</v>
      </c>
      <c r="E71" s="9">
        <v>838</v>
      </c>
      <c r="F71" s="9">
        <v>870</v>
      </c>
      <c r="G71" s="22">
        <f>E114+F114+C71+D71</f>
        <v>1458</v>
      </c>
      <c r="H71" s="73">
        <f>'Segment - Digital'!H43+'Segment - Production Systems'!H36+H68</f>
        <v>885</v>
      </c>
      <c r="I71" s="13"/>
    </row>
    <row r="72">
      <c r="A72" s="1"/>
      <c r="B72" s="15" t="s">
        <v>130</v>
      </c>
      <c r="C72" s="5">
        <f>C71-C114</f>
        <v>579</v>
      </c>
      <c r="D72" s="5">
        <f>D71-D114</f>
        <v>879</v>
      </c>
      <c r="E72" s="5">
        <f>E71-E114</f>
        <v>838</v>
      </c>
      <c r="F72" s="5">
        <f>F71-F114</f>
        <v>870</v>
      </c>
      <c r="G72" s="5">
        <f>G71-G114</f>
        <v>1458</v>
      </c>
      <c r="H72" s="21">
        <f>H71-H114</f>
        <v>306</v>
      </c>
      <c r="I72" s="13"/>
    </row>
    <row r="73">
      <c r="A73" s="1"/>
      <c r="B73" s="15" t="s">
        <v>131</v>
      </c>
      <c r="C73" s="5">
        <f>C71-F114</f>
        <v>579</v>
      </c>
      <c r="D73" s="5">
        <f>D71-C71</f>
        <v>300</v>
      </c>
      <c r="E73" s="5">
        <f>E71-D71</f>
        <v>-41</v>
      </c>
      <c r="F73" s="5">
        <f>F71-E71</f>
        <v>32</v>
      </c>
      <c r="G73" s="5" t="s">
        <v>44</v>
      </c>
      <c r="H73" s="21">
        <f>H71-F71</f>
        <v>15</v>
      </c>
      <c r="I73" s="13"/>
    </row>
    <row r="74" ht="34.5">
      <c r="A74" s="1"/>
      <c r="B74" s="57" t="s">
        <v>133</v>
      </c>
      <c r="C74" s="11">
        <f>IFERROR((C63-C71)/(C112-C114)-1,"n/a")</f>
        <v>-0.08843760235833609</v>
      </c>
      <c r="D74" s="11">
        <f>IFERROR((D63-D71)/(D112-D114)-1,"n/a")</f>
        <v>-0.04502369668246442</v>
      </c>
      <c r="E74" s="11">
        <f>IFERROR((E63-E71)/(E112-E114)-1,"n/a")</f>
        <v>-0.07149587750294462</v>
      </c>
      <c r="F74" s="11">
        <f>IFERROR((F63-F71)/(F112-F114)-1,"n/a")</f>
        <v>-0.051954130587409275</v>
      </c>
      <c r="G74" s="11">
        <f>IFERROR((G63-G71)/(G112-G114)-1,"n/a")</f>
        <v>-0.056160268952024084</v>
      </c>
      <c r="H74" s="50">
        <f>IFERROR((H63-H71)/(H112-H114)-1,"n/a")</f>
        <v>0.004073124206491752</v>
      </c>
      <c r="I74" s="13" t="s">
        <v>134</v>
      </c>
    </row>
    <row r="75" ht="24">
      <c r="A75" s="1"/>
      <c r="B75" s="57" t="s">
        <v>135</v>
      </c>
      <c r="C75" s="11">
        <f>IFERROR((1+C64)/(1+C74)-1,"n/a")</f>
        <v>0.06934962270930645</v>
      </c>
      <c r="D75" s="11">
        <f>IFERROR((1+D64)/(1+D74)-1,"n/a")</f>
        <v>0.09914279269117965</v>
      </c>
      <c r="E75" s="11">
        <f>IFERROR((1+E64)/(1+E74)-1,"n/a")</f>
        <v>0.10630470633007727</v>
      </c>
      <c r="F75" s="11">
        <f>IFERROR((1+F64)/(1+F74)-1,"n/a")</f>
        <v>0.10738089360651681</v>
      </c>
      <c r="G75" s="11">
        <f>IFERROR((1+G64)/(1+G74)-1,"n/a")</f>
        <v>0.04256810020145396</v>
      </c>
      <c r="H75" s="50">
        <f>IFERROR((1+H64)/(1+H74)-1,"n/a")</f>
        <v>0.033872077505377796</v>
      </c>
      <c r="I75" s="13" t="s">
        <v>136</v>
      </c>
    </row>
    <row r="76">
      <c r="A76" s="1"/>
      <c r="B76" s="15" t="s">
        <v>107</v>
      </c>
      <c r="C76" s="11" t="s">
        <v>44</v>
      </c>
      <c r="D76" s="11" t="s">
        <v>44</v>
      </c>
      <c r="E76" s="11" t="s">
        <v>44</v>
      </c>
      <c r="F76" s="11" t="s">
        <v>44</v>
      </c>
      <c r="G76" s="11" t="s">
        <v>44</v>
      </c>
      <c r="H76" s="50" t="s">
        <v>44</v>
      </c>
      <c r="I76" s="13" t="s">
        <v>125</v>
      </c>
    </row>
    <row r="77" ht="34.5">
      <c r="A77" s="1"/>
      <c r="B77" s="57" t="s">
        <v>137</v>
      </c>
      <c r="C77" s="11" t="s">
        <v>44</v>
      </c>
      <c r="D77" s="11" t="s">
        <v>44</v>
      </c>
      <c r="E77" s="11" t="s">
        <v>44</v>
      </c>
      <c r="F77" s="11" t="s">
        <v>44</v>
      </c>
      <c r="G77" s="11" t="s">
        <v>44</v>
      </c>
      <c r="H77" s="50" t="s">
        <v>44</v>
      </c>
      <c r="I77" s="13" t="s">
        <v>138</v>
      </c>
    </row>
    <row r="78" ht="34.5">
      <c r="A78" s="1"/>
      <c r="B78" s="26" t="s">
        <v>139</v>
      </c>
      <c r="C78" s="29">
        <f>C18+C26+C34</f>
        <v>8123</v>
      </c>
      <c r="D78" s="29">
        <f>D18+D26+D34</f>
        <v>8775</v>
      </c>
      <c r="E78" s="29">
        <f>E18+E26+E34</f>
        <v>7899</v>
      </c>
      <c r="F78" s="29">
        <f>F18+F26+F34</f>
        <v>8069</v>
      </c>
      <c r="G78" s="29">
        <f>G18+G26+G34</f>
        <v>32002</v>
      </c>
      <c r="H78" s="47">
        <f>H18+H26+H34</f>
        <v>8323.179</v>
      </c>
      <c r="I78" s="13"/>
    </row>
    <row r="79">
      <c r="A79" s="1"/>
      <c r="B79" s="15" t="s">
        <v>102</v>
      </c>
      <c r="C79" s="11">
        <f>IFERROR(C78/C115-1,"n/a")</f>
        <v>-0.005996084189916817</v>
      </c>
      <c r="D79" s="11">
        <f>IFERROR(D78/D115-1,"n/a")</f>
        <v>0.06960019502681614</v>
      </c>
      <c r="E79" s="11">
        <f>IFERROR(E78/E115-1,"n/a")</f>
        <v>0.05067837190742219</v>
      </c>
      <c r="F79" s="11">
        <f>IFERROR(F78/F115-1,"n/a")</f>
        <v>0.06366991827049828</v>
      </c>
      <c r="G79" s="11">
        <f>IFERROR(G78/G115-1,"n/a")</f>
        <v>-0.014382949890664909</v>
      </c>
      <c r="H79" s="50">
        <f>IFERROR(H78/H115-1,"n/a")</f>
        <v>0.024643481472362394</v>
      </c>
      <c r="I79" s="13"/>
    </row>
    <row r="80">
      <c r="A80" s="1"/>
      <c r="B80" s="15" t="s">
        <v>103</v>
      </c>
      <c r="C80" s="11">
        <f>IFERROR(C78/F115-1,"n/a")</f>
        <v>0.07078829422620614</v>
      </c>
      <c r="D80" s="11">
        <f>IFERROR(D78/C78-1,"n/a")</f>
        <v>0.08026591160901142</v>
      </c>
      <c r="E80" s="11">
        <f>IFERROR(E78/D78-1,"n/a")</f>
        <v>-0.09982905982905987</v>
      </c>
      <c r="F80" s="11">
        <f>IFERROR(F78/E78-1,"n/a")</f>
        <v>0.021521711609064464</v>
      </c>
      <c r="G80" s="11" t="s">
        <v>44</v>
      </c>
      <c r="H80" s="50">
        <f>IFERROR(H78/F78-1,"n/a")</f>
        <v>0.03150068162101882</v>
      </c>
      <c r="I80" s="13"/>
    </row>
    <row r="81" ht="24">
      <c r="A81" s="1"/>
      <c r="B81" s="4" t="s">
        <v>140</v>
      </c>
      <c r="C81" s="16">
        <f>'Segment - Production Systems'!C36</f>
        <v>575</v>
      </c>
      <c r="D81" s="16">
        <f>'Segment - Production Systems'!D36</f>
        <v>874</v>
      </c>
      <c r="E81" s="16">
        <f>'Segment - Production Systems'!E36</f>
        <v>833</v>
      </c>
      <c r="F81" s="16">
        <f>'Segment - Production Systems'!F36</f>
        <v>865</v>
      </c>
      <c r="G81" s="16">
        <f>'Segment - Production Systems'!G36</f>
        <v>1449</v>
      </c>
      <c r="H81" s="73">
        <f>'Segment - Production Systems'!H36</f>
        <v>880</v>
      </c>
      <c r="I81" s="13"/>
    </row>
    <row r="82">
      <c r="A82" s="1"/>
      <c r="B82" s="15" t="s">
        <v>130</v>
      </c>
      <c r="C82" s="5">
        <f>C81-C116</f>
        <v>575</v>
      </c>
      <c r="D82" s="5">
        <f>D81-D116</f>
        <v>874</v>
      </c>
      <c r="E82" s="5">
        <f>E81-E116</f>
        <v>833</v>
      </c>
      <c r="F82" s="5">
        <f>F81-F116</f>
        <v>865</v>
      </c>
      <c r="G82" s="5">
        <f>G81-G116</f>
        <v>1449</v>
      </c>
      <c r="H82" s="21">
        <f>H81-H116</f>
        <v>305</v>
      </c>
      <c r="I82" s="13"/>
    </row>
    <row r="83">
      <c r="A83" s="1"/>
      <c r="B83" s="15" t="s">
        <v>131</v>
      </c>
      <c r="C83" s="5">
        <f>C81-F116</f>
        <v>575</v>
      </c>
      <c r="D83" s="5">
        <f>D81-C81</f>
        <v>299</v>
      </c>
      <c r="E83" s="5">
        <f>E81-D81</f>
        <v>-41</v>
      </c>
      <c r="F83" s="5">
        <f>F81-E81</f>
        <v>32</v>
      </c>
      <c r="G83" s="5" t="s">
        <v>44</v>
      </c>
      <c r="H83" s="21">
        <f>H81-F81</f>
        <v>15</v>
      </c>
      <c r="I83" s="13"/>
    </row>
    <row r="84" ht="34.5">
      <c r="A84" s="1"/>
      <c r="B84" s="57" t="s">
        <v>133</v>
      </c>
      <c r="C84" s="11">
        <f>IFERROR((C78-C81)/(C115-C116)-1,"n/a")</f>
        <v>-0.07635829662261384</v>
      </c>
      <c r="D84" s="11">
        <f>IFERROR((D78-D81)/(D115-D116)-1,"n/a")</f>
        <v>-0.03693320331545591</v>
      </c>
      <c r="E84" s="11">
        <f>IFERROR((E78-E81)/(E115-E116)-1,"n/a")</f>
        <v>-0.060122372971535</v>
      </c>
      <c r="F84" s="11">
        <f>IFERROR((F78-F81)/(F115-F116)-1,"n/a")</f>
        <v>-0.05035591879778545</v>
      </c>
      <c r="G84" s="11">
        <f>IFERROR((G78-G81)/(G115-G116)-1,"n/a")</f>
        <v>-0.059010132742000065</v>
      </c>
      <c r="H84" s="50">
        <f>IFERROR((H78-H81)/(H115-H116)-1,"n/a")</f>
        <v>-0.013887254901960744</v>
      </c>
      <c r="I84" s="13" t="s">
        <v>134</v>
      </c>
    </row>
    <row r="85" ht="24">
      <c r="A85" s="1"/>
      <c r="B85" s="57" t="s">
        <v>135</v>
      </c>
      <c r="C85" s="11">
        <f>IFERROR((1+C79)/(1+C84)-1,"n/a")</f>
        <v>0.07617912029676743</v>
      </c>
      <c r="D85" s="11">
        <f>IFERROR((1+D79)/(1+D84)-1,"n/a")</f>
        <v>0.11061890899886095</v>
      </c>
      <c r="E85" s="11">
        <f>IFERROR((1+E79)/(1+E84)-1,"n/a")</f>
        <v>0.11788848004528729</v>
      </c>
      <c r="F85" s="11">
        <f>IFERROR((1+F79)/(1+F84)-1,"n/a")</f>
        <v>0.12007218212104398</v>
      </c>
      <c r="G85" s="11">
        <f>IFERROR((1+G79)/(1+G84)-1,"n/a")</f>
        <v>0.04742578470199321</v>
      </c>
      <c r="H85" s="50">
        <f>IFERROR((1+H79)/(1+H84)-1,"n/a")</f>
        <v>0.03907335805754375</v>
      </c>
      <c r="I85" s="13" t="s">
        <v>136</v>
      </c>
    </row>
    <row r="86">
      <c r="A86" s="1"/>
      <c r="B86" s="15" t="s">
        <v>107</v>
      </c>
      <c r="C86" s="11" t="s">
        <v>44</v>
      </c>
      <c r="D86" s="11" t="s">
        <v>44</v>
      </c>
      <c r="E86" s="11" t="s">
        <v>44</v>
      </c>
      <c r="F86" s="11" t="s">
        <v>44</v>
      </c>
      <c r="G86" s="11" t="s">
        <v>44</v>
      </c>
      <c r="H86" s="50" t="s">
        <v>44</v>
      </c>
      <c r="I86" s="13" t="s">
        <v>125</v>
      </c>
    </row>
    <row r="87" ht="34.5">
      <c r="A87" s="1"/>
      <c r="B87" s="57" t="s">
        <v>137</v>
      </c>
      <c r="C87" s="11" t="s">
        <v>44</v>
      </c>
      <c r="D87" s="11" t="s">
        <v>44</v>
      </c>
      <c r="E87" s="11" t="s">
        <v>44</v>
      </c>
      <c r="F87" s="11" t="s">
        <v>44</v>
      </c>
      <c r="G87" s="11" t="s">
        <v>44</v>
      </c>
      <c r="H87" s="50" t="s">
        <v>44</v>
      </c>
      <c r="I87" s="13" t="s">
        <v>138</v>
      </c>
    </row>
    <row r="88">
      <c r="A88" s="1"/>
      <c r="B88" s="41" t="s">
        <v>141</v>
      </c>
      <c r="C88" s="1"/>
      <c r="D88" s="1"/>
      <c r="E88" s="1"/>
      <c r="F88" s="1"/>
      <c r="G88" s="1"/>
      <c r="H88" s="53"/>
      <c r="I88" s="13"/>
    </row>
    <row r="89" ht="45">
      <c r="A89" s="1"/>
      <c r="B89" s="4" t="s">
        <v>142</v>
      </c>
      <c r="C89" s="16">
        <f>Inputs!$I$110</f>
        <v>8928</v>
      </c>
      <c r="D89" s="16">
        <f>Inputs!$I$111</f>
        <v>9745</v>
      </c>
      <c r="E89" s="16">
        <f>Inputs!$I$112</f>
        <v>8721</v>
      </c>
      <c r="F89" s="16">
        <f>Inputs!$I$113</f>
        <v>8972</v>
      </c>
      <c r="G89" s="9">
        <v>35708</v>
      </c>
      <c r="H89" s="37" t="s">
        <v>44</v>
      </c>
      <c r="I89" s="13" t="s">
        <v>143</v>
      </c>
    </row>
    <row r="90">
      <c r="A90" s="1"/>
      <c r="B90" s="15" t="s">
        <v>144</v>
      </c>
      <c r="C90" s="5">
        <f>C63-C89</f>
        <v>0</v>
      </c>
      <c r="D90" s="5">
        <f>D63-D89</f>
        <v>0</v>
      </c>
      <c r="E90" s="5">
        <f>E63-E89</f>
        <v>0</v>
      </c>
      <c r="F90" s="5">
        <f>F63-F89</f>
        <v>0</v>
      </c>
      <c r="G90" s="5">
        <f>G63-G89</f>
        <v>1</v>
      </c>
      <c r="H90" s="21" t="s">
        <v>44</v>
      </c>
      <c r="I90" s="13"/>
    </row>
    <row r="91" ht="24">
      <c r="A91" s="1"/>
      <c r="B91" s="4" t="s">
        <v>145</v>
      </c>
      <c r="C91" s="22" t="s">
        <v>44</v>
      </c>
      <c r="D91" s="22" t="s">
        <v>44</v>
      </c>
      <c r="E91" s="22" t="s">
        <v>44</v>
      </c>
      <c r="F91" s="22" t="s">
        <v>44</v>
      </c>
      <c r="G91" s="22" t="s">
        <v>44</v>
      </c>
      <c r="H91" s="73">
        <f>Inputs!$C$20</f>
        <v>9266.41</v>
      </c>
      <c r="I91" s="13"/>
    </row>
    <row r="92">
      <c r="A92" s="1"/>
      <c r="B92" s="15" t="s">
        <v>146</v>
      </c>
      <c r="C92" s="5" t="s">
        <v>44</v>
      </c>
      <c r="D92" s="5" t="s">
        <v>44</v>
      </c>
      <c r="E92" s="5" t="s">
        <v>44</v>
      </c>
      <c r="F92" s="5" t="s">
        <v>44</v>
      </c>
      <c r="G92" s="5" t="s">
        <v>44</v>
      </c>
      <c r="H92" s="21">
        <f>H63-H91</f>
        <v>1.5965139999989333</v>
      </c>
      <c r="I92" s="13"/>
    </row>
    <row r="93" ht="34.5">
      <c r="A93" s="1"/>
      <c r="B93" s="4" t="s">
        <v>147</v>
      </c>
      <c r="C93" s="38" t="b">
        <f>AND(ROUND(C63-C89,6)=0,ROUND(C63-(C10+C18+C26+C34+C42+C52),6)=0)</f>
        <v>1</v>
      </c>
      <c r="D93" s="38" t="b">
        <f>AND(ROUND(D63-D89,6)=0,ROUND(D63-(D10+D18+D26+D34+D42+D52),6)=0)</f>
        <v>1</v>
      </c>
      <c r="E93" s="38" t="b">
        <f>AND(ROUND(E63-E89,6)=0,ROUND(E63-(E10+E18+E26+E34+E42+E52),6)=0)</f>
        <v>1</v>
      </c>
      <c r="F93" s="38" t="b">
        <f>AND(ROUND(F63-F89,6)=0,ROUND(F63-(F10+F18+F26+F34+F42+F52),6)=0)</f>
        <v>1</v>
      </c>
      <c r="G93" s="38" t="b">
        <f>AND(ABS(G63-G89)&lt;=2,ROUND(G63-(G10+G18+G26+G34+G42+G52),6)=0)</f>
        <v>1</v>
      </c>
      <c r="H93" s="68" t="b">
        <f>ROUND(H63-(H10+H18+H26+H34+H42+H52),6)=0</f>
        <v>1</v>
      </c>
      <c r="I93" s="13" t="s">
        <v>148</v>
      </c>
    </row>
    <row r="94">
      <c r="A94" s="1"/>
      <c r="B94" s="41" t="s">
        <v>149</v>
      </c>
      <c r="C94" s="1"/>
      <c r="D94" s="1"/>
      <c r="E94" s="1"/>
      <c r="F94" s="1"/>
      <c r="G94" s="1"/>
      <c r="H94" s="53"/>
      <c r="I94" s="13"/>
    </row>
    <row r="95">
      <c r="A95" s="1"/>
      <c r="B95" s="1" t="s">
        <v>150</v>
      </c>
      <c r="C95" s="16">
        <f>Geo!C64</f>
        <v>6916</v>
      </c>
      <c r="D95" s="16">
        <f>Geo!D64</f>
        <v>7452</v>
      </c>
      <c r="E95" s="16">
        <f>Geo!E64</f>
        <v>6471</v>
      </c>
      <c r="F95" s="16">
        <f>Geo!F64</f>
        <v>6671</v>
      </c>
      <c r="G95" s="16">
        <f>Geo!G64</f>
        <v>27942</v>
      </c>
      <c r="H95" s="73">
        <f>Geo!H64</f>
        <v>6879.246513999999</v>
      </c>
      <c r="I95" s="13"/>
    </row>
    <row r="96">
      <c r="A96" s="1"/>
      <c r="B96" s="15" t="s">
        <v>151</v>
      </c>
      <c r="C96" s="11">
        <f>C95/C63</f>
        <v>0.774641577060932</v>
      </c>
      <c r="D96" s="11">
        <f>D95/D63</f>
        <v>0.7646998460749103</v>
      </c>
      <c r="E96" s="11">
        <f>E95/E63</f>
        <v>0.7420020639834881</v>
      </c>
      <c r="F96" s="11">
        <f>F95/F63</f>
        <v>0.7435354436023183</v>
      </c>
      <c r="G96" s="11">
        <f>G95/G63</f>
        <v>0.7824918087877005</v>
      </c>
      <c r="H96" s="50">
        <f>H95/H63</f>
        <v>0.7422574103296535</v>
      </c>
      <c r="I96" s="13"/>
    </row>
    <row r="97">
      <c r="A97" s="1"/>
      <c r="B97" s="1" t="s">
        <v>152</v>
      </c>
      <c r="C97" s="16">
        <f>Geo!C18</f>
        <v>1930</v>
      </c>
      <c r="D97" s="16">
        <f>Geo!D18</f>
        <v>2212</v>
      </c>
      <c r="E97" s="16">
        <f>Geo!E18</f>
        <v>2167</v>
      </c>
      <c r="F97" s="16">
        <f>Geo!F18</f>
        <v>2244</v>
      </c>
      <c r="G97" s="16">
        <f>Geo!G18</f>
        <v>7516</v>
      </c>
      <c r="H97" s="73">
        <f>Geo!H18</f>
        <v>2333.76</v>
      </c>
      <c r="I97" s="13"/>
    </row>
    <row r="98">
      <c r="A98" s="1"/>
      <c r="B98" s="15" t="s">
        <v>151</v>
      </c>
      <c r="C98" s="11">
        <f>C97/C63</f>
        <v>0.21617383512544802</v>
      </c>
      <c r="D98" s="11">
        <f>D97/D63</f>
        <v>0.22698819907644946</v>
      </c>
      <c r="E98" s="11">
        <f>E97/E63</f>
        <v>0.2484806788212361</v>
      </c>
      <c r="F98" s="11">
        <f>F97/F63</f>
        <v>0.2501114578689255</v>
      </c>
      <c r="G98" s="11">
        <f>G97/G63</f>
        <v>0.21047915091433533</v>
      </c>
      <c r="H98" s="50">
        <f>H97/H63</f>
        <v>0.2518081959129707</v>
      </c>
      <c r="I98" s="13"/>
    </row>
    <row r="99">
      <c r="A99" s="1"/>
      <c r="B99" s="1" t="s">
        <v>153</v>
      </c>
      <c r="C99" s="16">
        <f>Geo!C54</f>
        <v>82</v>
      </c>
      <c r="D99" s="16">
        <f>Geo!D54</f>
        <v>81</v>
      </c>
      <c r="E99" s="16">
        <f>Geo!E54</f>
        <v>83</v>
      </c>
      <c r="F99" s="16">
        <f>Geo!F54</f>
        <v>57</v>
      </c>
      <c r="G99" s="16">
        <f>Geo!G54</f>
        <v>251</v>
      </c>
      <c r="H99" s="73">
        <f>Geo!H54</f>
        <v>55</v>
      </c>
      <c r="I99" s="13"/>
    </row>
    <row r="100">
      <c r="A100" s="1"/>
      <c r="B100" s="15" t="s">
        <v>151</v>
      </c>
      <c r="C100" s="11">
        <f>C99/C63</f>
        <v>0.009184587813620072</v>
      </c>
      <c r="D100" s="11">
        <f>D99/D63</f>
        <v>0.008311954848640328</v>
      </c>
      <c r="E100" s="11">
        <f>E99/E63</f>
        <v>0.00951725719527577</v>
      </c>
      <c r="F100" s="11">
        <f>F99/F63</f>
        <v>0.00635309852875613</v>
      </c>
      <c r="G100" s="11">
        <f>G99/G63</f>
        <v>0.007029040297964099</v>
      </c>
      <c r="H100" s="50">
        <f>H99/H63</f>
        <v>0.005934393757375817</v>
      </c>
      <c r="I100" s="13"/>
    </row>
    <row r="101" ht="55.5">
      <c r="A101" s="1"/>
      <c r="B101" s="57" t="s">
        <v>154</v>
      </c>
      <c r="C101" s="72"/>
      <c r="D101" s="72"/>
      <c r="E101" s="72"/>
      <c r="F101" s="72"/>
      <c r="G101" s="72"/>
      <c r="H101" s="79"/>
      <c r="I101" s="13"/>
    </row>
    <row r="102">
      <c r="A102" s="1"/>
      <c r="B102" s="1"/>
      <c r="C102" s="1"/>
      <c r="D102" s="1"/>
      <c r="E102" s="1"/>
      <c r="F102" s="1"/>
      <c r="G102" s="1"/>
      <c r="H102" s="53"/>
      <c r="I102" s="13"/>
    </row>
    <row r="103">
      <c r="A103" s="1"/>
      <c r="B103" s="41" t="s">
        <v>155</v>
      </c>
      <c r="C103" s="1"/>
      <c r="D103" s="1"/>
      <c r="E103" s="1"/>
      <c r="F103" s="1"/>
      <c r="G103" s="1"/>
      <c r="H103" s="53"/>
      <c r="I103" s="13" t="s">
        <v>156</v>
      </c>
    </row>
    <row r="104">
      <c r="A104" s="1"/>
      <c r="B104" s="1" t="s">
        <v>157</v>
      </c>
      <c r="C104" s="16">
        <f>'Segment - Digital'!C126</f>
        <v>638</v>
      </c>
      <c r="D104" s="16">
        <f>'Segment - Digital'!D126</f>
        <v>705</v>
      </c>
      <c r="E104" s="16">
        <f>'Segment - Digital'!E126</f>
        <v>587</v>
      </c>
      <c r="F104" s="16">
        <f>'Segment - Digital'!F126</f>
        <v>591</v>
      </c>
      <c r="G104" s="16">
        <f>'Segment - Digital'!G126</f>
        <v>2439</v>
      </c>
      <c r="H104" s="37">
        <f>C10</f>
        <v>658</v>
      </c>
      <c r="I104" s="13"/>
    </row>
    <row r="105" ht="24">
      <c r="A105" s="1"/>
      <c r="B105" s="4" t="s">
        <v>158</v>
      </c>
      <c r="C105" s="16">
        <f>'Segment - Reservoir Performance'!C81</f>
        <v>1823</v>
      </c>
      <c r="D105" s="16">
        <f>'Segment - Reservoir Performance'!D81</f>
        <v>1810</v>
      </c>
      <c r="E105" s="16">
        <f>'Segment - Reservoir Performance'!E81</f>
        <v>1700</v>
      </c>
      <c r="F105" s="16">
        <f>'Segment - Reservoir Performance'!F81</f>
        <v>1691</v>
      </c>
      <c r="G105" s="16">
        <f>'Segment - Reservoir Performance'!G81</f>
        <v>7177</v>
      </c>
      <c r="H105" s="37">
        <f>C18</f>
        <v>1682</v>
      </c>
      <c r="I105" s="13"/>
    </row>
    <row r="106" ht="24">
      <c r="A106" s="1"/>
      <c r="B106" s="4" t="s">
        <v>159</v>
      </c>
      <c r="C106" s="16">
        <f>'Segment - Well Construction'!C81</f>
        <v>3312</v>
      </c>
      <c r="D106" s="16">
        <f>'Segment - Well Construction'!D81</f>
        <v>3267</v>
      </c>
      <c r="E106" s="16">
        <f>'Segment - Well Construction'!E81</f>
        <v>2977</v>
      </c>
      <c r="F106" s="16">
        <f>'Segment - Well Construction'!F81</f>
        <v>2963</v>
      </c>
      <c r="G106" s="16">
        <f>'Segment - Well Construction'!G81</f>
        <v>13357</v>
      </c>
      <c r="H106" s="37">
        <f>C26</f>
        <v>2967</v>
      </c>
      <c r="I106" s="13"/>
    </row>
    <row r="107" ht="24">
      <c r="A107" s="1"/>
      <c r="B107" s="4" t="s">
        <v>160</v>
      </c>
      <c r="C107" s="16">
        <f>'Segment - Production Systems'!C106</f>
        <v>3037</v>
      </c>
      <c r="D107" s="16">
        <f>'Segment - Production Systems'!D106</f>
        <v>3127</v>
      </c>
      <c r="E107" s="16">
        <f>'Segment - Production Systems'!E106</f>
        <v>2841</v>
      </c>
      <c r="F107" s="16">
        <f>'Segment - Production Systems'!F106</f>
        <v>2932</v>
      </c>
      <c r="G107" s="16">
        <f>'Segment - Production Systems'!G106</f>
        <v>11935</v>
      </c>
      <c r="H107" s="37">
        <f>C34</f>
        <v>3474</v>
      </c>
      <c r="I107" s="13"/>
    </row>
    <row r="108" ht="34.5">
      <c r="A108" s="1"/>
      <c r="B108" s="4" t="s">
        <v>161</v>
      </c>
      <c r="C108" s="16">
        <f>'Segment - All Other'!C74</f>
        <v>554</v>
      </c>
      <c r="D108" s="16">
        <f>'Segment - All Other'!D74</f>
        <v>582</v>
      </c>
      <c r="E108" s="16">
        <f>'Segment - All Other'!E74</f>
        <v>562</v>
      </c>
      <c r="F108" s="16">
        <f>'Segment - All Other'!F74</f>
        <v>583</v>
      </c>
      <c r="G108" s="16">
        <f>'Segment - All Other'!G74</f>
        <v>2117</v>
      </c>
      <c r="H108" s="37">
        <f>C42</f>
        <v>397</v>
      </c>
      <c r="I108" s="13"/>
    </row>
    <row r="109" ht="24">
      <c r="A109" s="1"/>
      <c r="B109" s="4" t="s">
        <v>162</v>
      </c>
      <c r="C109" s="22">
        <f>C104+C105+C106+C107+C108</f>
        <v>9364</v>
      </c>
      <c r="D109" s="22">
        <f>D104+D105+D106+D107+D108</f>
        <v>9491</v>
      </c>
      <c r="E109" s="22">
        <f>E104+E105+E106+E107+E108</f>
        <v>8667</v>
      </c>
      <c r="F109" s="22">
        <f>F104+F105+F106+F107+F108</f>
        <v>8760</v>
      </c>
      <c r="G109" s="22">
        <f>G104+G105+G106+G107+G108</f>
        <v>37025</v>
      </c>
      <c r="H109" s="37">
        <f>C50</f>
        <v>9178</v>
      </c>
      <c r="I109" s="13"/>
    </row>
    <row r="110" ht="24">
      <c r="A110" s="1"/>
      <c r="B110" s="4" t="s">
        <v>163</v>
      </c>
      <c r="C110" s="9">
        <v>-205</v>
      </c>
      <c r="D110" s="9">
        <v>-207</v>
      </c>
      <c r="E110" s="9">
        <v>-177</v>
      </c>
      <c r="F110" s="9">
        <v>-214</v>
      </c>
      <c r="G110" s="9">
        <v>-736</v>
      </c>
      <c r="H110" s="37">
        <f>C52</f>
        <v>-250</v>
      </c>
      <c r="I110" s="13"/>
    </row>
    <row r="111" ht="24">
      <c r="A111" s="1"/>
      <c r="B111" s="57" t="s">
        <v>164</v>
      </c>
      <c r="C111" s="11">
        <f>-C110/C109</f>
        <v>0.021892353695002136</v>
      </c>
      <c r="D111" s="11">
        <f>-D110/D109</f>
        <v>0.02181013591823833</v>
      </c>
      <c r="E111" s="11">
        <f>-E110/E109</f>
        <v>0.020422291450328832</v>
      </c>
      <c r="F111" s="11">
        <f>-F110/F109</f>
        <v>0.02442922374429224</v>
      </c>
      <c r="G111" s="11">
        <f>-G110/G109</f>
        <v>0.019878460499662392</v>
      </c>
      <c r="H111" s="50">
        <f>C51</f>
        <v>0.02723904990193942</v>
      </c>
      <c r="I111" s="13"/>
    </row>
    <row r="112">
      <c r="A112" s="1"/>
      <c r="B112" s="1" t="s">
        <v>165</v>
      </c>
      <c r="C112" s="22">
        <f>C109+C110</f>
        <v>9159</v>
      </c>
      <c r="D112" s="22">
        <f>D109+D110</f>
        <v>9284</v>
      </c>
      <c r="E112" s="22">
        <f>E109+E110</f>
        <v>8490</v>
      </c>
      <c r="F112" s="22">
        <f>F109+F110</f>
        <v>8546</v>
      </c>
      <c r="G112" s="22">
        <f>G109+G110</f>
        <v>36289</v>
      </c>
      <c r="H112" s="37">
        <f>C63</f>
        <v>8928</v>
      </c>
      <c r="I112" s="13"/>
    </row>
    <row r="113" ht="24">
      <c r="A113" s="1"/>
      <c r="B113" s="4" t="s">
        <v>166</v>
      </c>
      <c r="C113" s="16">
        <f>C114-'Segment - Digital'!C127-'Segment - Production Systems'!C107</f>
        <v>0</v>
      </c>
      <c r="D113" s="16">
        <f>D114-'Segment - Digital'!D127-'Segment - Production Systems'!D107</f>
        <v>0</v>
      </c>
      <c r="E113" s="16">
        <f>E114-'Segment - Digital'!E127-'Segment - Production Systems'!E107</f>
        <v>0</v>
      </c>
      <c r="F113" s="16">
        <f>F114-'Segment - Digital'!F127-'Segment - Production Systems'!F107</f>
        <v>0</v>
      </c>
      <c r="G113" s="16">
        <f>G114-'Segment - Digital'!G127-'Segment - Production Systems'!G107</f>
        <v>0</v>
      </c>
      <c r="H113" s="37">
        <f>C68</f>
        <v>-16</v>
      </c>
      <c r="I113" s="13"/>
    </row>
    <row r="114" ht="24">
      <c r="A114" s="1"/>
      <c r="B114" s="4" t="s">
        <v>167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37">
        <f>C71</f>
        <v>579</v>
      </c>
      <c r="I114" s="13"/>
    </row>
    <row r="115">
      <c r="A115" s="1"/>
      <c r="B115" s="1" t="s">
        <v>168</v>
      </c>
      <c r="C115" s="22">
        <f>C105+C106+C107</f>
        <v>8172</v>
      </c>
      <c r="D115" s="22">
        <f>D105+D106+D107</f>
        <v>8204</v>
      </c>
      <c r="E115" s="22">
        <f>E105+E106+E107</f>
        <v>7518</v>
      </c>
      <c r="F115" s="22">
        <f>F105+F106+F107</f>
        <v>7586</v>
      </c>
      <c r="G115" s="22">
        <f>G105+G106+G107</f>
        <v>32469</v>
      </c>
      <c r="H115" s="37">
        <f>C78</f>
        <v>8123</v>
      </c>
      <c r="I115" s="13"/>
    </row>
    <row r="116" ht="24">
      <c r="A116" s="1"/>
      <c r="B116" s="4" t="s">
        <v>169</v>
      </c>
      <c r="C116" s="16">
        <f>'Segment - Production Systems'!C107</f>
        <v>0</v>
      </c>
      <c r="D116" s="16">
        <f>'Segment - Production Systems'!D107</f>
        <v>0</v>
      </c>
      <c r="E116" s="16">
        <f>'Segment - Production Systems'!E107</f>
        <v>0</v>
      </c>
      <c r="F116" s="16">
        <f>'Segment - Production Systems'!F107</f>
        <v>0</v>
      </c>
      <c r="G116" s="16">
        <f>'Segment - Production Systems'!G107</f>
        <v>0</v>
      </c>
      <c r="H116" s="37">
        <f>C81</f>
        <v>575</v>
      </c>
      <c r="I116" s="13"/>
    </row>
    <row r="117">
      <c r="A117" s="1"/>
      <c r="B117" s="1"/>
      <c r="C117" s="1"/>
      <c r="D117" s="1"/>
      <c r="E117" s="1"/>
      <c r="F117" s="1"/>
      <c r="G117" s="1"/>
      <c r="H117" s="1"/>
      <c r="I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4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51" t="s">
        <v>1</v>
      </c>
      <c r="C2" s="1"/>
      <c r="D2" s="1"/>
      <c r="E2" s="1"/>
      <c r="F2" s="1"/>
      <c r="G2" s="1"/>
      <c r="H2" s="1"/>
      <c r="I2" s="1"/>
    </row>
    <row r="3">
      <c r="A3" s="1"/>
      <c r="B3" s="33" t="s">
        <v>170</v>
      </c>
      <c r="C3" s="1"/>
      <c r="D3" s="1"/>
      <c r="E3" s="1"/>
      <c r="F3" s="1"/>
      <c r="G3" s="1"/>
      <c r="H3" s="1"/>
      <c r="I3" s="1"/>
    </row>
    <row r="4">
      <c r="A4" s="1"/>
      <c r="B4" s="15" t="s">
        <v>3</v>
      </c>
      <c r="C4" s="1"/>
      <c r="D4" s="1"/>
      <c r="E4" s="1"/>
      <c r="F4" s="1"/>
      <c r="G4" s="1"/>
      <c r="H4" s="1"/>
      <c r="I4" s="1"/>
    </row>
    <row r="5">
      <c r="A5" s="1"/>
      <c r="B5" s="4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58" t="s">
        <v>10</v>
      </c>
      <c r="I5" s="46" t="s">
        <v>99</v>
      </c>
    </row>
    <row r="6">
      <c r="A6" s="1"/>
      <c r="B6" s="34" t="s">
        <v>11</v>
      </c>
      <c r="C6" s="18">
        <f>DATE(2025,9,30)</f>
        <v>45930</v>
      </c>
      <c r="D6" s="18">
        <f>DATE(2025,12,31)</f>
        <v>46022</v>
      </c>
      <c r="E6" s="18">
        <f>DATE(2026,3,31)</f>
        <v>46112</v>
      </c>
      <c r="F6" s="18">
        <f>DATE(2026,6,30)</f>
        <v>46203</v>
      </c>
      <c r="G6" s="18">
        <f>DATE(2025,12,31)</f>
        <v>46022</v>
      </c>
      <c r="H6" s="55">
        <f>DATE(2026,9,30)</f>
        <v>46295</v>
      </c>
      <c r="I6" s="34"/>
    </row>
    <row r="7">
      <c r="A7" s="1"/>
      <c r="B7" s="12" t="s">
        <v>12</v>
      </c>
      <c r="C7" s="6">
        <f>C6-EOMONTH(C6,-3)</f>
        <v>92</v>
      </c>
      <c r="D7" s="6">
        <f>D6-EOMONTH(D6,-3)</f>
        <v>92</v>
      </c>
      <c r="E7" s="6">
        <f>E6-EOMONTH(E6,-3)</f>
        <v>90</v>
      </c>
      <c r="F7" s="6">
        <f>F6-EOMONTH(F6,-3)</f>
        <v>91</v>
      </c>
      <c r="G7" s="6">
        <f>G6-EOMONTH(G6,-12)</f>
        <v>365</v>
      </c>
      <c r="H7" s="17">
        <f>H6-EOMONTH(H6,-3)</f>
        <v>92</v>
      </c>
      <c r="I7" s="12"/>
    </row>
    <row r="8">
      <c r="A8" s="1"/>
      <c r="B8" s="1"/>
      <c r="C8" s="1"/>
      <c r="D8" s="1"/>
      <c r="E8" s="1"/>
      <c r="F8" s="1"/>
      <c r="G8" s="1"/>
      <c r="H8" s="53"/>
      <c r="I8" s="1"/>
    </row>
    <row r="9">
      <c r="A9" s="1"/>
      <c r="B9" s="41" t="s">
        <v>171</v>
      </c>
      <c r="C9" s="1"/>
      <c r="D9" s="1"/>
      <c r="E9" s="1"/>
      <c r="F9" s="1"/>
      <c r="G9" s="1"/>
      <c r="H9" s="53"/>
      <c r="I9" s="13"/>
    </row>
    <row r="10" ht="24">
      <c r="A10" s="1"/>
      <c r="B10" s="4" t="s">
        <v>172</v>
      </c>
      <c r="C10" s="22">
        <f>F126</f>
        <v>591</v>
      </c>
      <c r="D10" s="22">
        <f>C39</f>
        <v>658</v>
      </c>
      <c r="E10" s="22">
        <f>D39</f>
        <v>825</v>
      </c>
      <c r="F10" s="22">
        <f>E39</f>
        <v>640</v>
      </c>
      <c r="G10" s="22" t="s">
        <v>44</v>
      </c>
      <c r="H10" s="37">
        <f>F39</f>
        <v>697</v>
      </c>
      <c r="I10" s="13" t="s">
        <v>173</v>
      </c>
    </row>
    <row r="11">
      <c r="A11" s="1"/>
      <c r="B11" s="1" t="s">
        <v>174</v>
      </c>
      <c r="C11" s="9">
        <v>273</v>
      </c>
      <c r="D11" s="9">
        <v>291</v>
      </c>
      <c r="E11" s="9">
        <v>241</v>
      </c>
      <c r="F11" s="9">
        <v>258</v>
      </c>
      <c r="G11" s="22">
        <f>E122+F122+C11+D11</f>
        <v>1066</v>
      </c>
      <c r="H11" s="37">
        <f>F11*(1+H12)</f>
        <v>261.86999999999995</v>
      </c>
      <c r="I11" s="13"/>
    </row>
    <row r="12" ht="24">
      <c r="A12" s="1"/>
      <c r="B12" s="57" t="s">
        <v>175</v>
      </c>
      <c r="C12" s="11">
        <f>IFERROR(C11/F122-1,"n/a")</f>
        <v>0.026315789473684292</v>
      </c>
      <c r="D12" s="11">
        <f>IFERROR(D11/C11-1,"n/a")</f>
        <v>0.06593406593406592</v>
      </c>
      <c r="E12" s="11">
        <f>IFERROR(E11/D11-1,"n/a")</f>
        <v>-0.17182130584192434</v>
      </c>
      <c r="F12" s="11">
        <f>IFERROR(F11/E11-1,"n/a")</f>
        <v>0.0705394190871369</v>
      </c>
      <c r="G12" s="11" t="s">
        <v>44</v>
      </c>
      <c r="H12" s="66">
        <v>0.015</v>
      </c>
      <c r="I12" s="13" t="s">
        <v>176</v>
      </c>
    </row>
    <row r="13">
      <c r="A13" s="1"/>
      <c r="B13" s="15" t="s">
        <v>177</v>
      </c>
      <c r="C13" s="11">
        <f>IFERROR(C11/C122-1,"n/a")</f>
        <v>0.041984732824427384</v>
      </c>
      <c r="D13" s="11">
        <f>IFERROR(D11/D122-1,"n/a")</f>
        <v>-0.03322259136212624</v>
      </c>
      <c r="E13" s="11">
        <f>IFERROR(E11/E122-1,"n/a")</f>
        <v>0.021186440677966045</v>
      </c>
      <c r="F13" s="11">
        <f>IFERROR(F11/F122-1,"n/a")</f>
        <v>-0.03007518796992481</v>
      </c>
      <c r="G13" s="11">
        <f>IFERROR(G11/G122-1,"n/a")</f>
        <v>0.04203323558162264</v>
      </c>
      <c r="H13" s="50">
        <f>IFERROR(H11/H122-1,"n/a")</f>
        <v>-0.040769230769231</v>
      </c>
      <c r="I13" s="13"/>
    </row>
    <row r="14">
      <c r="A14" s="1"/>
      <c r="B14" s="15" t="s">
        <v>131</v>
      </c>
      <c r="C14" s="5">
        <f>C11-F122</f>
        <v>7</v>
      </c>
      <c r="D14" s="5">
        <f>D11-C11</f>
        <v>18</v>
      </c>
      <c r="E14" s="5">
        <f>E11-D11</f>
        <v>-50</v>
      </c>
      <c r="F14" s="5">
        <f>F11-E11</f>
        <v>17</v>
      </c>
      <c r="G14" s="5" t="s">
        <v>44</v>
      </c>
      <c r="H14" s="21">
        <f>H11-F11</f>
        <v>3.8699999999999477</v>
      </c>
      <c r="I14" s="13"/>
    </row>
    <row r="15">
      <c r="A15" s="1"/>
      <c r="B15" s="15" t="s">
        <v>178</v>
      </c>
      <c r="C15" s="11" t="s">
        <v>44</v>
      </c>
      <c r="D15" s="11" t="s">
        <v>44</v>
      </c>
      <c r="E15" s="11" t="s">
        <v>44</v>
      </c>
      <c r="F15" s="11" t="s">
        <v>44</v>
      </c>
      <c r="G15" s="11" t="s">
        <v>44</v>
      </c>
      <c r="H15" s="50" t="s">
        <v>44</v>
      </c>
      <c r="I15" s="13" t="s">
        <v>124</v>
      </c>
    </row>
    <row r="16">
      <c r="A16" s="1"/>
      <c r="B16" s="15" t="s">
        <v>179</v>
      </c>
      <c r="C16" s="11" t="s">
        <v>44</v>
      </c>
      <c r="D16" s="11" t="s">
        <v>44</v>
      </c>
      <c r="E16" s="11" t="s">
        <v>44</v>
      </c>
      <c r="F16" s="11" t="s">
        <v>44</v>
      </c>
      <c r="G16" s="11" t="s">
        <v>44</v>
      </c>
      <c r="H16" s="50" t="s">
        <v>44</v>
      </c>
      <c r="I16" s="13" t="s">
        <v>125</v>
      </c>
    </row>
    <row r="17" ht="24">
      <c r="A17" s="1"/>
      <c r="B17" s="57" t="s">
        <v>180</v>
      </c>
      <c r="C17" s="11" t="s">
        <v>44</v>
      </c>
      <c r="D17" s="11" t="s">
        <v>44</v>
      </c>
      <c r="E17" s="11" t="s">
        <v>44</v>
      </c>
      <c r="F17" s="11" t="s">
        <v>44</v>
      </c>
      <c r="G17" s="11" t="s">
        <v>44</v>
      </c>
      <c r="H17" s="50" t="s">
        <v>44</v>
      </c>
      <c r="I17" s="13" t="s">
        <v>126</v>
      </c>
    </row>
    <row r="18">
      <c r="A18" s="1"/>
      <c r="B18" s="1" t="s">
        <v>181</v>
      </c>
      <c r="C18" s="9">
        <v>131</v>
      </c>
      <c r="D18" s="9">
        <v>162</v>
      </c>
      <c r="E18" s="9">
        <v>143</v>
      </c>
      <c r="F18" s="9">
        <v>148</v>
      </c>
      <c r="G18" s="22">
        <f>E123+F123+C18+D18</f>
        <v>464</v>
      </c>
      <c r="H18" s="37">
        <f>F18*(1+H19)</f>
        <v>153.92000000000002</v>
      </c>
      <c r="I18" s="13"/>
    </row>
    <row r="19" ht="24">
      <c r="A19" s="1"/>
      <c r="B19" s="57" t="s">
        <v>175</v>
      </c>
      <c r="C19" s="11">
        <f>IFERROR(C18/F123-1,"n/a")</f>
        <v>0.3936170212765957</v>
      </c>
      <c r="D19" s="11">
        <f>IFERROR(D18/C18-1,"n/a")</f>
        <v>0.23664122137404586</v>
      </c>
      <c r="E19" s="11">
        <f>IFERROR(E18/D18-1,"n/a")</f>
        <v>-0.11728395061728392</v>
      </c>
      <c r="F19" s="11">
        <f>IFERROR(F18/E18-1,"n/a")</f>
        <v>0.034965034965035</v>
      </c>
      <c r="G19" s="11" t="s">
        <v>44</v>
      </c>
      <c r="H19" s="66">
        <v>0.04</v>
      </c>
      <c r="I19" s="13" t="s">
        <v>182</v>
      </c>
    </row>
    <row r="20">
      <c r="A20" s="1"/>
      <c r="B20" s="15" t="s">
        <v>177</v>
      </c>
      <c r="C20" s="11">
        <f>IFERROR(C18/C123-1,"n/a")</f>
        <v>0.4719101123595506</v>
      </c>
      <c r="D20" s="11">
        <f>IFERROR(D18/D123-1,"n/a")</f>
        <v>1.050632911392405</v>
      </c>
      <c r="E20" s="11">
        <f>IFERROR(E18/E123-1,"n/a")</f>
        <v>0.8571428571428572</v>
      </c>
      <c r="F20" s="11">
        <f>IFERROR(F18/F123-1,"n/a")</f>
        <v>0.574468085106383</v>
      </c>
      <c r="G20" s="11">
        <f>IFERROR(G18/G123-1,"n/a")</f>
        <v>0.6000000000000001</v>
      </c>
      <c r="H20" s="50">
        <f>IFERROR(H18/H123-1,"n/a")</f>
        <v>0.17496183206106886</v>
      </c>
      <c r="I20" s="13"/>
    </row>
    <row r="21">
      <c r="A21" s="1"/>
      <c r="B21" s="15" t="s">
        <v>131</v>
      </c>
      <c r="C21" s="5">
        <f>C18-F123</f>
        <v>37</v>
      </c>
      <c r="D21" s="5">
        <f>D18-C18</f>
        <v>31</v>
      </c>
      <c r="E21" s="5">
        <f>E18-D18</f>
        <v>-19</v>
      </c>
      <c r="F21" s="5">
        <f>F18-E18</f>
        <v>5</v>
      </c>
      <c r="G21" s="5" t="s">
        <v>44</v>
      </c>
      <c r="H21" s="21">
        <f>H18-F18</f>
        <v>5.920000000000016</v>
      </c>
      <c r="I21" s="13"/>
    </row>
    <row r="22">
      <c r="A22" s="1"/>
      <c r="B22" s="15" t="s">
        <v>178</v>
      </c>
      <c r="C22" s="11" t="s">
        <v>44</v>
      </c>
      <c r="D22" s="11" t="s">
        <v>44</v>
      </c>
      <c r="E22" s="11" t="s">
        <v>44</v>
      </c>
      <c r="F22" s="11" t="s">
        <v>44</v>
      </c>
      <c r="G22" s="11" t="s">
        <v>44</v>
      </c>
      <c r="H22" s="50" t="s">
        <v>44</v>
      </c>
      <c r="I22" s="13" t="s">
        <v>124</v>
      </c>
    </row>
    <row r="23">
      <c r="A23" s="1"/>
      <c r="B23" s="15" t="s">
        <v>179</v>
      </c>
      <c r="C23" s="11" t="s">
        <v>44</v>
      </c>
      <c r="D23" s="11" t="s">
        <v>44</v>
      </c>
      <c r="E23" s="11" t="s">
        <v>44</v>
      </c>
      <c r="F23" s="11" t="s">
        <v>44</v>
      </c>
      <c r="G23" s="11" t="s">
        <v>44</v>
      </c>
      <c r="H23" s="50" t="s">
        <v>44</v>
      </c>
      <c r="I23" s="13" t="s">
        <v>125</v>
      </c>
    </row>
    <row r="24" ht="24">
      <c r="A24" s="1"/>
      <c r="B24" s="57" t="s">
        <v>180</v>
      </c>
      <c r="C24" s="11" t="s">
        <v>44</v>
      </c>
      <c r="D24" s="11" t="s">
        <v>44</v>
      </c>
      <c r="E24" s="11" t="s">
        <v>44</v>
      </c>
      <c r="F24" s="11" t="s">
        <v>44</v>
      </c>
      <c r="G24" s="11" t="s">
        <v>44</v>
      </c>
      <c r="H24" s="50" t="s">
        <v>44</v>
      </c>
      <c r="I24" s="13" t="s">
        <v>126</v>
      </c>
    </row>
    <row r="25">
      <c r="A25" s="1"/>
      <c r="B25" s="1" t="s">
        <v>183</v>
      </c>
      <c r="C25" s="9">
        <v>80</v>
      </c>
      <c r="D25" s="9">
        <v>184</v>
      </c>
      <c r="E25" s="9">
        <v>101</v>
      </c>
      <c r="F25" s="9">
        <v>126</v>
      </c>
      <c r="G25" s="22">
        <f>E124+F124+C25+D25</f>
        <v>437</v>
      </c>
      <c r="H25" s="37">
        <f>F25*(1+H26)</f>
        <v>129.78</v>
      </c>
      <c r="I25" s="13"/>
    </row>
    <row r="26" ht="24">
      <c r="A26" s="1"/>
      <c r="B26" s="57" t="s">
        <v>175</v>
      </c>
      <c r="C26" s="11">
        <f>IFERROR(C25/F124-1,"n/a")</f>
        <v>0.26984126984126977</v>
      </c>
      <c r="D26" s="11">
        <f>IFERROR(D25/C25-1,"n/a")</f>
        <v>1.2999999999999998</v>
      </c>
      <c r="E26" s="11">
        <f>IFERROR(E25/D25-1,"n/a")</f>
        <v>-0.45108695652173914</v>
      </c>
      <c r="F26" s="11">
        <f>IFERROR(F25/E25-1,"n/a")</f>
        <v>0.24752475247524752</v>
      </c>
      <c r="G26" s="11" t="s">
        <v>44</v>
      </c>
      <c r="H26" s="66">
        <v>0.03</v>
      </c>
      <c r="I26" s="13" t="s">
        <v>184</v>
      </c>
    </row>
    <row r="27">
      <c r="A27" s="1"/>
      <c r="B27" s="15" t="s">
        <v>177</v>
      </c>
      <c r="C27" s="11">
        <f>IFERROR(C25/C124-1,"n/a")</f>
        <v>-0.2792792792792793</v>
      </c>
      <c r="D27" s="11">
        <f>IFERROR(D25/D124-1,"n/a")</f>
        <v>0.3529411764705883</v>
      </c>
      <c r="E27" s="11">
        <f>IFERROR(E25/E124-1,"n/a")</f>
        <v>-0.08181818181818179</v>
      </c>
      <c r="F27" s="11">
        <f>IFERROR(F25/F124-1,"n/a")</f>
        <v>1</v>
      </c>
      <c r="G27" s="11">
        <f>IFERROR(G25/G124-1,"n/a")</f>
        <v>0.011574074074074181</v>
      </c>
      <c r="H27" s="50">
        <f>IFERROR(H25/H124-1,"n/a")</f>
        <v>0.62225</v>
      </c>
      <c r="I27" s="13"/>
    </row>
    <row r="28">
      <c r="A28" s="1"/>
      <c r="B28" s="15" t="s">
        <v>131</v>
      </c>
      <c r="C28" s="5">
        <f>C25-F124</f>
        <v>17</v>
      </c>
      <c r="D28" s="5">
        <f>D25-C25</f>
        <v>104</v>
      </c>
      <c r="E28" s="5">
        <f>E25-D25</f>
        <v>-83</v>
      </c>
      <c r="F28" s="5">
        <f>F25-E25</f>
        <v>25</v>
      </c>
      <c r="G28" s="5" t="s">
        <v>44</v>
      </c>
      <c r="H28" s="21">
        <f>H25-F25</f>
        <v>3.780000000000001</v>
      </c>
      <c r="I28" s="13"/>
    </row>
    <row r="29">
      <c r="A29" s="1"/>
      <c r="B29" s="15" t="s">
        <v>178</v>
      </c>
      <c r="C29" s="11" t="s">
        <v>44</v>
      </c>
      <c r="D29" s="11" t="s">
        <v>44</v>
      </c>
      <c r="E29" s="11" t="s">
        <v>44</v>
      </c>
      <c r="F29" s="11" t="s">
        <v>44</v>
      </c>
      <c r="G29" s="11" t="s">
        <v>44</v>
      </c>
      <c r="H29" s="50" t="s">
        <v>44</v>
      </c>
      <c r="I29" s="13" t="s">
        <v>124</v>
      </c>
    </row>
    <row r="30">
      <c r="A30" s="1"/>
      <c r="B30" s="15" t="s">
        <v>179</v>
      </c>
      <c r="C30" s="11" t="s">
        <v>44</v>
      </c>
      <c r="D30" s="11" t="s">
        <v>44</v>
      </c>
      <c r="E30" s="11" t="s">
        <v>44</v>
      </c>
      <c r="F30" s="11" t="s">
        <v>44</v>
      </c>
      <c r="G30" s="11" t="s">
        <v>44</v>
      </c>
      <c r="H30" s="50" t="s">
        <v>44</v>
      </c>
      <c r="I30" s="13" t="s">
        <v>125</v>
      </c>
    </row>
    <row r="31" ht="24">
      <c r="A31" s="1"/>
      <c r="B31" s="57" t="s">
        <v>180</v>
      </c>
      <c r="C31" s="11" t="s">
        <v>44</v>
      </c>
      <c r="D31" s="11" t="s">
        <v>44</v>
      </c>
      <c r="E31" s="11" t="s">
        <v>44</v>
      </c>
      <c r="F31" s="11" t="s">
        <v>44</v>
      </c>
      <c r="G31" s="11" t="s">
        <v>44</v>
      </c>
      <c r="H31" s="50" t="s">
        <v>44</v>
      </c>
      <c r="I31" s="13" t="s">
        <v>126</v>
      </c>
    </row>
    <row r="32">
      <c r="A32" s="1"/>
      <c r="B32" s="1" t="s">
        <v>185</v>
      </c>
      <c r="C32" s="9">
        <v>174</v>
      </c>
      <c r="D32" s="9">
        <v>188</v>
      </c>
      <c r="E32" s="9">
        <v>155</v>
      </c>
      <c r="F32" s="9">
        <v>165</v>
      </c>
      <c r="G32" s="22">
        <f>E125+F125+C32+D32</f>
        <v>694</v>
      </c>
      <c r="H32" s="37">
        <f>F32*(1+H33)</f>
        <v>169.12499999999997</v>
      </c>
      <c r="I32" s="13"/>
    </row>
    <row r="33" ht="24">
      <c r="A33" s="1"/>
      <c r="B33" s="57" t="s">
        <v>175</v>
      </c>
      <c r="C33" s="11">
        <f>IFERROR(C32/F125-1,"n/a")</f>
        <v>0.03571428571428581</v>
      </c>
      <c r="D33" s="11">
        <f>IFERROR(D32/C32-1,"n/a")</f>
        <v>0.08045977011494254</v>
      </c>
      <c r="E33" s="11">
        <f>IFERROR(E32/D32-1,"n/a")</f>
        <v>-0.17553191489361697</v>
      </c>
      <c r="F33" s="11">
        <f>IFERROR(F32/E32-1,"n/a")</f>
        <v>0.06451612903225801</v>
      </c>
      <c r="G33" s="11" t="s">
        <v>44</v>
      </c>
      <c r="H33" s="66">
        <v>0.025</v>
      </c>
      <c r="I33" s="13" t="s">
        <v>186</v>
      </c>
    </row>
    <row r="34">
      <c r="A34" s="1"/>
      <c r="B34" s="15" t="s">
        <v>177</v>
      </c>
      <c r="C34" s="11">
        <f>IFERROR(C32/C125-1,"n/a")</f>
        <v>-0.011363636363636354</v>
      </c>
      <c r="D34" s="11">
        <f>IFERROR(D32/D125-1,"n/a")</f>
        <v>-0.005291005291005346</v>
      </c>
      <c r="E34" s="11">
        <f>IFERROR(E32/E125-1,"n/a")</f>
        <v>-0.054878048780487854</v>
      </c>
      <c r="F34" s="11">
        <f>IFERROR(F32/F125-1,"n/a")</f>
        <v>-0.017857142857142905</v>
      </c>
      <c r="G34" s="11">
        <f>IFERROR(G32/G125-1,"n/a")</f>
        <v>0</v>
      </c>
      <c r="H34" s="50">
        <f>IFERROR(H32/H125-1,"n/a")</f>
        <v>-0.028017241379310498</v>
      </c>
      <c r="I34" s="13"/>
    </row>
    <row r="35">
      <c r="A35" s="1"/>
      <c r="B35" s="15" t="s">
        <v>131</v>
      </c>
      <c r="C35" s="5">
        <f>C32-F125</f>
        <v>6</v>
      </c>
      <c r="D35" s="5">
        <f>D32-C32</f>
        <v>14</v>
      </c>
      <c r="E35" s="5">
        <f>E32-D32</f>
        <v>-33</v>
      </c>
      <c r="F35" s="5">
        <f>F32-E32</f>
        <v>10</v>
      </c>
      <c r="G35" s="5" t="s">
        <v>44</v>
      </c>
      <c r="H35" s="21">
        <f>H32-F32</f>
        <v>4.124999999999972</v>
      </c>
      <c r="I35" s="13"/>
    </row>
    <row r="36">
      <c r="A36" s="1"/>
      <c r="B36" s="15" t="s">
        <v>178</v>
      </c>
      <c r="C36" s="11" t="s">
        <v>44</v>
      </c>
      <c r="D36" s="11" t="s">
        <v>44</v>
      </c>
      <c r="E36" s="11" t="s">
        <v>44</v>
      </c>
      <c r="F36" s="11" t="s">
        <v>44</v>
      </c>
      <c r="G36" s="11" t="s">
        <v>44</v>
      </c>
      <c r="H36" s="50" t="s">
        <v>44</v>
      </c>
      <c r="I36" s="13" t="s">
        <v>124</v>
      </c>
    </row>
    <row r="37">
      <c r="A37" s="1"/>
      <c r="B37" s="15" t="s">
        <v>179</v>
      </c>
      <c r="C37" s="11" t="s">
        <v>44</v>
      </c>
      <c r="D37" s="11" t="s">
        <v>44</v>
      </c>
      <c r="E37" s="11" t="s">
        <v>44</v>
      </c>
      <c r="F37" s="11" t="s">
        <v>44</v>
      </c>
      <c r="G37" s="11" t="s">
        <v>44</v>
      </c>
      <c r="H37" s="50" t="s">
        <v>44</v>
      </c>
      <c r="I37" s="13" t="s">
        <v>125</v>
      </c>
    </row>
    <row r="38" ht="24">
      <c r="A38" s="1"/>
      <c r="B38" s="57" t="s">
        <v>180</v>
      </c>
      <c r="C38" s="11" t="s">
        <v>44</v>
      </c>
      <c r="D38" s="11" t="s">
        <v>44</v>
      </c>
      <c r="E38" s="11" t="s">
        <v>44</v>
      </c>
      <c r="F38" s="11" t="s">
        <v>44</v>
      </c>
      <c r="G38" s="11" t="s">
        <v>44</v>
      </c>
      <c r="H38" s="50" t="s">
        <v>44</v>
      </c>
      <c r="I38" s="13" t="s">
        <v>126</v>
      </c>
    </row>
    <row r="39">
      <c r="A39" s="1"/>
      <c r="B39" s="45" t="s">
        <v>187</v>
      </c>
      <c r="C39" s="29">
        <f>C11+C18+C25+C32</f>
        <v>658</v>
      </c>
      <c r="D39" s="29">
        <f>D11+D18+D25+D32</f>
        <v>825</v>
      </c>
      <c r="E39" s="29">
        <f>E11+E18+E25+E32</f>
        <v>640</v>
      </c>
      <c r="F39" s="29">
        <f>F11+F18+F25+F32</f>
        <v>697</v>
      </c>
      <c r="G39" s="29">
        <f>G11+G18+G25+G32</f>
        <v>2661</v>
      </c>
      <c r="H39" s="47">
        <f>H11+H18+H25+H32</f>
        <v>714.6949999999999</v>
      </c>
      <c r="I39" s="13"/>
    </row>
    <row r="40">
      <c r="A40" s="1"/>
      <c r="B40" s="15" t="s">
        <v>102</v>
      </c>
      <c r="C40" s="11">
        <f>IFERROR(C39/C126-1,"n/a")</f>
        <v>0.03134796238244508</v>
      </c>
      <c r="D40" s="11">
        <f>IFERROR(D39/D126-1,"n/a")</f>
        <v>0.17021276595744683</v>
      </c>
      <c r="E40" s="11">
        <f>IFERROR(E39/E126-1,"n/a")</f>
        <v>0.09028960817717202</v>
      </c>
      <c r="F40" s="11">
        <f>IFERROR(F39/F126-1,"n/a")</f>
        <v>0.17935702199661585</v>
      </c>
      <c r="G40" s="11">
        <f>IFERROR(G39/G126-1,"n/a")</f>
        <v>0.09102091020910219</v>
      </c>
      <c r="H40" s="50">
        <f>IFERROR(H39/H126-1,"n/a")</f>
        <v>0.08616261398176284</v>
      </c>
      <c r="I40" s="13"/>
    </row>
    <row r="41">
      <c r="A41" s="1"/>
      <c r="B41" s="15" t="s">
        <v>123</v>
      </c>
      <c r="C41" s="5">
        <f>C39-F126</f>
        <v>67</v>
      </c>
      <c r="D41" s="5">
        <f>D39-C39</f>
        <v>167</v>
      </c>
      <c r="E41" s="5">
        <f>E39-D39</f>
        <v>-185</v>
      </c>
      <c r="F41" s="5">
        <f>F39-E39</f>
        <v>57</v>
      </c>
      <c r="G41" s="5" t="s">
        <v>44</v>
      </c>
      <c r="H41" s="21">
        <f>H39-F39</f>
        <v>17.694999999999936</v>
      </c>
      <c r="I41" s="13"/>
    </row>
    <row r="42">
      <c r="A42" s="1"/>
      <c r="B42" s="15" t="s">
        <v>103</v>
      </c>
      <c r="C42" s="11">
        <f>IFERROR(C39/F126-1,"n/a")</f>
        <v>0.11336717428087995</v>
      </c>
      <c r="D42" s="11">
        <f>IFERROR(D39/C39-1,"n/a")</f>
        <v>0.25379939209726454</v>
      </c>
      <c r="E42" s="11">
        <f>IFERROR(E39/D39-1,"n/a")</f>
        <v>-0.22424242424242424</v>
      </c>
      <c r="F42" s="11">
        <f>IFERROR(F39/E39-1,"n/a")</f>
        <v>0.08906250000000004</v>
      </c>
      <c r="G42" s="11" t="s">
        <v>44</v>
      </c>
      <c r="H42" s="50">
        <f>IFERROR(H39/F39-1,"n/a")</f>
        <v>0.025387374461979917</v>
      </c>
      <c r="I42" s="13"/>
    </row>
    <row r="43">
      <c r="A43" s="1"/>
      <c r="B43" s="1" t="s">
        <v>188</v>
      </c>
      <c r="C43" s="9">
        <v>20</v>
      </c>
      <c r="D43" s="9">
        <v>28</v>
      </c>
      <c r="E43" s="9">
        <v>32</v>
      </c>
      <c r="F43" s="9">
        <v>34</v>
      </c>
      <c r="G43" s="22">
        <f>E127+F127+C43+D43</f>
        <v>48</v>
      </c>
      <c r="H43" s="8">
        <v>35</v>
      </c>
      <c r="I43" s="13" t="s">
        <v>189</v>
      </c>
    </row>
    <row r="44">
      <c r="A44" s="1"/>
      <c r="B44" s="15" t="s">
        <v>130</v>
      </c>
      <c r="C44" s="5">
        <f>C43-C127</f>
        <v>20</v>
      </c>
      <c r="D44" s="5">
        <f>D43-D127</f>
        <v>28</v>
      </c>
      <c r="E44" s="5">
        <f>E43-E127</f>
        <v>32</v>
      </c>
      <c r="F44" s="5">
        <f>F43-F127</f>
        <v>34</v>
      </c>
      <c r="G44" s="5">
        <f>G43-G127</f>
        <v>48</v>
      </c>
      <c r="H44" s="21">
        <f>H43-H127</f>
        <v>15</v>
      </c>
      <c r="I44" s="13"/>
    </row>
    <row r="45">
      <c r="A45" s="1"/>
      <c r="B45" s="15" t="s">
        <v>131</v>
      </c>
      <c r="C45" s="5">
        <f>C43-F127</f>
        <v>20</v>
      </c>
      <c r="D45" s="5">
        <f>D43-C43</f>
        <v>8</v>
      </c>
      <c r="E45" s="5">
        <f>E43-D43</f>
        <v>4</v>
      </c>
      <c r="F45" s="5">
        <f>F43-E43</f>
        <v>2</v>
      </c>
      <c r="G45" s="5" t="s">
        <v>44</v>
      </c>
      <c r="H45" s="21">
        <f>H43-F43</f>
        <v>1</v>
      </c>
      <c r="I45" s="13"/>
    </row>
    <row r="46" ht="34.5">
      <c r="A46" s="1"/>
      <c r="B46" s="57" t="s">
        <v>133</v>
      </c>
      <c r="C46" s="11">
        <f>IFERROR((C39-C43)/(C126-C127)-1,"n/a")</f>
        <v>0</v>
      </c>
      <c r="D46" s="11">
        <f>IFERROR((D39-D43)/(D126-D127)-1,"n/a")</f>
        <v>0.1304964539007092</v>
      </c>
      <c r="E46" s="11">
        <f>IFERROR((E39-E43)/(E126-E127)-1,"n/a")</f>
        <v>0.035775127768313375</v>
      </c>
      <c r="F46" s="11">
        <f>IFERROR((F39-F43)/(F126-F127)-1,"n/a")</f>
        <v>0.12182741116751261</v>
      </c>
      <c r="G46" s="11">
        <f>IFERROR((G39-G43)/(G126-G127)-1,"n/a")</f>
        <v>0.071340713407134</v>
      </c>
      <c r="H46" s="50">
        <f>IFERROR((H39-H43)/(H126-H127)-1,"n/a")</f>
        <v>0.06535266457680233</v>
      </c>
      <c r="I46" s="13" t="s">
        <v>134</v>
      </c>
    </row>
    <row r="47" ht="24">
      <c r="A47" s="1"/>
      <c r="B47" s="57" t="s">
        <v>135</v>
      </c>
      <c r="C47" s="11">
        <f>IFERROR((1+C40)/(1+C46)-1,"n/a")</f>
        <v>0.03134796238244508</v>
      </c>
      <c r="D47" s="11">
        <f>IFERROR((1+D40)/(1+D46)-1,"n/a")</f>
        <v>0.035131744040150625</v>
      </c>
      <c r="E47" s="11">
        <f>IFERROR((1+E40)/(1+E46)-1,"n/a")</f>
        <v>0.05263157894736836</v>
      </c>
      <c r="F47" s="11">
        <f>IFERROR((1+F40)/(1+F46)-1,"n/a")</f>
        <v>0.05128205128205132</v>
      </c>
      <c r="G47" s="11">
        <f>IFERROR((1+G40)/(1+G46)-1,"n/a")</f>
        <v>0.018369690011481143</v>
      </c>
      <c r="H47" s="50">
        <f>IFERROR((1+H40)/(1+H46)-1,"n/a")</f>
        <v>0.019533390300597864</v>
      </c>
      <c r="I47" s="13" t="s">
        <v>136</v>
      </c>
    </row>
    <row r="48">
      <c r="A48" s="1"/>
      <c r="B48" s="15" t="s">
        <v>107</v>
      </c>
      <c r="C48" s="11" t="s">
        <v>44</v>
      </c>
      <c r="D48" s="11" t="s">
        <v>44</v>
      </c>
      <c r="E48" s="11" t="s">
        <v>44</v>
      </c>
      <c r="F48" s="11" t="s">
        <v>44</v>
      </c>
      <c r="G48" s="11" t="s">
        <v>44</v>
      </c>
      <c r="H48" s="50" t="s">
        <v>44</v>
      </c>
      <c r="I48" s="13" t="s">
        <v>125</v>
      </c>
    </row>
    <row r="49" ht="34.5">
      <c r="A49" s="1"/>
      <c r="B49" s="57" t="s">
        <v>137</v>
      </c>
      <c r="C49" s="11" t="s">
        <v>44</v>
      </c>
      <c r="D49" s="11" t="s">
        <v>44</v>
      </c>
      <c r="E49" s="11" t="s">
        <v>44</v>
      </c>
      <c r="F49" s="11" t="s">
        <v>44</v>
      </c>
      <c r="G49" s="11" t="s">
        <v>44</v>
      </c>
      <c r="H49" s="50" t="s">
        <v>44</v>
      </c>
      <c r="I49" s="13" t="s">
        <v>138</v>
      </c>
    </row>
    <row r="50" ht="24">
      <c r="A50" s="1"/>
      <c r="B50" s="4" t="s">
        <v>190</v>
      </c>
      <c r="C50" s="22">
        <f>C11-F122</f>
        <v>7</v>
      </c>
      <c r="D50" s="22">
        <f>D11-C11</f>
        <v>18</v>
      </c>
      <c r="E50" s="22">
        <f>E11-D11</f>
        <v>-50</v>
      </c>
      <c r="F50" s="22">
        <f>F11-E11</f>
        <v>17</v>
      </c>
      <c r="G50" s="22" t="s">
        <v>44</v>
      </c>
      <c r="H50" s="37">
        <f>H11-F11</f>
        <v>3.8699999999999477</v>
      </c>
      <c r="I50" s="13"/>
    </row>
    <row r="51" ht="24">
      <c r="A51" s="1"/>
      <c r="B51" s="4" t="s">
        <v>191</v>
      </c>
      <c r="C51" s="22">
        <f>C18-F123</f>
        <v>37</v>
      </c>
      <c r="D51" s="22">
        <f>D18-C18</f>
        <v>31</v>
      </c>
      <c r="E51" s="22">
        <f>E18-D18</f>
        <v>-19</v>
      </c>
      <c r="F51" s="22">
        <f>F18-E18</f>
        <v>5</v>
      </c>
      <c r="G51" s="22" t="s">
        <v>44</v>
      </c>
      <c r="H51" s="37">
        <f>H18-F18</f>
        <v>5.920000000000016</v>
      </c>
      <c r="I51" s="13"/>
    </row>
    <row r="52" ht="24">
      <c r="A52" s="1"/>
      <c r="B52" s="4" t="s">
        <v>192</v>
      </c>
      <c r="C52" s="22">
        <f>C25-F124</f>
        <v>17</v>
      </c>
      <c r="D52" s="22">
        <f>D25-C25</f>
        <v>104</v>
      </c>
      <c r="E52" s="22">
        <f>E25-D25</f>
        <v>-83</v>
      </c>
      <c r="F52" s="22">
        <f>F25-E25</f>
        <v>25</v>
      </c>
      <c r="G52" s="22" t="s">
        <v>44</v>
      </c>
      <c r="H52" s="37">
        <f>H25-F25</f>
        <v>3.780000000000001</v>
      </c>
      <c r="I52" s="13"/>
    </row>
    <row r="53" ht="24">
      <c r="A53" s="1"/>
      <c r="B53" s="4" t="s">
        <v>193</v>
      </c>
      <c r="C53" s="22">
        <f>C32-F125</f>
        <v>6</v>
      </c>
      <c r="D53" s="22">
        <f>D32-C32</f>
        <v>14</v>
      </c>
      <c r="E53" s="22">
        <f>E32-D32</f>
        <v>-33</v>
      </c>
      <c r="F53" s="22">
        <f>F32-E32</f>
        <v>10</v>
      </c>
      <c r="G53" s="22" t="s">
        <v>44</v>
      </c>
      <c r="H53" s="37">
        <f>H32-F32</f>
        <v>4.124999999999972</v>
      </c>
      <c r="I53" s="13"/>
    </row>
    <row r="54" ht="24">
      <c r="A54" s="1"/>
      <c r="B54" s="26" t="s">
        <v>194</v>
      </c>
      <c r="C54" s="29">
        <f>C10+C50+C51+C52+C53</f>
        <v>658</v>
      </c>
      <c r="D54" s="29">
        <f>D10+D50+D51+D52+D53</f>
        <v>825</v>
      </c>
      <c r="E54" s="29">
        <f>E10+E50+E51+E52+E53</f>
        <v>640</v>
      </c>
      <c r="F54" s="29">
        <f>F10+F50+F51+F52+F53</f>
        <v>697</v>
      </c>
      <c r="G54" s="29" t="s">
        <v>44</v>
      </c>
      <c r="H54" s="47">
        <f>H10+H50+H51+H52+H53</f>
        <v>714.6949999999999</v>
      </c>
      <c r="I54" s="13"/>
    </row>
    <row r="55" ht="24">
      <c r="A55" s="1"/>
      <c r="B55" s="4" t="s">
        <v>195</v>
      </c>
      <c r="C55" s="38" t="b">
        <f>ROUND(C54-C39,6)=0</f>
        <v>1</v>
      </c>
      <c r="D55" s="38" t="b">
        <f>ROUND(D54-D39,6)=0</f>
        <v>1</v>
      </c>
      <c r="E55" s="38" t="b">
        <f>ROUND(E54-E39,6)=0</f>
        <v>1</v>
      </c>
      <c r="F55" s="38" t="b">
        <f>ROUND(F54-F39,6)=0</f>
        <v>1</v>
      </c>
      <c r="G55" s="38" t="s">
        <v>44</v>
      </c>
      <c r="H55" s="68" t="b">
        <f>ROUND(H54-H39,6)=0</f>
        <v>1</v>
      </c>
      <c r="I55" s="13"/>
    </row>
    <row r="56" ht="24">
      <c r="A56" s="1"/>
      <c r="B56" s="4" t="s">
        <v>196</v>
      </c>
      <c r="C56" s="9">
        <v>658</v>
      </c>
      <c r="D56" s="9">
        <v>825</v>
      </c>
      <c r="E56" s="9">
        <v>640</v>
      </c>
      <c r="F56" s="9">
        <v>697</v>
      </c>
      <c r="G56" s="9">
        <v>2660</v>
      </c>
      <c r="H56" s="37" t="s">
        <v>44</v>
      </c>
      <c r="I56" s="13" t="s">
        <v>143</v>
      </c>
    </row>
    <row r="57">
      <c r="A57" s="1"/>
      <c r="B57" s="15" t="s">
        <v>144</v>
      </c>
      <c r="C57" s="5">
        <f>C39-C56</f>
        <v>0</v>
      </c>
      <c r="D57" s="5">
        <f>D39-D56</f>
        <v>0</v>
      </c>
      <c r="E57" s="5">
        <f>E39-E56</f>
        <v>0</v>
      </c>
      <c r="F57" s="5">
        <f>F39-F56</f>
        <v>0</v>
      </c>
      <c r="G57" s="5">
        <f>G39-G56</f>
        <v>1</v>
      </c>
      <c r="H57" s="21" t="s">
        <v>44</v>
      </c>
      <c r="I57" s="13"/>
    </row>
    <row r="58">
      <c r="A58" s="1"/>
      <c r="B58" s="15" t="s">
        <v>197</v>
      </c>
      <c r="C58" s="60">
        <f>C39/'Revenue summary'!C63</f>
        <v>0.07370071684587813</v>
      </c>
      <c r="D58" s="60">
        <f>D39/'Revenue summary'!D63</f>
        <v>0.08465879938429964</v>
      </c>
      <c r="E58" s="60">
        <f>E39/'Revenue summary'!E63</f>
        <v>0.07338607957803005</v>
      </c>
      <c r="F58" s="60">
        <f>F39/'Revenue summary'!F63</f>
        <v>0.07768613464110566</v>
      </c>
      <c r="G58" s="60">
        <f>G39/'Revenue summary'!G63</f>
        <v>0.0745190288162648</v>
      </c>
      <c r="H58" s="70">
        <f>H39/'Revenue summary'!H63</f>
        <v>0.07711420993504926</v>
      </c>
      <c r="I58" s="13"/>
    </row>
    <row r="59" ht="24">
      <c r="A59" s="1"/>
      <c r="B59" s="57" t="s">
        <v>198</v>
      </c>
      <c r="C59" s="11">
        <f>C11/C39</f>
        <v>0.4148936170212766</v>
      </c>
      <c r="D59" s="11">
        <f>D11/D39</f>
        <v>0.3527272727272727</v>
      </c>
      <c r="E59" s="11">
        <f>E11/E39</f>
        <v>0.3765625</v>
      </c>
      <c r="F59" s="11">
        <f>F11/F39</f>
        <v>0.3701578192252511</v>
      </c>
      <c r="G59" s="11">
        <f>G11/G39</f>
        <v>0.4006012777151447</v>
      </c>
      <c r="H59" s="50">
        <f>H11/H39</f>
        <v>0.366408048188388</v>
      </c>
      <c r="I59" s="13"/>
    </row>
    <row r="60" ht="24">
      <c r="A60" s="1"/>
      <c r="B60" s="57" t="s">
        <v>199</v>
      </c>
      <c r="C60" s="11">
        <f>C18/C39</f>
        <v>0.19908814589665655</v>
      </c>
      <c r="D60" s="11">
        <f>D18/D39</f>
        <v>0.19636363636363635</v>
      </c>
      <c r="E60" s="11">
        <f>E18/E39</f>
        <v>0.2234375</v>
      </c>
      <c r="F60" s="11">
        <f>F18/F39</f>
        <v>0.21233859397417504</v>
      </c>
      <c r="G60" s="11">
        <f>G18/G39</f>
        <v>0.1743705373919579</v>
      </c>
      <c r="H60" s="50">
        <f>H18/H39</f>
        <v>0.2153645960864425</v>
      </c>
      <c r="I60" s="13"/>
    </row>
    <row r="61" ht="24">
      <c r="A61" s="1"/>
      <c r="B61" s="57" t="s">
        <v>200</v>
      </c>
      <c r="C61" s="11">
        <f>C25/C39</f>
        <v>0.12158054711246201</v>
      </c>
      <c r="D61" s="11">
        <f>D25/D39</f>
        <v>0.22303030303030302</v>
      </c>
      <c r="E61" s="11">
        <f>E25/E39</f>
        <v>0.1578125</v>
      </c>
      <c r="F61" s="11">
        <f>F25/F39</f>
        <v>0.18077474892395984</v>
      </c>
      <c r="G61" s="11">
        <f>G25/G39</f>
        <v>0.1642239759488914</v>
      </c>
      <c r="H61" s="50">
        <f>H25/H39</f>
        <v>0.18158795010459008</v>
      </c>
      <c r="I61" s="13"/>
    </row>
    <row r="62" ht="24">
      <c r="A62" s="1"/>
      <c r="B62" s="57" t="s">
        <v>201</v>
      </c>
      <c r="C62" s="11">
        <f>C32/C39</f>
        <v>0.26443768996960487</v>
      </c>
      <c r="D62" s="11">
        <f>D32/D39</f>
        <v>0.22787878787878788</v>
      </c>
      <c r="E62" s="11">
        <f>E32/E39</f>
        <v>0.2421875</v>
      </c>
      <c r="F62" s="11">
        <f>F32/F39</f>
        <v>0.23672883787661406</v>
      </c>
      <c r="G62" s="11">
        <f>G32/G39</f>
        <v>0.260804208944006</v>
      </c>
      <c r="H62" s="50">
        <f>H32/H39</f>
        <v>0.2366394056205794</v>
      </c>
      <c r="I62" s="13"/>
    </row>
    <row r="63">
      <c r="A63" s="1"/>
      <c r="B63" s="41" t="s">
        <v>202</v>
      </c>
      <c r="C63" s="1"/>
      <c r="D63" s="1"/>
      <c r="E63" s="1"/>
      <c r="F63" s="1"/>
      <c r="G63" s="1"/>
      <c r="H63" s="53"/>
      <c r="I63" s="13"/>
    </row>
    <row r="64">
      <c r="A64" s="1"/>
      <c r="B64" s="1" t="s">
        <v>152</v>
      </c>
      <c r="C64" s="9">
        <v>156</v>
      </c>
      <c r="D64" s="9">
        <v>229</v>
      </c>
      <c r="E64" s="9">
        <v>197</v>
      </c>
      <c r="F64" s="9">
        <v>170</v>
      </c>
      <c r="G64" s="22">
        <f>E128+F128+C64+D64</f>
        <v>682</v>
      </c>
      <c r="H64" s="37">
        <f>F64*(1+H65)</f>
        <v>175.1</v>
      </c>
      <c r="I64" s="13"/>
    </row>
    <row r="65" ht="24">
      <c r="A65" s="1"/>
      <c r="B65" s="57" t="s">
        <v>175</v>
      </c>
      <c r="C65" s="11">
        <f>IFERROR(C64/F128-1,"n/a")</f>
        <v>0.23809523809523814</v>
      </c>
      <c r="D65" s="11">
        <f>IFERROR(D64/C64-1,"n/a")</f>
        <v>0.46794871794871784</v>
      </c>
      <c r="E65" s="11">
        <f>IFERROR(E64/D64-1,"n/a")</f>
        <v>-0.13973799126637554</v>
      </c>
      <c r="F65" s="11">
        <f>IFERROR(F64/E64-1,"n/a")</f>
        <v>-0.13705583756345174</v>
      </c>
      <c r="G65" s="11" t="s">
        <v>44</v>
      </c>
      <c r="H65" s="66">
        <v>0.03</v>
      </c>
      <c r="I65" s="13" t="s">
        <v>203</v>
      </c>
    </row>
    <row r="66">
      <c r="A66" s="1"/>
      <c r="B66" s="15" t="s">
        <v>177</v>
      </c>
      <c r="C66" s="11">
        <f>IFERROR(C64/C128-1,"n/a")</f>
        <v>0.21875</v>
      </c>
      <c r="D66" s="11">
        <f>IFERROR(D64/D128-1,"n/a")</f>
        <v>0.14500000000000002</v>
      </c>
      <c r="E66" s="11">
        <f>IFERROR(E64/E128-1,"n/a")</f>
        <v>0.1520467836257311</v>
      </c>
      <c r="F66" s="11">
        <f>IFERROR(F64/F128-1,"n/a")</f>
        <v>0.3492063492063493</v>
      </c>
      <c r="G66" s="11" t="s">
        <v>44</v>
      </c>
      <c r="H66" s="50">
        <f>IFERROR(H64/H128-1,"n/a")</f>
        <v>0.12243589743589745</v>
      </c>
      <c r="I66" s="13" t="s">
        <v>204</v>
      </c>
    </row>
    <row r="67">
      <c r="A67" s="1"/>
      <c r="B67" s="15" t="s">
        <v>131</v>
      </c>
      <c r="C67" s="5">
        <f>C64-F128</f>
        <v>30</v>
      </c>
      <c r="D67" s="5">
        <f>D64-C64</f>
        <v>73</v>
      </c>
      <c r="E67" s="5">
        <f>E64-D64</f>
        <v>-32</v>
      </c>
      <c r="F67" s="5">
        <f>F64-E64</f>
        <v>-27</v>
      </c>
      <c r="G67" s="5" t="s">
        <v>44</v>
      </c>
      <c r="H67" s="21">
        <f>H64-F64</f>
        <v>5.099999999999994</v>
      </c>
      <c r="I67" s="13"/>
    </row>
    <row r="68">
      <c r="A68" s="1"/>
      <c r="B68" s="15" t="s">
        <v>178</v>
      </c>
      <c r="C68" s="11" t="s">
        <v>44</v>
      </c>
      <c r="D68" s="11" t="s">
        <v>44</v>
      </c>
      <c r="E68" s="11" t="s">
        <v>44</v>
      </c>
      <c r="F68" s="11" t="s">
        <v>44</v>
      </c>
      <c r="G68" s="11" t="s">
        <v>44</v>
      </c>
      <c r="H68" s="50" t="s">
        <v>44</v>
      </c>
      <c r="I68" s="13" t="s">
        <v>124</v>
      </c>
    </row>
    <row r="69">
      <c r="A69" s="1"/>
      <c r="B69" s="15" t="s">
        <v>179</v>
      </c>
      <c r="C69" s="11" t="s">
        <v>44</v>
      </c>
      <c r="D69" s="11" t="s">
        <v>44</v>
      </c>
      <c r="E69" s="11" t="s">
        <v>44</v>
      </c>
      <c r="F69" s="11" t="s">
        <v>44</v>
      </c>
      <c r="G69" s="11" t="s">
        <v>44</v>
      </c>
      <c r="H69" s="50" t="s">
        <v>44</v>
      </c>
      <c r="I69" s="13" t="s">
        <v>125</v>
      </c>
    </row>
    <row r="70" ht="24">
      <c r="A70" s="1"/>
      <c r="B70" s="57" t="s">
        <v>180</v>
      </c>
      <c r="C70" s="11" t="s">
        <v>44</v>
      </c>
      <c r="D70" s="11" t="s">
        <v>44</v>
      </c>
      <c r="E70" s="11" t="s">
        <v>44</v>
      </c>
      <c r="F70" s="11" t="s">
        <v>44</v>
      </c>
      <c r="G70" s="11" t="s">
        <v>44</v>
      </c>
      <c r="H70" s="50" t="s">
        <v>44</v>
      </c>
      <c r="I70" s="13" t="s">
        <v>126</v>
      </c>
    </row>
    <row r="71">
      <c r="A71" s="1"/>
      <c r="B71" s="1" t="s">
        <v>205</v>
      </c>
      <c r="C71" s="9">
        <v>2</v>
      </c>
      <c r="D71" s="9">
        <v>3</v>
      </c>
      <c r="E71" s="9">
        <v>0</v>
      </c>
      <c r="F71" s="9">
        <v>1</v>
      </c>
      <c r="G71" s="22">
        <f>E129+F129+C71+D71</f>
        <v>8</v>
      </c>
      <c r="H71" s="8">
        <v>1</v>
      </c>
      <c r="I71" s="13"/>
    </row>
    <row r="72">
      <c r="A72" s="1"/>
      <c r="B72" s="15" t="s">
        <v>177</v>
      </c>
      <c r="C72" s="11" t="s">
        <v>44</v>
      </c>
      <c r="D72" s="11" t="s">
        <v>44</v>
      </c>
      <c r="E72" s="11" t="s">
        <v>44</v>
      </c>
      <c r="F72" s="11" t="s">
        <v>44</v>
      </c>
      <c r="G72" s="11" t="s">
        <v>44</v>
      </c>
      <c r="H72" s="50" t="s">
        <v>44</v>
      </c>
      <c r="I72" s="13" t="s">
        <v>121</v>
      </c>
    </row>
    <row r="73">
      <c r="A73" s="1"/>
      <c r="B73" s="15" t="s">
        <v>131</v>
      </c>
      <c r="C73" s="5">
        <f>C71-F129</f>
        <v>-1</v>
      </c>
      <c r="D73" s="5">
        <f>D71-C71</f>
        <v>1</v>
      </c>
      <c r="E73" s="5">
        <f>E71-D71</f>
        <v>-3</v>
      </c>
      <c r="F73" s="5">
        <f>F71-E71</f>
        <v>1</v>
      </c>
      <c r="G73" s="5" t="s">
        <v>44</v>
      </c>
      <c r="H73" s="21">
        <f>H71-F71</f>
        <v>0</v>
      </c>
      <c r="I73" s="13"/>
    </row>
    <row r="74">
      <c r="A74" s="1"/>
      <c r="B74" s="15" t="s">
        <v>178</v>
      </c>
      <c r="C74" s="11" t="s">
        <v>44</v>
      </c>
      <c r="D74" s="11" t="s">
        <v>44</v>
      </c>
      <c r="E74" s="11" t="s">
        <v>44</v>
      </c>
      <c r="F74" s="11" t="s">
        <v>44</v>
      </c>
      <c r="G74" s="11" t="s">
        <v>44</v>
      </c>
      <c r="H74" s="50" t="s">
        <v>44</v>
      </c>
      <c r="I74" s="13" t="s">
        <v>124</v>
      </c>
    </row>
    <row r="75">
      <c r="A75" s="1"/>
      <c r="B75" s="15" t="s">
        <v>179</v>
      </c>
      <c r="C75" s="11" t="s">
        <v>44</v>
      </c>
      <c r="D75" s="11" t="s">
        <v>44</v>
      </c>
      <c r="E75" s="11" t="s">
        <v>44</v>
      </c>
      <c r="F75" s="11" t="s">
        <v>44</v>
      </c>
      <c r="G75" s="11" t="s">
        <v>44</v>
      </c>
      <c r="H75" s="50" t="s">
        <v>44</v>
      </c>
      <c r="I75" s="13" t="s">
        <v>125</v>
      </c>
    </row>
    <row r="76" ht="24">
      <c r="A76" s="1"/>
      <c r="B76" s="57" t="s">
        <v>180</v>
      </c>
      <c r="C76" s="11" t="s">
        <v>44</v>
      </c>
      <c r="D76" s="11" t="s">
        <v>44</v>
      </c>
      <c r="E76" s="11" t="s">
        <v>44</v>
      </c>
      <c r="F76" s="11" t="s">
        <v>44</v>
      </c>
      <c r="G76" s="11" t="s">
        <v>44</v>
      </c>
      <c r="H76" s="50" t="s">
        <v>44</v>
      </c>
      <c r="I76" s="13" t="s">
        <v>126</v>
      </c>
    </row>
    <row r="77">
      <c r="A77" s="1"/>
      <c r="B77" s="1" t="s">
        <v>150</v>
      </c>
      <c r="C77" s="9">
        <v>500</v>
      </c>
      <c r="D77" s="9">
        <v>593</v>
      </c>
      <c r="E77" s="9">
        <v>443</v>
      </c>
      <c r="F77" s="9">
        <v>526</v>
      </c>
      <c r="G77" s="22">
        <f>E130+F130+C77+D77</f>
        <v>1971</v>
      </c>
      <c r="H77" s="37">
        <f>H39-H64-H71</f>
        <v>538.5949999999999</v>
      </c>
      <c r="I77" s="13" t="s">
        <v>206</v>
      </c>
    </row>
    <row r="78">
      <c r="A78" s="1"/>
      <c r="B78" s="15" t="s">
        <v>177</v>
      </c>
      <c r="C78" s="11">
        <f>IFERROR(C77/C130-1,"n/a")</f>
        <v>-0.017681728880157177</v>
      </c>
      <c r="D78" s="11">
        <f>IFERROR(D77/D130-1,"n/a")</f>
        <v>0.17892644135188873</v>
      </c>
      <c r="E78" s="11">
        <f>IFERROR(E77/E130-1,"n/a")</f>
        <v>0.06490384615384626</v>
      </c>
      <c r="F78" s="11">
        <f>IFERROR(F77/F130-1,"n/a")</f>
        <v>0.1385281385281385</v>
      </c>
      <c r="G78" s="11" t="s">
        <v>44</v>
      </c>
      <c r="H78" s="50">
        <f>IFERROR(H77/H130-1,"n/a")</f>
        <v>0.07718999999999987</v>
      </c>
      <c r="I78" s="13" t="s">
        <v>204</v>
      </c>
    </row>
    <row r="79">
      <c r="A79" s="1"/>
      <c r="B79" s="15" t="s">
        <v>131</v>
      </c>
      <c r="C79" s="5">
        <f>C77-F130</f>
        <v>38</v>
      </c>
      <c r="D79" s="5">
        <f>D77-C77</f>
        <v>93</v>
      </c>
      <c r="E79" s="5">
        <f>E77-D77</f>
        <v>-150</v>
      </c>
      <c r="F79" s="5">
        <f>F77-E77</f>
        <v>83</v>
      </c>
      <c r="G79" s="5" t="s">
        <v>44</v>
      </c>
      <c r="H79" s="21">
        <f>H77-F77</f>
        <v>12.594999999999914</v>
      </c>
      <c r="I79" s="13"/>
    </row>
    <row r="80">
      <c r="A80" s="1"/>
      <c r="B80" s="15" t="s">
        <v>178</v>
      </c>
      <c r="C80" s="11" t="s">
        <v>44</v>
      </c>
      <c r="D80" s="11" t="s">
        <v>44</v>
      </c>
      <c r="E80" s="11" t="s">
        <v>44</v>
      </c>
      <c r="F80" s="11" t="s">
        <v>44</v>
      </c>
      <c r="G80" s="11" t="s">
        <v>44</v>
      </c>
      <c r="H80" s="50" t="s">
        <v>44</v>
      </c>
      <c r="I80" s="13" t="s">
        <v>124</v>
      </c>
    </row>
    <row r="81">
      <c r="A81" s="1"/>
      <c r="B81" s="15" t="s">
        <v>179</v>
      </c>
      <c r="C81" s="11" t="s">
        <v>44</v>
      </c>
      <c r="D81" s="11" t="s">
        <v>44</v>
      </c>
      <c r="E81" s="11" t="s">
        <v>44</v>
      </c>
      <c r="F81" s="11" t="s">
        <v>44</v>
      </c>
      <c r="G81" s="11" t="s">
        <v>44</v>
      </c>
      <c r="H81" s="50" t="s">
        <v>44</v>
      </c>
      <c r="I81" s="13" t="s">
        <v>125</v>
      </c>
    </row>
    <row r="82" ht="24">
      <c r="A82" s="1"/>
      <c r="B82" s="57" t="s">
        <v>180</v>
      </c>
      <c r="C82" s="11" t="s">
        <v>44</v>
      </c>
      <c r="D82" s="11" t="s">
        <v>44</v>
      </c>
      <c r="E82" s="11" t="s">
        <v>44</v>
      </c>
      <c r="F82" s="11" t="s">
        <v>44</v>
      </c>
      <c r="G82" s="11" t="s">
        <v>44</v>
      </c>
      <c r="H82" s="50" t="s">
        <v>44</v>
      </c>
      <c r="I82" s="13" t="s">
        <v>126</v>
      </c>
    </row>
    <row r="83" ht="24">
      <c r="A83" s="1"/>
      <c r="B83" s="4" t="s">
        <v>207</v>
      </c>
      <c r="C83" s="38" t="b">
        <f>ROUND(C77+C64+C71-C39,6)=0</f>
        <v>1</v>
      </c>
      <c r="D83" s="38" t="b">
        <f>ROUND(D77+D64+D71-D39,6)=0</f>
        <v>1</v>
      </c>
      <c r="E83" s="38" t="b">
        <f>ROUND(E77+E64+E71-E39,6)=0</f>
        <v>1</v>
      </c>
      <c r="F83" s="38" t="b">
        <f>ROUND(F77+F64+F71-F39,6)=0</f>
        <v>1</v>
      </c>
      <c r="G83" s="38" t="b">
        <f>ROUND(G77+G64+G71-G39,6)=0</f>
        <v>1</v>
      </c>
      <c r="H83" s="68" t="b">
        <f>ROUND(H77+H64+H71-H39,6)=0</f>
        <v>1</v>
      </c>
      <c r="I83" s="13"/>
    </row>
    <row r="84">
      <c r="A84" s="1"/>
      <c r="B84" s="41" t="s">
        <v>208</v>
      </c>
      <c r="C84" s="1"/>
      <c r="D84" s="1"/>
      <c r="E84" s="1"/>
      <c r="F84" s="1"/>
      <c r="G84" s="1"/>
      <c r="H84" s="53"/>
      <c r="I84" s="13"/>
    </row>
    <row r="85">
      <c r="A85" s="1"/>
      <c r="B85" s="1" t="s">
        <v>209</v>
      </c>
      <c r="C85" s="1"/>
      <c r="D85" s="1"/>
      <c r="E85" s="1"/>
      <c r="F85" s="1"/>
      <c r="G85" s="1"/>
      <c r="H85" s="53"/>
      <c r="I85" s="13"/>
    </row>
    <row r="86">
      <c r="A86" s="1"/>
      <c r="B86" s="1" t="s">
        <v>210</v>
      </c>
      <c r="C86" s="22">
        <f>F131</f>
        <v>904</v>
      </c>
      <c r="D86" s="22">
        <f>C88</f>
        <v>926</v>
      </c>
      <c r="E86" s="22">
        <f>D88</f>
        <v>1000</v>
      </c>
      <c r="F86" s="22">
        <f>E88</f>
        <v>1020</v>
      </c>
      <c r="G86" s="22" t="s">
        <v>44</v>
      </c>
      <c r="H86" s="37">
        <f>F88</f>
        <v>1040</v>
      </c>
      <c r="I86" s="13" t="s">
        <v>211</v>
      </c>
    </row>
    <row r="87" ht="34.5">
      <c r="A87" s="1"/>
      <c r="B87" s="4" t="s">
        <v>212</v>
      </c>
      <c r="C87" s="22">
        <f>C88-C86</f>
        <v>22</v>
      </c>
      <c r="D87" s="22">
        <f>D88-D86</f>
        <v>74</v>
      </c>
      <c r="E87" s="22">
        <f>E88-E86</f>
        <v>20</v>
      </c>
      <c r="F87" s="22">
        <f>F88-F86</f>
        <v>20</v>
      </c>
      <c r="G87" s="22" t="s">
        <v>44</v>
      </c>
      <c r="H87" s="37">
        <f>H88-H86</f>
        <v>20</v>
      </c>
      <c r="I87" s="13"/>
    </row>
    <row r="88">
      <c r="A88" s="1"/>
      <c r="B88" s="45" t="s">
        <v>213</v>
      </c>
      <c r="C88" s="62">
        <v>926</v>
      </c>
      <c r="D88" s="62">
        <v>1000</v>
      </c>
      <c r="E88" s="62">
        <v>1020</v>
      </c>
      <c r="F88" s="62">
        <v>1040</v>
      </c>
      <c r="G88" s="29">
        <f>D88</f>
        <v>1000</v>
      </c>
      <c r="H88" s="77">
        <v>1060</v>
      </c>
      <c r="I88" s="13" t="s">
        <v>214</v>
      </c>
    </row>
    <row r="89">
      <c r="A89" s="1"/>
      <c r="B89" s="1" t="s">
        <v>215</v>
      </c>
      <c r="C89" s="22">
        <f>(C86+C88)/2</f>
        <v>915</v>
      </c>
      <c r="D89" s="22">
        <f>(D86+D88)/2</f>
        <v>963</v>
      </c>
      <c r="E89" s="22">
        <f>(E86+E88)/2</f>
        <v>1010</v>
      </c>
      <c r="F89" s="22">
        <f>(F86+F88)/2</f>
        <v>1030</v>
      </c>
      <c r="G89" s="22" t="s">
        <v>44</v>
      </c>
      <c r="H89" s="37">
        <f>(H86+H88)/2</f>
        <v>1050</v>
      </c>
      <c r="I89" s="13"/>
    </row>
    <row r="90">
      <c r="A90" s="1"/>
      <c r="B90" s="15" t="s">
        <v>102</v>
      </c>
      <c r="C90" s="11">
        <f>IFERROR(C88/C131-1,"n/a")</f>
        <v>0.06559263521288838</v>
      </c>
      <c r="D90" s="11" t="s">
        <v>44</v>
      </c>
      <c r="E90" s="11">
        <f>IFERROR(E88/E131-1,"n/a")</f>
        <v>0.146067415730337</v>
      </c>
      <c r="F90" s="11">
        <f>IFERROR(F88/F131-1,"n/a")</f>
        <v>0.1504424778761062</v>
      </c>
      <c r="G90" s="11" t="s">
        <v>44</v>
      </c>
      <c r="H90" s="50">
        <f>IFERROR(H88/H131-1,"n/a")</f>
        <v>0.14470842332613398</v>
      </c>
      <c r="I90" s="13" t="s">
        <v>204</v>
      </c>
    </row>
    <row r="91">
      <c r="A91" s="1"/>
      <c r="B91" s="15" t="s">
        <v>123</v>
      </c>
      <c r="C91" s="5">
        <f>C88-F131</f>
        <v>22</v>
      </c>
      <c r="D91" s="5">
        <f>D88-C88</f>
        <v>74</v>
      </c>
      <c r="E91" s="5">
        <f>E88-D88</f>
        <v>20</v>
      </c>
      <c r="F91" s="5">
        <f>F88-E88</f>
        <v>20</v>
      </c>
      <c r="G91" s="5" t="s">
        <v>44</v>
      </c>
      <c r="H91" s="21">
        <f>H88-F88</f>
        <v>20</v>
      </c>
      <c r="I91" s="13"/>
    </row>
    <row r="92">
      <c r="A92" s="1"/>
      <c r="B92" s="15" t="s">
        <v>216</v>
      </c>
      <c r="C92" s="11">
        <f>IFERROR(C87/C86,"n/a")</f>
        <v>0.024336283185840708</v>
      </c>
      <c r="D92" s="11">
        <f>IFERROR(D87/D86,"n/a")</f>
        <v>0.07991360691144708</v>
      </c>
      <c r="E92" s="11">
        <f>IFERROR(E87/E86,"n/a")</f>
        <v>0.02</v>
      </c>
      <c r="F92" s="11">
        <f>IFERROR(F87/F86,"n/a")</f>
        <v>0.0196078431372549</v>
      </c>
      <c r="G92" s="11" t="s">
        <v>44</v>
      </c>
      <c r="H92" s="50">
        <f>IFERROR(H87/H86,"n/a")</f>
        <v>0.019230769230769232</v>
      </c>
      <c r="I92" s="13"/>
    </row>
    <row r="93">
      <c r="A93" s="1"/>
      <c r="B93" s="15" t="s">
        <v>217</v>
      </c>
      <c r="C93" s="11" t="s">
        <v>44</v>
      </c>
      <c r="D93" s="11" t="s">
        <v>44</v>
      </c>
      <c r="E93" s="11" t="s">
        <v>44</v>
      </c>
      <c r="F93" s="11" t="s">
        <v>44</v>
      </c>
      <c r="G93" s="11" t="s">
        <v>44</v>
      </c>
      <c r="H93" s="50" t="s">
        <v>44</v>
      </c>
      <c r="I93" s="13" t="s">
        <v>218</v>
      </c>
    </row>
    <row r="94" ht="34.5">
      <c r="A94" s="1"/>
      <c r="B94" s="57" t="s">
        <v>219</v>
      </c>
      <c r="C94" s="11">
        <f>C89/4/(C11+C18)</f>
        <v>0.5662128712871287</v>
      </c>
      <c r="D94" s="11">
        <f>D89/4/(D11+D18)</f>
        <v>0.5314569536423841</v>
      </c>
      <c r="E94" s="11">
        <f>E89/4/(E11+E18)</f>
        <v>0.6575520833333334</v>
      </c>
      <c r="F94" s="11">
        <f>F89/4/(F11+F18)</f>
        <v>0.6342364532019704</v>
      </c>
      <c r="G94" s="11" t="s">
        <v>44</v>
      </c>
      <c r="H94" s="50">
        <f>H89/4/(H11+H18)</f>
        <v>0.6313283147742852</v>
      </c>
      <c r="I94" s="13"/>
    </row>
    <row r="95">
      <c r="A95" s="1"/>
      <c r="B95" s="41" t="s">
        <v>220</v>
      </c>
      <c r="C95" s="1"/>
      <c r="D95" s="1"/>
      <c r="E95" s="1"/>
      <c r="F95" s="1"/>
      <c r="G95" s="1"/>
      <c r="H95" s="53"/>
      <c r="I95" s="13"/>
    </row>
    <row r="96">
      <c r="A96" s="1"/>
      <c r="B96" s="45" t="s">
        <v>221</v>
      </c>
      <c r="C96" s="62">
        <v>187</v>
      </c>
      <c r="D96" s="62">
        <v>280</v>
      </c>
      <c r="E96" s="62">
        <v>134</v>
      </c>
      <c r="F96" s="62">
        <v>194</v>
      </c>
      <c r="G96" s="29">
        <f>E132+F132+C96+D96</f>
        <v>745</v>
      </c>
      <c r="H96" s="47">
        <f>H39*H97</f>
        <v>185.8207</v>
      </c>
      <c r="I96" s="13"/>
    </row>
    <row r="97" ht="24">
      <c r="A97" s="1"/>
      <c r="B97" s="57" t="s">
        <v>222</v>
      </c>
      <c r="C97" s="11">
        <f>IFERROR(C96/C39,"n/a")</f>
        <v>0.28419452887537994</v>
      </c>
      <c r="D97" s="11">
        <f>IFERROR(D96/D39,"n/a")</f>
        <v>0.3393939393939394</v>
      </c>
      <c r="E97" s="11">
        <f>IFERROR(E96/E39,"n/a")</f>
        <v>0.209375</v>
      </c>
      <c r="F97" s="11">
        <f>IFERROR(F96/F39,"n/a")</f>
        <v>0.2783357245337159</v>
      </c>
      <c r="G97" s="11">
        <f>IFERROR(G96/G39,"n/a")</f>
        <v>0.27996993611424276</v>
      </c>
      <c r="H97" s="66">
        <v>0.26</v>
      </c>
      <c r="I97" s="13" t="s">
        <v>223</v>
      </c>
    </row>
    <row r="98">
      <c r="A98" s="1"/>
      <c r="B98" s="15" t="s">
        <v>119</v>
      </c>
      <c r="C98" s="40">
        <f>IFERROR((C97-C133)*10000,"n/a")</f>
        <v>-136.11113757848904</v>
      </c>
      <c r="D98" s="40">
        <f>IFERROR((D97-D133)*10000,"n/a")</f>
        <v>-38.68471953578312</v>
      </c>
      <c r="E98" s="40">
        <f>IFERROR((E97-E133)*10000,"n/a")</f>
        <v>-35.721890971039116</v>
      </c>
      <c r="F98" s="40">
        <f>IFERROR((F97-F133)*10000,"n/a")</f>
        <v>194.52475802751445</v>
      </c>
      <c r="G98" s="40">
        <f>IFERROR((G97-G133)*10000,"n/a")</f>
        <v>290.4742688915052</v>
      </c>
      <c r="H98" s="56">
        <f>IFERROR((H97-H133)*10000,"n/a")</f>
        <v>-241.94528875379928</v>
      </c>
      <c r="I98" s="13"/>
    </row>
    <row r="99">
      <c r="A99" s="1"/>
      <c r="B99" s="15" t="s">
        <v>120</v>
      </c>
      <c r="C99" s="40">
        <f>IFERROR((C97-F133)*10000,"n/a")</f>
        <v>253.1128014441547</v>
      </c>
      <c r="D99" s="40">
        <f>IFERROR((D97-C97)*10000,"n/a")</f>
        <v>551.9941051855948</v>
      </c>
      <c r="E99" s="40">
        <f>IFERROR((E97-D97)*10000,"n/a")</f>
        <v>-1300.189393939394</v>
      </c>
      <c r="F99" s="40">
        <f>IFERROR((F97-E97)*10000,"n/a")</f>
        <v>689.607245337159</v>
      </c>
      <c r="G99" s="40" t="s">
        <v>44</v>
      </c>
      <c r="H99" s="56">
        <f>IFERROR((H97-F97)*10000,"n/a")</f>
        <v>-183.35724533715901</v>
      </c>
      <c r="I99" s="13"/>
    </row>
    <row r="100">
      <c r="A100" s="1"/>
      <c r="B100" s="15" t="s">
        <v>102</v>
      </c>
      <c r="C100" s="11">
        <f>IFERROR(C96/C132-1,"n/a")</f>
        <v>-0.015789473684210575</v>
      </c>
      <c r="D100" s="11">
        <f>IFERROR(D96/D132-1,"n/a")</f>
        <v>0.15702479338842967</v>
      </c>
      <c r="E100" s="11">
        <f>IFERROR(E96/E132-1,"n/a")</f>
        <v>0.07200000000000006</v>
      </c>
      <c r="F100" s="11">
        <f>IFERROR(F96/F132-1,"n/a")</f>
        <v>0.26797385620915026</v>
      </c>
      <c r="G100" s="11">
        <f>IFERROR(G96/G132-1,"n/a")</f>
        <v>0.2173202614379084</v>
      </c>
      <c r="H100" s="50">
        <f>IFERROR(H96/H132-1,"n/a")</f>
        <v>-0.006306417112299512</v>
      </c>
      <c r="I100" s="13"/>
    </row>
    <row r="101">
      <c r="A101" s="1"/>
      <c r="B101" s="15" t="s">
        <v>123</v>
      </c>
      <c r="C101" s="5">
        <f>C96-F132</f>
        <v>34</v>
      </c>
      <c r="D101" s="5">
        <f>D96-C96</f>
        <v>93</v>
      </c>
      <c r="E101" s="5">
        <f>E96-D96</f>
        <v>-146</v>
      </c>
      <c r="F101" s="5">
        <f>F96-E96</f>
        <v>60</v>
      </c>
      <c r="G101" s="5" t="s">
        <v>44</v>
      </c>
      <c r="H101" s="21">
        <f>H96-F96</f>
        <v>-8.179300000000012</v>
      </c>
      <c r="I101" s="13"/>
    </row>
    <row r="102" ht="24">
      <c r="A102" s="1"/>
      <c r="B102" s="57" t="s">
        <v>224</v>
      </c>
      <c r="C102" s="11">
        <f>IFERROR((C96-F132)/(C39-F126),"n/a")</f>
        <v>0.5074626865671642</v>
      </c>
      <c r="D102" s="11">
        <f>IFERROR((D96-C96)/(D39-C39),"n/a")</f>
        <v>0.5568862275449101</v>
      </c>
      <c r="E102" s="11">
        <f>IFERROR((E96-D96)/(E39-D39),"n/a")</f>
        <v>0.7891891891891892</v>
      </c>
      <c r="F102" s="11">
        <f>IFERROR((F96-E96)/(F39-E39),"n/a")</f>
        <v>1.0526315789473684</v>
      </c>
      <c r="G102" s="11" t="s">
        <v>44</v>
      </c>
      <c r="H102" s="50">
        <f>IFERROR((H96-F96)/(H39-F39),"n/a")</f>
        <v>-0.4622379203164759</v>
      </c>
      <c r="I102" s="13"/>
    </row>
    <row r="103">
      <c r="A103" s="1"/>
      <c r="B103" s="1" t="s">
        <v>225</v>
      </c>
      <c r="C103" s="9">
        <v>28</v>
      </c>
      <c r="D103" s="9">
        <v>66</v>
      </c>
      <c r="E103" s="9">
        <v>33</v>
      </c>
      <c r="F103" s="9">
        <v>48</v>
      </c>
      <c r="G103" s="22">
        <f>E134+F134+C103+D103</f>
        <v>183</v>
      </c>
      <c r="H103" s="8">
        <v>45</v>
      </c>
      <c r="I103" s="13" t="s">
        <v>226</v>
      </c>
    </row>
    <row r="104">
      <c r="A104" s="1"/>
      <c r="B104" s="15" t="s">
        <v>102</v>
      </c>
      <c r="C104" s="11">
        <f>IFERROR(C103/C134-1,"n/a")</f>
        <v>-0.28205128205128205</v>
      </c>
      <c r="D104" s="11">
        <f>IFERROR(D103/D134-1,"n/a")</f>
        <v>0.4042553191489362</v>
      </c>
      <c r="E104" s="11">
        <f>IFERROR(E103/E134-1,"n/a")</f>
        <v>-0.4107142857142857</v>
      </c>
      <c r="F104" s="11">
        <f>IFERROR(F103/F134-1,"n/a")</f>
        <v>0.4545454545454546</v>
      </c>
      <c r="G104" s="11">
        <f>IFERROR(G103/G134-1,"n/a")</f>
        <v>0.06395348837209291</v>
      </c>
      <c r="H104" s="50">
        <f>IFERROR(H103/H134-1,"n/a")</f>
        <v>0.6071428571428572</v>
      </c>
      <c r="I104" s="13"/>
    </row>
    <row r="105">
      <c r="A105" s="1"/>
      <c r="B105" s="15" t="s">
        <v>123</v>
      </c>
      <c r="C105" s="5">
        <f>C103-F134</f>
        <v>-5</v>
      </c>
      <c r="D105" s="5">
        <f>D103-C103</f>
        <v>38</v>
      </c>
      <c r="E105" s="5">
        <f>E103-D103</f>
        <v>-33</v>
      </c>
      <c r="F105" s="5">
        <f>F103-E103</f>
        <v>15</v>
      </c>
      <c r="G105" s="5" t="s">
        <v>44</v>
      </c>
      <c r="H105" s="21">
        <f>H103-F103</f>
        <v>-3</v>
      </c>
      <c r="I105" s="13"/>
    </row>
    <row r="106">
      <c r="A106" s="1"/>
      <c r="B106" s="15" t="s">
        <v>227</v>
      </c>
      <c r="C106" s="11">
        <f>IFERROR(C103/C39,"n/a")</f>
        <v>0.0425531914893617</v>
      </c>
      <c r="D106" s="11">
        <f>IFERROR(D103/D39,"n/a")</f>
        <v>0.08</v>
      </c>
      <c r="E106" s="11">
        <f>IFERROR(E103/E39,"n/a")</f>
        <v>0.0515625</v>
      </c>
      <c r="F106" s="11">
        <f>IFERROR(F103/F39,"n/a")</f>
        <v>0.06886657101865136</v>
      </c>
      <c r="G106" s="11">
        <f>IFERROR(G103/G39,"n/a")</f>
        <v>0.06877113866967305</v>
      </c>
      <c r="H106" s="50">
        <f>IFERROR(H103/H39,"n/a")</f>
        <v>0.06296392167288145</v>
      </c>
      <c r="I106" s="13"/>
    </row>
    <row r="107">
      <c r="A107" s="1"/>
      <c r="B107" s="15" t="s">
        <v>119</v>
      </c>
      <c r="C107" s="40">
        <f>IFERROR((C106-C135)*10000,"n/a")</f>
        <v>-185.75335156406325</v>
      </c>
      <c r="D107" s="40">
        <f>IFERROR((D106-D135)*10000,"n/a")</f>
        <v>133.33333333333337</v>
      </c>
      <c r="E107" s="40">
        <f>IFERROR((E106-E135)*10000,"n/a")</f>
        <v>-438.3784071550256</v>
      </c>
      <c r="F107" s="40">
        <f>IFERROR((F106-F135)*10000,"n/a")</f>
        <v>130.29007566874708</v>
      </c>
      <c r="G107" s="40">
        <f>IFERROR((G106-G135)*10000,"n/a")</f>
        <v>-17.495665373790242</v>
      </c>
      <c r="H107" s="56">
        <f>IFERROR((H106-H135)*10000,"n/a")</f>
        <v>204.1073018351975</v>
      </c>
      <c r="I107" s="13"/>
    </row>
    <row r="108">
      <c r="A108" s="1"/>
      <c r="B108" s="15" t="s">
        <v>120</v>
      </c>
      <c r="C108" s="40">
        <f>IFERROR((C106-F135)*10000,"n/a")</f>
        <v>-132.8437196241495</v>
      </c>
      <c r="D108" s="40">
        <f>IFERROR((D106-C106)*10000,"n/a")</f>
        <v>374.468085106383</v>
      </c>
      <c r="E108" s="40">
        <f>IFERROR((E106-D106)*10000,"n/a")</f>
        <v>-284.37500000000006</v>
      </c>
      <c r="F108" s="40">
        <f>IFERROR((F106-E106)*10000,"n/a")</f>
        <v>173.04071018651362</v>
      </c>
      <c r="G108" s="40" t="s">
        <v>44</v>
      </c>
      <c r="H108" s="56">
        <f>IFERROR((H106-F106)*10000,"n/a")</f>
        <v>-59.02649345769909</v>
      </c>
      <c r="I108" s="13"/>
    </row>
    <row r="109" ht="24">
      <c r="A109" s="1"/>
      <c r="B109" s="4" t="s">
        <v>228</v>
      </c>
      <c r="C109" s="9">
        <v>0</v>
      </c>
      <c r="D109" s="9">
        <v>0</v>
      </c>
      <c r="E109" s="9">
        <v>0</v>
      </c>
      <c r="F109" s="9">
        <v>0</v>
      </c>
      <c r="G109" s="22">
        <f>E136+F136+C109+D109</f>
        <v>0</v>
      </c>
      <c r="H109" s="8">
        <v>0</v>
      </c>
      <c r="I109" s="13" t="s">
        <v>229</v>
      </c>
    </row>
    <row r="110">
      <c r="A110" s="1"/>
      <c r="B110" s="15" t="s">
        <v>122</v>
      </c>
      <c r="C110" s="5">
        <f>C109-C136</f>
        <v>0</v>
      </c>
      <c r="D110" s="5" t="s">
        <v>44</v>
      </c>
      <c r="E110" s="5">
        <f>E109-E136</f>
        <v>0</v>
      </c>
      <c r="F110" s="5">
        <f>F109-F136</f>
        <v>0</v>
      </c>
      <c r="G110" s="5">
        <f>G109-G136</f>
        <v>0</v>
      </c>
      <c r="H110" s="21">
        <f>H109-H136</f>
        <v>0</v>
      </c>
      <c r="I110" s="13" t="s">
        <v>204</v>
      </c>
    </row>
    <row r="111">
      <c r="A111" s="1"/>
      <c r="B111" s="15" t="s">
        <v>123</v>
      </c>
      <c r="C111" s="5">
        <f>C109-F136</f>
        <v>0</v>
      </c>
      <c r="D111" s="5">
        <f>D109-C109</f>
        <v>0</v>
      </c>
      <c r="E111" s="5">
        <f>E109-D109</f>
        <v>0</v>
      </c>
      <c r="F111" s="5">
        <f>F109-E109</f>
        <v>0</v>
      </c>
      <c r="G111" s="5" t="s">
        <v>44</v>
      </c>
      <c r="H111" s="21">
        <f>H109-F109</f>
        <v>0</v>
      </c>
      <c r="I111" s="13"/>
    </row>
    <row r="112">
      <c r="A112" s="1"/>
      <c r="B112" s="45" t="s">
        <v>230</v>
      </c>
      <c r="C112" s="29">
        <f>C96+C103+C109</f>
        <v>215</v>
      </c>
      <c r="D112" s="29">
        <f>D96+D103+D109</f>
        <v>346</v>
      </c>
      <c r="E112" s="29">
        <f>E96+E103+E109</f>
        <v>167</v>
      </c>
      <c r="F112" s="29">
        <f>F96+F103+F109</f>
        <v>242</v>
      </c>
      <c r="G112" s="29">
        <f>G96+G103+G109</f>
        <v>928</v>
      </c>
      <c r="H112" s="47">
        <f>H96+H103+H109</f>
        <v>230.8207</v>
      </c>
      <c r="I112" s="13"/>
    </row>
    <row r="113">
      <c r="A113" s="1"/>
      <c r="B113" s="15" t="s">
        <v>102</v>
      </c>
      <c r="C113" s="11">
        <f>IFERROR(C112/C137-1,"n/a")</f>
        <v>-0.06113537117903933</v>
      </c>
      <c r="D113" s="11">
        <f>IFERROR(D112/D137-1,"n/a")</f>
        <v>0.19723183391003452</v>
      </c>
      <c r="E113" s="11">
        <f>IFERROR(E112/E137-1,"n/a")</f>
        <v>-0.07734806629834257</v>
      </c>
      <c r="F113" s="11">
        <f>IFERROR(F112/F137-1,"n/a")</f>
        <v>0.30107526881720426</v>
      </c>
      <c r="G113" s="11">
        <f>IFERROR(G112/G137-1,"n/a")</f>
        <v>0.18367346938775508</v>
      </c>
      <c r="H113" s="50">
        <f>IFERROR(H112/H137-1,"n/a")</f>
        <v>0.07358465116279067</v>
      </c>
      <c r="I113" s="13"/>
    </row>
    <row r="114">
      <c r="A114" s="1"/>
      <c r="B114" s="15" t="s">
        <v>123</v>
      </c>
      <c r="C114" s="5">
        <f>C112-F137</f>
        <v>29</v>
      </c>
      <c r="D114" s="5">
        <f>D112-C112</f>
        <v>131</v>
      </c>
      <c r="E114" s="5">
        <f>E112-D112</f>
        <v>-179</v>
      </c>
      <c r="F114" s="5">
        <f>F112-E112</f>
        <v>75</v>
      </c>
      <c r="G114" s="5" t="s">
        <v>44</v>
      </c>
      <c r="H114" s="21">
        <f>H112-F112</f>
        <v>-11.179300000000012</v>
      </c>
      <c r="I114" s="13"/>
    </row>
    <row r="115">
      <c r="A115" s="1"/>
      <c r="B115" s="15" t="s">
        <v>231</v>
      </c>
      <c r="C115" s="11">
        <f>IFERROR(C112/C39,"n/a")</f>
        <v>0.32674772036474165</v>
      </c>
      <c r="D115" s="11">
        <f>IFERROR(D112/D39,"n/a")</f>
        <v>0.4193939393939394</v>
      </c>
      <c r="E115" s="11">
        <f>IFERROR(E112/E39,"n/a")</f>
        <v>0.2609375</v>
      </c>
      <c r="F115" s="11">
        <f>IFERROR(F112/F39,"n/a")</f>
        <v>0.3472022955523673</v>
      </c>
      <c r="G115" s="11">
        <f>IFERROR(G112/G39,"n/a")</f>
        <v>0.3487410747839158</v>
      </c>
      <c r="H115" s="50">
        <f>IFERROR(H112/H39,"n/a")</f>
        <v>0.32296392167288146</v>
      </c>
      <c r="I115" s="13"/>
    </row>
    <row r="116">
      <c r="A116" s="1"/>
      <c r="B116" s="15" t="s">
        <v>119</v>
      </c>
      <c r="C116" s="40">
        <f>IFERROR((C115-C138)*10000,"n/a")</f>
        <v>-321.86448914255203</v>
      </c>
      <c r="D116" s="40">
        <f>IFERROR((D115-D138)*10000,"n/a")</f>
        <v>94.64861379754996</v>
      </c>
      <c r="E116" s="40">
        <f>IFERROR((E115-E138)*10000,"n/a")</f>
        <v>-474.100298126065</v>
      </c>
      <c r="F116" s="40">
        <f>IFERROR((F115-F138)*10000,"n/a")</f>
        <v>324.814833696262</v>
      </c>
      <c r="G116" s="40">
        <f>IFERROR((G115-G138)*10000,"n/a")</f>
        <v>272.9786035177151</v>
      </c>
      <c r="H116" s="56">
        <f>IFERROR((H115-H138)*10000,"n/a")</f>
        <v>-37.83798691860185</v>
      </c>
      <c r="I116" s="13"/>
    </row>
    <row r="117">
      <c r="A117" s="1"/>
      <c r="B117" s="15" t="s">
        <v>120</v>
      </c>
      <c r="C117" s="40">
        <f>IFERROR((C115-F138)*10000,"n/a")</f>
        <v>120.26908182000528</v>
      </c>
      <c r="D117" s="40">
        <f>IFERROR((D115-C115)*10000,"n/a")</f>
        <v>926.4621902919773</v>
      </c>
      <c r="E117" s="40">
        <f>IFERROR((E115-D115)*10000,"n/a")</f>
        <v>-1584.5643939393938</v>
      </c>
      <c r="F117" s="40">
        <f>IFERROR((F115-E115)*10000,"n/a")</f>
        <v>862.6479555236732</v>
      </c>
      <c r="G117" s="40" t="s">
        <v>44</v>
      </c>
      <c r="H117" s="56">
        <f>IFERROR((H115-F115)*10000,"n/a")</f>
        <v>-242.38373879485852</v>
      </c>
      <c r="I117" s="13"/>
    </row>
    <row r="118" ht="24">
      <c r="A118" s="1"/>
      <c r="B118" s="4" t="s">
        <v>232</v>
      </c>
      <c r="C118" s="9">
        <v>215</v>
      </c>
      <c r="D118" s="9">
        <v>346</v>
      </c>
      <c r="E118" s="9">
        <v>167</v>
      </c>
      <c r="F118" s="9">
        <v>242</v>
      </c>
      <c r="G118" s="9">
        <v>928</v>
      </c>
      <c r="H118" s="37" t="s">
        <v>44</v>
      </c>
      <c r="I118" s="13" t="s">
        <v>143</v>
      </c>
    </row>
    <row r="119">
      <c r="A119" s="1"/>
      <c r="B119" s="15" t="s">
        <v>144</v>
      </c>
      <c r="C119" s="5">
        <f>C112-C118</f>
        <v>0</v>
      </c>
      <c r="D119" s="5">
        <f>D112-D118</f>
        <v>0</v>
      </c>
      <c r="E119" s="5">
        <f>E112-E118</f>
        <v>0</v>
      </c>
      <c r="F119" s="5">
        <f>F112-F118</f>
        <v>0</v>
      </c>
      <c r="G119" s="5">
        <f>G112-G118</f>
        <v>0</v>
      </c>
      <c r="H119" s="21" t="s">
        <v>44</v>
      </c>
      <c r="I119" s="13"/>
    </row>
    <row r="120">
      <c r="A120" s="1"/>
      <c r="B120" s="1"/>
      <c r="C120" s="1"/>
      <c r="D120" s="1"/>
      <c r="E120" s="1"/>
      <c r="F120" s="1"/>
      <c r="G120" s="1"/>
      <c r="H120" s="53"/>
      <c r="I120" s="13"/>
    </row>
    <row r="121">
      <c r="A121" s="1"/>
      <c r="B121" s="41" t="s">
        <v>155</v>
      </c>
      <c r="C121" s="1"/>
      <c r="D121" s="1"/>
      <c r="E121" s="1"/>
      <c r="F121" s="1"/>
      <c r="G121" s="1"/>
      <c r="H121" s="53"/>
      <c r="I121" s="13" t="s">
        <v>156</v>
      </c>
    </row>
    <row r="122" ht="24">
      <c r="A122" s="1"/>
      <c r="B122" s="4" t="s">
        <v>233</v>
      </c>
      <c r="C122" s="9">
        <v>262</v>
      </c>
      <c r="D122" s="9">
        <v>301</v>
      </c>
      <c r="E122" s="9">
        <v>236</v>
      </c>
      <c r="F122" s="9">
        <v>266</v>
      </c>
      <c r="G122" s="9">
        <v>1023</v>
      </c>
      <c r="H122" s="37">
        <f>C11</f>
        <v>273</v>
      </c>
      <c r="I122" s="13"/>
    </row>
    <row r="123" ht="24">
      <c r="A123" s="1"/>
      <c r="B123" s="4" t="s">
        <v>234</v>
      </c>
      <c r="C123" s="9">
        <v>89</v>
      </c>
      <c r="D123" s="9">
        <v>79</v>
      </c>
      <c r="E123" s="9">
        <v>77</v>
      </c>
      <c r="F123" s="9">
        <v>94</v>
      </c>
      <c r="G123" s="9">
        <v>290</v>
      </c>
      <c r="H123" s="37">
        <f>C18</f>
        <v>131</v>
      </c>
      <c r="I123" s="13"/>
    </row>
    <row r="124" ht="24">
      <c r="A124" s="1"/>
      <c r="B124" s="4" t="s">
        <v>235</v>
      </c>
      <c r="C124" s="9">
        <v>111</v>
      </c>
      <c r="D124" s="9">
        <v>136</v>
      </c>
      <c r="E124" s="9">
        <v>110</v>
      </c>
      <c r="F124" s="9">
        <v>63</v>
      </c>
      <c r="G124" s="9">
        <v>432</v>
      </c>
      <c r="H124" s="37">
        <f>C25</f>
        <v>80</v>
      </c>
      <c r="I124" s="13"/>
    </row>
    <row r="125" ht="24">
      <c r="A125" s="1"/>
      <c r="B125" s="4" t="s">
        <v>236</v>
      </c>
      <c r="C125" s="9">
        <v>176</v>
      </c>
      <c r="D125" s="9">
        <v>189</v>
      </c>
      <c r="E125" s="9">
        <v>164</v>
      </c>
      <c r="F125" s="9">
        <v>168</v>
      </c>
      <c r="G125" s="9">
        <v>694</v>
      </c>
      <c r="H125" s="37">
        <f>C32</f>
        <v>174</v>
      </c>
      <c r="I125" s="13"/>
    </row>
    <row r="126" ht="24">
      <c r="A126" s="1"/>
      <c r="B126" s="4" t="s">
        <v>237</v>
      </c>
      <c r="C126" s="22">
        <f>C122+C123+C124+C125</f>
        <v>638</v>
      </c>
      <c r="D126" s="22">
        <f>D122+D123+D124+D125</f>
        <v>705</v>
      </c>
      <c r="E126" s="22">
        <f>E122+E123+E124+E125</f>
        <v>587</v>
      </c>
      <c r="F126" s="22">
        <f>F122+F123+F124+F125</f>
        <v>591</v>
      </c>
      <c r="G126" s="22">
        <f>G122+G123+G124+G125</f>
        <v>2439</v>
      </c>
      <c r="H126" s="37">
        <f>C39</f>
        <v>658</v>
      </c>
      <c r="I126" s="13"/>
    </row>
    <row r="127" ht="24">
      <c r="A127" s="1"/>
      <c r="B127" s="4" t="s">
        <v>238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37">
        <f>C43</f>
        <v>20</v>
      </c>
      <c r="I127" s="13"/>
    </row>
    <row r="128">
      <c r="A128" s="1"/>
      <c r="B128" s="1" t="s">
        <v>239</v>
      </c>
      <c r="C128" s="9">
        <v>128</v>
      </c>
      <c r="D128" s="9">
        <v>200</v>
      </c>
      <c r="E128" s="9">
        <v>171</v>
      </c>
      <c r="F128" s="9">
        <v>126</v>
      </c>
      <c r="G128" s="22"/>
      <c r="H128" s="37">
        <f>C64</f>
        <v>156</v>
      </c>
      <c r="I128" s="13"/>
    </row>
    <row r="129">
      <c r="A129" s="1"/>
      <c r="B129" s="1" t="s">
        <v>240</v>
      </c>
      <c r="C129" s="9">
        <v>1</v>
      </c>
      <c r="D129" s="9">
        <v>2</v>
      </c>
      <c r="E129" s="9">
        <v>0</v>
      </c>
      <c r="F129" s="9">
        <v>3</v>
      </c>
      <c r="G129" s="22"/>
      <c r="H129" s="37">
        <f>C71</f>
        <v>2</v>
      </c>
      <c r="I129" s="13"/>
    </row>
    <row r="130">
      <c r="A130" s="1"/>
      <c r="B130" s="1" t="s">
        <v>241</v>
      </c>
      <c r="C130" s="9">
        <v>509</v>
      </c>
      <c r="D130" s="9">
        <v>503</v>
      </c>
      <c r="E130" s="9">
        <v>416</v>
      </c>
      <c r="F130" s="9">
        <v>462</v>
      </c>
      <c r="G130" s="22"/>
      <c r="H130" s="37">
        <f>C77</f>
        <v>500</v>
      </c>
      <c r="I130" s="13"/>
    </row>
    <row r="131" ht="24">
      <c r="A131" s="1"/>
      <c r="B131" s="4" t="s">
        <v>242</v>
      </c>
      <c r="C131" s="9">
        <v>869</v>
      </c>
      <c r="D131" s="22"/>
      <c r="E131" s="9">
        <v>890</v>
      </c>
      <c r="F131" s="9">
        <v>904</v>
      </c>
      <c r="G131" s="22"/>
      <c r="H131" s="37">
        <f>C88</f>
        <v>926</v>
      </c>
      <c r="I131" s="13"/>
    </row>
    <row r="132" ht="24">
      <c r="A132" s="1"/>
      <c r="B132" s="4" t="s">
        <v>243</v>
      </c>
      <c r="C132" s="9">
        <v>190</v>
      </c>
      <c r="D132" s="9">
        <v>242</v>
      </c>
      <c r="E132" s="9">
        <v>125</v>
      </c>
      <c r="F132" s="9">
        <v>153</v>
      </c>
      <c r="G132" s="9">
        <v>612</v>
      </c>
      <c r="H132" s="37">
        <f>C96</f>
        <v>187</v>
      </c>
      <c r="I132" s="13"/>
    </row>
    <row r="133" ht="24">
      <c r="A133" s="1"/>
      <c r="B133" s="57" t="s">
        <v>244</v>
      </c>
      <c r="C133" s="11">
        <f>IFERROR(C132/C126,"n/a")</f>
        <v>0.29780564263322884</v>
      </c>
      <c r="D133" s="11">
        <f>IFERROR(D132/D126,"n/a")</f>
        <v>0.3432624113475177</v>
      </c>
      <c r="E133" s="11">
        <f>IFERROR(E132/E126,"n/a")</f>
        <v>0.21294718909710392</v>
      </c>
      <c r="F133" s="11">
        <f>IFERROR(F132/F126,"n/a")</f>
        <v>0.25888324873096447</v>
      </c>
      <c r="G133" s="11">
        <f>IFERROR(G132/G126,"n/a")</f>
        <v>0.25092250922509224</v>
      </c>
      <c r="H133" s="50">
        <f>C97</f>
        <v>0.28419452887537994</v>
      </c>
      <c r="I133" s="13"/>
    </row>
    <row r="134" ht="24">
      <c r="A134" s="1"/>
      <c r="B134" s="4" t="s">
        <v>245</v>
      </c>
      <c r="C134" s="9">
        <v>39</v>
      </c>
      <c r="D134" s="9">
        <v>47</v>
      </c>
      <c r="E134" s="9">
        <v>56</v>
      </c>
      <c r="F134" s="9">
        <v>33</v>
      </c>
      <c r="G134" s="9">
        <v>172</v>
      </c>
      <c r="H134" s="37">
        <f>C103</f>
        <v>28</v>
      </c>
      <c r="I134" s="13"/>
    </row>
    <row r="135">
      <c r="A135" s="1"/>
      <c r="B135" s="15" t="s">
        <v>246</v>
      </c>
      <c r="C135" s="11">
        <f>IFERROR(C134/C126,"n/a")</f>
        <v>0.061128526645768025</v>
      </c>
      <c r="D135" s="11">
        <f>IFERROR(D134/D126,"n/a")</f>
        <v>0.06666666666666667</v>
      </c>
      <c r="E135" s="11">
        <f>IFERROR(E134/E126,"n/a")</f>
        <v>0.09540034071550256</v>
      </c>
      <c r="F135" s="11">
        <f>IFERROR(F134/F126,"n/a")</f>
        <v>0.05583756345177665</v>
      </c>
      <c r="G135" s="11">
        <f>IFERROR(G134/G126,"n/a")</f>
        <v>0.07052070520705207</v>
      </c>
      <c r="H135" s="50">
        <f>C106</f>
        <v>0.0425531914893617</v>
      </c>
      <c r="I135" s="13"/>
    </row>
    <row r="136" ht="34.5">
      <c r="A136" s="1"/>
      <c r="B136" s="4" t="s">
        <v>247</v>
      </c>
      <c r="C136" s="9">
        <v>0</v>
      </c>
      <c r="D136" s="22"/>
      <c r="E136" s="9">
        <v>0</v>
      </c>
      <c r="F136" s="9">
        <v>0</v>
      </c>
      <c r="G136" s="9">
        <v>0</v>
      </c>
      <c r="H136" s="37">
        <f>C109</f>
        <v>0</v>
      </c>
      <c r="I136" s="13"/>
    </row>
    <row r="137">
      <c r="A137" s="1"/>
      <c r="B137" s="1" t="s">
        <v>248</v>
      </c>
      <c r="C137" s="22">
        <f>C132+C134+C136</f>
        <v>229</v>
      </c>
      <c r="D137" s="9">
        <v>289</v>
      </c>
      <c r="E137" s="22">
        <f>E132+E134+E136</f>
        <v>181</v>
      </c>
      <c r="F137" s="22">
        <f>F132+F134+F136</f>
        <v>186</v>
      </c>
      <c r="G137" s="22">
        <f>G132+G134+G136</f>
        <v>784</v>
      </c>
      <c r="H137" s="37">
        <f>C112</f>
        <v>215</v>
      </c>
      <c r="I137" s="13"/>
    </row>
    <row r="138" ht="24">
      <c r="A138" s="1"/>
      <c r="B138" s="57" t="s">
        <v>249</v>
      </c>
      <c r="C138" s="11">
        <f>IFERROR(C137/C126,"n/a")</f>
        <v>0.35893416927899685</v>
      </c>
      <c r="D138" s="11">
        <f>IFERROR(D137/D126,"n/a")</f>
        <v>0.4099290780141844</v>
      </c>
      <c r="E138" s="11">
        <f>IFERROR(E137/E126,"n/a")</f>
        <v>0.3083475298126065</v>
      </c>
      <c r="F138" s="11">
        <f>IFERROR(F137/F126,"n/a")</f>
        <v>0.3147208121827411</v>
      </c>
      <c r="G138" s="11">
        <f>IFERROR(G137/G126,"n/a")</f>
        <v>0.3214432144321443</v>
      </c>
      <c r="H138" s="50">
        <f>C115</f>
        <v>0.32674772036474165</v>
      </c>
      <c r="I138" s="13"/>
    </row>
    <row r="139">
      <c r="A139" s="1"/>
      <c r="B139" s="1"/>
      <c r="C139" s="1"/>
      <c r="D139" s="1"/>
      <c r="E139" s="1"/>
      <c r="F139" s="1"/>
      <c r="G139" s="1"/>
      <c r="H139" s="1"/>
      <c r="I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51" t="s">
        <v>1</v>
      </c>
      <c r="C2" s="1"/>
      <c r="D2" s="1"/>
      <c r="E2" s="1"/>
      <c r="F2" s="1"/>
      <c r="G2" s="1"/>
      <c r="H2" s="1"/>
      <c r="I2" s="1"/>
    </row>
    <row r="3">
      <c r="A3" s="1"/>
      <c r="B3" s="33" t="s">
        <v>250</v>
      </c>
      <c r="C3" s="1"/>
      <c r="D3" s="1"/>
      <c r="E3" s="1"/>
      <c r="F3" s="1"/>
      <c r="G3" s="1"/>
      <c r="H3" s="1"/>
      <c r="I3" s="1"/>
    </row>
    <row r="4">
      <c r="A4" s="1"/>
      <c r="B4" s="15" t="s">
        <v>3</v>
      </c>
      <c r="C4" s="1"/>
      <c r="D4" s="1"/>
      <c r="E4" s="1"/>
      <c r="F4" s="1"/>
      <c r="G4" s="1"/>
      <c r="H4" s="1"/>
      <c r="I4" s="1"/>
    </row>
    <row r="5">
      <c r="A5" s="1"/>
      <c r="B5" s="4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58" t="s">
        <v>10</v>
      </c>
      <c r="I5" s="46" t="s">
        <v>99</v>
      </c>
    </row>
    <row r="6">
      <c r="A6" s="1"/>
      <c r="B6" s="34" t="s">
        <v>11</v>
      </c>
      <c r="C6" s="18">
        <f>DATE(2025,9,30)</f>
        <v>45930</v>
      </c>
      <c r="D6" s="18">
        <f>DATE(2025,12,31)</f>
        <v>46022</v>
      </c>
      <c r="E6" s="18">
        <f>DATE(2026,3,31)</f>
        <v>46112</v>
      </c>
      <c r="F6" s="18">
        <f>DATE(2026,6,30)</f>
        <v>46203</v>
      </c>
      <c r="G6" s="18">
        <f>DATE(2025,12,31)</f>
        <v>46022</v>
      </c>
      <c r="H6" s="55">
        <f>DATE(2026,9,30)</f>
        <v>46295</v>
      </c>
      <c r="I6" s="34"/>
    </row>
    <row r="7">
      <c r="A7" s="1"/>
      <c r="B7" s="12" t="s">
        <v>12</v>
      </c>
      <c r="C7" s="6">
        <f>C6-EOMONTH(C6,-3)</f>
        <v>92</v>
      </c>
      <c r="D7" s="6">
        <f>D6-EOMONTH(D6,-3)</f>
        <v>92</v>
      </c>
      <c r="E7" s="6">
        <f>E6-EOMONTH(E6,-3)</f>
        <v>90</v>
      </c>
      <c r="F7" s="6">
        <f>F6-EOMONTH(F6,-3)</f>
        <v>91</v>
      </c>
      <c r="G7" s="6">
        <f>G6-EOMONTH(G6,-12)</f>
        <v>365</v>
      </c>
      <c r="H7" s="17">
        <f>H6-EOMONTH(H6,-3)</f>
        <v>92</v>
      </c>
      <c r="I7" s="12"/>
    </row>
    <row r="8">
      <c r="A8" s="1"/>
      <c r="B8" s="1"/>
      <c r="C8" s="1"/>
      <c r="D8" s="1"/>
      <c r="E8" s="1"/>
      <c r="F8" s="1"/>
      <c r="G8" s="1"/>
      <c r="H8" s="53"/>
      <c r="I8" s="1"/>
    </row>
    <row r="9">
      <c r="A9" s="1"/>
      <c r="B9" s="1" t="s">
        <v>251</v>
      </c>
      <c r="C9" s="1"/>
      <c r="D9" s="1"/>
      <c r="E9" s="1"/>
      <c r="F9" s="1"/>
      <c r="G9" s="1"/>
      <c r="H9" s="53"/>
      <c r="I9" s="13"/>
    </row>
    <row r="10">
      <c r="A10" s="1"/>
      <c r="B10" s="41" t="s">
        <v>252</v>
      </c>
      <c r="C10" s="1"/>
      <c r="D10" s="1"/>
      <c r="E10" s="1"/>
      <c r="F10" s="1"/>
      <c r="G10" s="1"/>
      <c r="H10" s="53"/>
      <c r="I10" s="13"/>
    </row>
    <row r="11" ht="24">
      <c r="A11" s="1"/>
      <c r="B11" s="4" t="s">
        <v>172</v>
      </c>
      <c r="C11" s="22">
        <f>F81</f>
        <v>1691</v>
      </c>
      <c r="D11" s="22">
        <f>C32</f>
        <v>1682</v>
      </c>
      <c r="E11" s="22">
        <f>D32</f>
        <v>1748</v>
      </c>
      <c r="F11" s="22">
        <f>E32</f>
        <v>1594</v>
      </c>
      <c r="G11" s="22" t="s">
        <v>44</v>
      </c>
      <c r="H11" s="37">
        <f>F32</f>
        <v>1556</v>
      </c>
      <c r="I11" s="13" t="s">
        <v>173</v>
      </c>
    </row>
    <row r="12">
      <c r="A12" s="1"/>
      <c r="B12" s="1" t="s">
        <v>150</v>
      </c>
      <c r="C12" s="9">
        <v>1536</v>
      </c>
      <c r="D12" s="9">
        <v>1596</v>
      </c>
      <c r="E12" s="9">
        <v>1445</v>
      </c>
      <c r="F12" s="9">
        <v>1409</v>
      </c>
      <c r="G12" s="22">
        <f>E78+F78+C12+D12</f>
        <v>6230</v>
      </c>
      <c r="H12" s="37">
        <f>F12*(1+H13)</f>
        <v>1462.5420000000001</v>
      </c>
      <c r="I12" s="13"/>
    </row>
    <row r="13" ht="24">
      <c r="A13" s="1"/>
      <c r="B13" s="57" t="s">
        <v>175</v>
      </c>
      <c r="C13" s="11">
        <f>IFERROR(C12/F78-1,"n/a")</f>
        <v>-0.0032446463335495945</v>
      </c>
      <c r="D13" s="11">
        <f>IFERROR(D12/C12-1,"n/a")</f>
        <v>0.0390625</v>
      </c>
      <c r="E13" s="11">
        <f>IFERROR(E12/D12-1,"n/a")</f>
        <v>-0.09461152882205515</v>
      </c>
      <c r="F13" s="11">
        <f>IFERROR(F12/E12-1,"n/a")</f>
        <v>-0.02491349480968863</v>
      </c>
      <c r="G13" s="11" t="s">
        <v>44</v>
      </c>
      <c r="H13" s="66">
        <v>0.038</v>
      </c>
      <c r="I13" s="13" t="s">
        <v>253</v>
      </c>
    </row>
    <row r="14">
      <c r="A14" s="1"/>
      <c r="B14" s="15" t="s">
        <v>177</v>
      </c>
      <c r="C14" s="11">
        <f>IFERROR(C12/C78-1,"n/a")</f>
        <v>-0.08353221957040569</v>
      </c>
      <c r="D14" s="11">
        <f>IFERROR(D12/D78-1,"n/a")</f>
        <v>-0.043738765727980855</v>
      </c>
      <c r="E14" s="11">
        <f>IFERROR(E12/E78-1,"n/a")</f>
        <v>-0.07193320488118171</v>
      </c>
      <c r="F14" s="11">
        <f>IFERROR(F12/F78-1,"n/a")</f>
        <v>-0.08565866320571058</v>
      </c>
      <c r="G14" s="11" t="s">
        <v>44</v>
      </c>
      <c r="H14" s="50">
        <f>IFERROR(H12/H78-1,"n/a")</f>
        <v>-0.04782421874999987</v>
      </c>
      <c r="I14" s="13" t="s">
        <v>204</v>
      </c>
    </row>
    <row r="15">
      <c r="A15" s="1"/>
      <c r="B15" s="15" t="s">
        <v>131</v>
      </c>
      <c r="C15" s="5">
        <f>C12-F78</f>
        <v>-5</v>
      </c>
      <c r="D15" s="5">
        <f>D12-C12</f>
        <v>60</v>
      </c>
      <c r="E15" s="5">
        <f>E12-D12</f>
        <v>-151</v>
      </c>
      <c r="F15" s="5">
        <f>F12-E12</f>
        <v>-36</v>
      </c>
      <c r="G15" s="5" t="s">
        <v>44</v>
      </c>
      <c r="H15" s="21">
        <f>H12-F12</f>
        <v>53.542000000000144</v>
      </c>
      <c r="I15" s="13"/>
    </row>
    <row r="16">
      <c r="A16" s="1"/>
      <c r="B16" s="15" t="s">
        <v>178</v>
      </c>
      <c r="C16" s="11" t="s">
        <v>44</v>
      </c>
      <c r="D16" s="11" t="s">
        <v>44</v>
      </c>
      <c r="E16" s="11" t="s">
        <v>44</v>
      </c>
      <c r="F16" s="11" t="s">
        <v>44</v>
      </c>
      <c r="G16" s="11" t="s">
        <v>44</v>
      </c>
      <c r="H16" s="50" t="s">
        <v>44</v>
      </c>
      <c r="I16" s="13" t="s">
        <v>124</v>
      </c>
    </row>
    <row r="17">
      <c r="A17" s="1"/>
      <c r="B17" s="15" t="s">
        <v>179</v>
      </c>
      <c r="C17" s="11" t="s">
        <v>44</v>
      </c>
      <c r="D17" s="11" t="s">
        <v>44</v>
      </c>
      <c r="E17" s="11" t="s">
        <v>44</v>
      </c>
      <c r="F17" s="11" t="s">
        <v>44</v>
      </c>
      <c r="G17" s="11" t="s">
        <v>44</v>
      </c>
      <c r="H17" s="50" t="s">
        <v>44</v>
      </c>
      <c r="I17" s="13" t="s">
        <v>125</v>
      </c>
    </row>
    <row r="18" ht="24">
      <c r="A18" s="1"/>
      <c r="B18" s="57" t="s">
        <v>180</v>
      </c>
      <c r="C18" s="11" t="s">
        <v>44</v>
      </c>
      <c r="D18" s="11" t="s">
        <v>44</v>
      </c>
      <c r="E18" s="11" t="s">
        <v>44</v>
      </c>
      <c r="F18" s="11" t="s">
        <v>44</v>
      </c>
      <c r="G18" s="11" t="s">
        <v>44</v>
      </c>
      <c r="H18" s="50" t="s">
        <v>44</v>
      </c>
      <c r="I18" s="13" t="s">
        <v>126</v>
      </c>
    </row>
    <row r="19">
      <c r="A19" s="1"/>
      <c r="B19" s="1" t="s">
        <v>152</v>
      </c>
      <c r="C19" s="9">
        <v>143</v>
      </c>
      <c r="D19" s="9">
        <v>146</v>
      </c>
      <c r="E19" s="9">
        <v>143</v>
      </c>
      <c r="F19" s="9">
        <v>147</v>
      </c>
      <c r="G19" s="22">
        <f>E79+F79+C19+D19</f>
        <v>579</v>
      </c>
      <c r="H19" s="37">
        <f>F19*(1+H20)</f>
        <v>149.94</v>
      </c>
      <c r="I19" s="13"/>
    </row>
    <row r="20" ht="24">
      <c r="A20" s="1"/>
      <c r="B20" s="57" t="s">
        <v>175</v>
      </c>
      <c r="C20" s="11">
        <f>IFERROR(C19/F79-1,"n/a")</f>
        <v>-0.03378378378378377</v>
      </c>
      <c r="D20" s="11">
        <f>IFERROR(D19/C19-1,"n/a")</f>
        <v>0.020979020979021046</v>
      </c>
      <c r="E20" s="11">
        <f>IFERROR(E19/D19-1,"n/a")</f>
        <v>-0.020547945205479423</v>
      </c>
      <c r="F20" s="11">
        <f>IFERROR(F19/E19-1,"n/a")</f>
        <v>0.027972027972027913</v>
      </c>
      <c r="G20" s="11" t="s">
        <v>44</v>
      </c>
      <c r="H20" s="66">
        <v>0.02</v>
      </c>
      <c r="I20" s="13" t="s">
        <v>254</v>
      </c>
    </row>
    <row r="21">
      <c r="A21" s="1"/>
      <c r="B21" s="15" t="s">
        <v>177</v>
      </c>
      <c r="C21" s="11">
        <f>IFERROR(C19/C79-1,"n/a")</f>
        <v>-0.01379310344827589</v>
      </c>
      <c r="D21" s="11">
        <f>IFERROR(D19/D79-1,"n/a")</f>
        <v>0.050359712230215736</v>
      </c>
      <c r="E21" s="11">
        <f>IFERROR(E19/E79-1,"n/a")</f>
        <v>0.007042253521126751</v>
      </c>
      <c r="F21" s="11">
        <f>IFERROR(F19/F79-1,"n/a")</f>
        <v>-0.006756756756756799</v>
      </c>
      <c r="G21" s="11" t="s">
        <v>44</v>
      </c>
      <c r="H21" s="50">
        <f>IFERROR(H19/H79-1,"n/a")</f>
        <v>0.04853146853146861</v>
      </c>
      <c r="I21" s="13" t="s">
        <v>204</v>
      </c>
    </row>
    <row r="22">
      <c r="A22" s="1"/>
      <c r="B22" s="15" t="s">
        <v>131</v>
      </c>
      <c r="C22" s="5">
        <f>C19-F79</f>
        <v>-5</v>
      </c>
      <c r="D22" s="5">
        <f>D19-C19</f>
        <v>3</v>
      </c>
      <c r="E22" s="5">
        <f>E19-D19</f>
        <v>-3</v>
      </c>
      <c r="F22" s="5">
        <f>F19-E19</f>
        <v>4</v>
      </c>
      <c r="G22" s="5" t="s">
        <v>44</v>
      </c>
      <c r="H22" s="21">
        <f>H19-F19</f>
        <v>2.9399999999999977</v>
      </c>
      <c r="I22" s="13"/>
    </row>
    <row r="23">
      <c r="A23" s="1"/>
      <c r="B23" s="15" t="s">
        <v>178</v>
      </c>
      <c r="C23" s="11" t="s">
        <v>44</v>
      </c>
      <c r="D23" s="11" t="s">
        <v>44</v>
      </c>
      <c r="E23" s="11" t="s">
        <v>44</v>
      </c>
      <c r="F23" s="11" t="s">
        <v>44</v>
      </c>
      <c r="G23" s="11" t="s">
        <v>44</v>
      </c>
      <c r="H23" s="50" t="s">
        <v>44</v>
      </c>
      <c r="I23" s="13" t="s">
        <v>124</v>
      </c>
    </row>
    <row r="24">
      <c r="A24" s="1"/>
      <c r="B24" s="15" t="s">
        <v>179</v>
      </c>
      <c r="C24" s="11" t="s">
        <v>44</v>
      </c>
      <c r="D24" s="11" t="s">
        <v>44</v>
      </c>
      <c r="E24" s="11" t="s">
        <v>44</v>
      </c>
      <c r="F24" s="11" t="s">
        <v>44</v>
      </c>
      <c r="G24" s="11" t="s">
        <v>44</v>
      </c>
      <c r="H24" s="50" t="s">
        <v>44</v>
      </c>
      <c r="I24" s="13" t="s">
        <v>125</v>
      </c>
    </row>
    <row r="25" ht="24">
      <c r="A25" s="1"/>
      <c r="B25" s="57" t="s">
        <v>180</v>
      </c>
      <c r="C25" s="11" t="s">
        <v>44</v>
      </c>
      <c r="D25" s="11" t="s">
        <v>44</v>
      </c>
      <c r="E25" s="11" t="s">
        <v>44</v>
      </c>
      <c r="F25" s="11" t="s">
        <v>44</v>
      </c>
      <c r="G25" s="11" t="s">
        <v>44</v>
      </c>
      <c r="H25" s="50" t="s">
        <v>44</v>
      </c>
      <c r="I25" s="13" t="s">
        <v>126</v>
      </c>
    </row>
    <row r="26">
      <c r="A26" s="1"/>
      <c r="B26" s="1" t="s">
        <v>205</v>
      </c>
      <c r="C26" s="9">
        <v>3</v>
      </c>
      <c r="D26" s="9">
        <v>6</v>
      </c>
      <c r="E26" s="9">
        <v>6</v>
      </c>
      <c r="F26" s="9">
        <v>0</v>
      </c>
      <c r="G26" s="22">
        <f>E80+F80+C26+D26</f>
        <v>12</v>
      </c>
      <c r="H26" s="8">
        <v>0</v>
      </c>
      <c r="I26" s="13" t="s">
        <v>255</v>
      </c>
    </row>
    <row r="27">
      <c r="A27" s="1"/>
      <c r="B27" s="15" t="s">
        <v>177</v>
      </c>
      <c r="C27" s="11" t="s">
        <v>44</v>
      </c>
      <c r="D27" s="11" t="s">
        <v>44</v>
      </c>
      <c r="E27" s="11" t="s">
        <v>44</v>
      </c>
      <c r="F27" s="11" t="s">
        <v>44</v>
      </c>
      <c r="G27" s="11" t="s">
        <v>44</v>
      </c>
      <c r="H27" s="50" t="s">
        <v>44</v>
      </c>
      <c r="I27" s="13" t="s">
        <v>121</v>
      </c>
    </row>
    <row r="28">
      <c r="A28" s="1"/>
      <c r="B28" s="15" t="s">
        <v>131</v>
      </c>
      <c r="C28" s="5">
        <f>C26-F80</f>
        <v>1</v>
      </c>
      <c r="D28" s="5">
        <f>D26-C26</f>
        <v>3</v>
      </c>
      <c r="E28" s="5">
        <f>E26-D26</f>
        <v>0</v>
      </c>
      <c r="F28" s="5">
        <f>F26-E26</f>
        <v>-6</v>
      </c>
      <c r="G28" s="5" t="s">
        <v>44</v>
      </c>
      <c r="H28" s="21">
        <f>H26-F26</f>
        <v>0</v>
      </c>
      <c r="I28" s="13"/>
    </row>
    <row r="29">
      <c r="A29" s="1"/>
      <c r="B29" s="15" t="s">
        <v>178</v>
      </c>
      <c r="C29" s="11" t="s">
        <v>44</v>
      </c>
      <c r="D29" s="11" t="s">
        <v>44</v>
      </c>
      <c r="E29" s="11" t="s">
        <v>44</v>
      </c>
      <c r="F29" s="11" t="s">
        <v>44</v>
      </c>
      <c r="G29" s="11" t="s">
        <v>44</v>
      </c>
      <c r="H29" s="50" t="s">
        <v>44</v>
      </c>
      <c r="I29" s="13" t="s">
        <v>124</v>
      </c>
    </row>
    <row r="30">
      <c r="A30" s="1"/>
      <c r="B30" s="15" t="s">
        <v>179</v>
      </c>
      <c r="C30" s="11" t="s">
        <v>44</v>
      </c>
      <c r="D30" s="11" t="s">
        <v>44</v>
      </c>
      <c r="E30" s="11" t="s">
        <v>44</v>
      </c>
      <c r="F30" s="11" t="s">
        <v>44</v>
      </c>
      <c r="G30" s="11" t="s">
        <v>44</v>
      </c>
      <c r="H30" s="50" t="s">
        <v>44</v>
      </c>
      <c r="I30" s="13" t="s">
        <v>125</v>
      </c>
    </row>
    <row r="31" ht="24">
      <c r="A31" s="1"/>
      <c r="B31" s="57" t="s">
        <v>180</v>
      </c>
      <c r="C31" s="11" t="s">
        <v>44</v>
      </c>
      <c r="D31" s="11" t="s">
        <v>44</v>
      </c>
      <c r="E31" s="11" t="s">
        <v>44</v>
      </c>
      <c r="F31" s="11" t="s">
        <v>44</v>
      </c>
      <c r="G31" s="11" t="s">
        <v>44</v>
      </c>
      <c r="H31" s="50" t="s">
        <v>44</v>
      </c>
      <c r="I31" s="13" t="s">
        <v>126</v>
      </c>
    </row>
    <row r="32">
      <c r="A32" s="1"/>
      <c r="B32" s="45" t="s">
        <v>256</v>
      </c>
      <c r="C32" s="29">
        <f>C12+C19+C26</f>
        <v>1682</v>
      </c>
      <c r="D32" s="29">
        <f>D12+D19+D26</f>
        <v>1748</v>
      </c>
      <c r="E32" s="29">
        <f>E12+E19+E26</f>
        <v>1594</v>
      </c>
      <c r="F32" s="29">
        <f>F12+F19+F26</f>
        <v>1556</v>
      </c>
      <c r="G32" s="29">
        <f>G12+G19+G26</f>
        <v>6821</v>
      </c>
      <c r="H32" s="47">
        <f>H12+H19+H26</f>
        <v>1612.4820000000002</v>
      </c>
      <c r="I32" s="13"/>
    </row>
    <row r="33">
      <c r="A33" s="1"/>
      <c r="B33" s="15" t="s">
        <v>102</v>
      </c>
      <c r="C33" s="11">
        <f>IFERROR(C32/C81-1,"n/a")</f>
        <v>-0.07734503565551287</v>
      </c>
      <c r="D33" s="11">
        <f>IFERROR(D32/D81-1,"n/a")</f>
        <v>-0.034254143646408886</v>
      </c>
      <c r="E33" s="11">
        <f>IFERROR(E32/E81-1,"n/a")</f>
        <v>-0.06235294117647061</v>
      </c>
      <c r="F33" s="11">
        <f>IFERROR(F32/F81-1,"n/a")</f>
        <v>-0.0798344175044352</v>
      </c>
      <c r="G33" s="11">
        <f>IFERROR(G32/G81-1,"n/a")</f>
        <v>-0.04960289814685803</v>
      </c>
      <c r="H33" s="50">
        <f>IFERROR(H32/H81-1,"n/a")</f>
        <v>-0.041330558858501676</v>
      </c>
      <c r="I33" s="13"/>
    </row>
    <row r="34">
      <c r="A34" s="1"/>
      <c r="B34" s="15" t="s">
        <v>123</v>
      </c>
      <c r="C34" s="5">
        <f>C32-F81</f>
        <v>-9</v>
      </c>
      <c r="D34" s="5">
        <f>D32-C32</f>
        <v>66</v>
      </c>
      <c r="E34" s="5">
        <f>E32-D32</f>
        <v>-154</v>
      </c>
      <c r="F34" s="5">
        <f>F32-E32</f>
        <v>-38</v>
      </c>
      <c r="G34" s="5" t="s">
        <v>44</v>
      </c>
      <c r="H34" s="21">
        <f>H32-F32</f>
        <v>56.4820000000002</v>
      </c>
      <c r="I34" s="13"/>
    </row>
    <row r="35">
      <c r="A35" s="1"/>
      <c r="B35" s="15" t="s">
        <v>103</v>
      </c>
      <c r="C35" s="11">
        <f>IFERROR(C32/F81-1,"n/a")</f>
        <v>-0.0053222945002956434</v>
      </c>
      <c r="D35" s="11">
        <f>IFERROR(D32/C32-1,"n/a")</f>
        <v>0.03923900118906065</v>
      </c>
      <c r="E35" s="11">
        <f>IFERROR(E32/D32-1,"n/a")</f>
        <v>-0.08810068649885583</v>
      </c>
      <c r="F35" s="11">
        <f>IFERROR(F32/E32-1,"n/a")</f>
        <v>-0.023839397741530766</v>
      </c>
      <c r="G35" s="11" t="s">
        <v>44</v>
      </c>
      <c r="H35" s="50">
        <f>IFERROR(H32/F32-1,"n/a")</f>
        <v>0.0362994858611827</v>
      </c>
      <c r="I35" s="13"/>
    </row>
    <row r="36">
      <c r="A36" s="1"/>
      <c r="B36" s="1" t="s">
        <v>257</v>
      </c>
      <c r="C36" s="9">
        <v>0</v>
      </c>
      <c r="D36" s="9">
        <v>0</v>
      </c>
      <c r="E36" s="9">
        <v>0</v>
      </c>
      <c r="F36" s="9">
        <v>0</v>
      </c>
      <c r="G36" s="22">
        <f>E82+F82+C36+D36</f>
        <v>0</v>
      </c>
      <c r="H36" s="8">
        <v>0</v>
      </c>
      <c r="I36" s="13" t="s">
        <v>258</v>
      </c>
    </row>
    <row r="37">
      <c r="A37" s="1"/>
      <c r="B37" s="15" t="s">
        <v>130</v>
      </c>
      <c r="C37" s="5">
        <f>C36-C82</f>
        <v>0</v>
      </c>
      <c r="D37" s="5">
        <f>D36-D82</f>
        <v>0</v>
      </c>
      <c r="E37" s="5">
        <f>E36-E82</f>
        <v>0</v>
      </c>
      <c r="F37" s="5">
        <f>F36-F82</f>
        <v>0</v>
      </c>
      <c r="G37" s="5">
        <f>G36-G82</f>
        <v>0</v>
      </c>
      <c r="H37" s="21">
        <f>H36-H82</f>
        <v>0</v>
      </c>
      <c r="I37" s="13"/>
    </row>
    <row r="38">
      <c r="A38" s="1"/>
      <c r="B38" s="15" t="s">
        <v>131</v>
      </c>
      <c r="C38" s="5">
        <f>C36-F82</f>
        <v>0</v>
      </c>
      <c r="D38" s="5">
        <f>D36-C36</f>
        <v>0</v>
      </c>
      <c r="E38" s="5">
        <f>E36-D36</f>
        <v>0</v>
      </c>
      <c r="F38" s="5">
        <f>F36-E36</f>
        <v>0</v>
      </c>
      <c r="G38" s="5" t="s">
        <v>44</v>
      </c>
      <c r="H38" s="21">
        <f>H36-F36</f>
        <v>0</v>
      </c>
      <c r="I38" s="13"/>
    </row>
    <row r="39" ht="34.5">
      <c r="A39" s="1"/>
      <c r="B39" s="57" t="s">
        <v>133</v>
      </c>
      <c r="C39" s="11">
        <f>IFERROR((C32-C36)/(C81-C82)-1,"n/a")</f>
        <v>-0.07734503565551287</v>
      </c>
      <c r="D39" s="11">
        <f>IFERROR((D32-D36)/(D81-D82)-1,"n/a")</f>
        <v>-0.034254143646408886</v>
      </c>
      <c r="E39" s="11">
        <f>IFERROR((E32-E36)/(E81-E82)-1,"n/a")</f>
        <v>-0.06235294117647061</v>
      </c>
      <c r="F39" s="11">
        <f>IFERROR((F32-F36)/(F81-F82)-1,"n/a")</f>
        <v>-0.0798344175044352</v>
      </c>
      <c r="G39" s="11">
        <f>IFERROR((G32-G36)/(G81-G82)-1,"n/a")</f>
        <v>-0.04960289814685803</v>
      </c>
      <c r="H39" s="50">
        <f>IFERROR((H32-H36)/(H81-H82)-1,"n/a")</f>
        <v>-0.041330558858501676</v>
      </c>
      <c r="I39" s="13" t="s">
        <v>134</v>
      </c>
    </row>
    <row r="40" ht="24">
      <c r="A40" s="1"/>
      <c r="B40" s="57" t="s">
        <v>135</v>
      </c>
      <c r="C40" s="11">
        <f>IFERROR((1+C33)/(1+C39)-1,"n/a")</f>
        <v>0</v>
      </c>
      <c r="D40" s="11">
        <f>IFERROR((1+D33)/(1+D39)-1,"n/a")</f>
        <v>0</v>
      </c>
      <c r="E40" s="11">
        <f>IFERROR((1+E33)/(1+E39)-1,"n/a")</f>
        <v>0</v>
      </c>
      <c r="F40" s="11">
        <f>IFERROR((1+F33)/(1+F39)-1,"n/a")</f>
        <v>0</v>
      </c>
      <c r="G40" s="11">
        <f>IFERROR((1+G33)/(1+G39)-1,"n/a")</f>
        <v>0</v>
      </c>
      <c r="H40" s="50">
        <f>IFERROR((1+H33)/(1+H39)-1,"n/a")</f>
        <v>0</v>
      </c>
      <c r="I40" s="13" t="s">
        <v>136</v>
      </c>
    </row>
    <row r="41">
      <c r="A41" s="1"/>
      <c r="B41" s="15" t="s">
        <v>107</v>
      </c>
      <c r="C41" s="11" t="s">
        <v>44</v>
      </c>
      <c r="D41" s="11" t="s">
        <v>44</v>
      </c>
      <c r="E41" s="11" t="s">
        <v>44</v>
      </c>
      <c r="F41" s="11" t="s">
        <v>44</v>
      </c>
      <c r="G41" s="11" t="s">
        <v>44</v>
      </c>
      <c r="H41" s="50" t="s">
        <v>44</v>
      </c>
      <c r="I41" s="13" t="s">
        <v>125</v>
      </c>
    </row>
    <row r="42" ht="34.5">
      <c r="A42" s="1"/>
      <c r="B42" s="57" t="s">
        <v>137</v>
      </c>
      <c r="C42" s="11" t="s">
        <v>44</v>
      </c>
      <c r="D42" s="11" t="s">
        <v>44</v>
      </c>
      <c r="E42" s="11" t="s">
        <v>44</v>
      </c>
      <c r="F42" s="11" t="s">
        <v>44</v>
      </c>
      <c r="G42" s="11" t="s">
        <v>44</v>
      </c>
      <c r="H42" s="50" t="s">
        <v>44</v>
      </c>
      <c r="I42" s="13" t="s">
        <v>138</v>
      </c>
    </row>
    <row r="43" ht="24">
      <c r="A43" s="1"/>
      <c r="B43" s="4" t="s">
        <v>259</v>
      </c>
      <c r="C43" s="22">
        <f>C12-F78</f>
        <v>-5</v>
      </c>
      <c r="D43" s="22">
        <f>D12-C12</f>
        <v>60</v>
      </c>
      <c r="E43" s="22">
        <f>E12-D12</f>
        <v>-151</v>
      </c>
      <c r="F43" s="22">
        <f>F12-E12</f>
        <v>-36</v>
      </c>
      <c r="G43" s="22" t="s">
        <v>44</v>
      </c>
      <c r="H43" s="37">
        <f>H12-F12</f>
        <v>53.542000000000144</v>
      </c>
      <c r="I43" s="13"/>
    </row>
    <row r="44" ht="24">
      <c r="A44" s="1"/>
      <c r="B44" s="4" t="s">
        <v>260</v>
      </c>
      <c r="C44" s="22">
        <f>C19-F79</f>
        <v>-5</v>
      </c>
      <c r="D44" s="22">
        <f>D19-C19</f>
        <v>3</v>
      </c>
      <c r="E44" s="22">
        <f>E19-D19</f>
        <v>-3</v>
      </c>
      <c r="F44" s="22">
        <f>F19-E19</f>
        <v>4</v>
      </c>
      <c r="G44" s="22" t="s">
        <v>44</v>
      </c>
      <c r="H44" s="37">
        <f>H19-F19</f>
        <v>2.9399999999999977</v>
      </c>
      <c r="I44" s="13"/>
    </row>
    <row r="45">
      <c r="A45" s="1"/>
      <c r="B45" s="1" t="s">
        <v>261</v>
      </c>
      <c r="C45" s="22">
        <f>C26-F80</f>
        <v>1</v>
      </c>
      <c r="D45" s="22">
        <f>D26-C26</f>
        <v>3</v>
      </c>
      <c r="E45" s="22">
        <f>E26-D26</f>
        <v>0</v>
      </c>
      <c r="F45" s="22">
        <f>F26-E26</f>
        <v>-6</v>
      </c>
      <c r="G45" s="22" t="s">
        <v>44</v>
      </c>
      <c r="H45" s="37">
        <f>H26-F26</f>
        <v>0</v>
      </c>
      <c r="I45" s="13"/>
    </row>
    <row r="46" ht="24">
      <c r="A46" s="1"/>
      <c r="B46" s="26" t="s">
        <v>194</v>
      </c>
      <c r="C46" s="29">
        <f>C11+C43+C44+C45</f>
        <v>1682</v>
      </c>
      <c r="D46" s="29">
        <f>D11+D43+D44+D45</f>
        <v>1748</v>
      </c>
      <c r="E46" s="29">
        <f>E11+E43+E44+E45</f>
        <v>1594</v>
      </c>
      <c r="F46" s="29">
        <f>F11+F43+F44+F45</f>
        <v>1556</v>
      </c>
      <c r="G46" s="29" t="s">
        <v>44</v>
      </c>
      <c r="H46" s="47">
        <f>H11+H43+H44+H45</f>
        <v>1612.4820000000002</v>
      </c>
      <c r="I46" s="13"/>
    </row>
    <row r="47" ht="24">
      <c r="A47" s="1"/>
      <c r="B47" s="4" t="s">
        <v>195</v>
      </c>
      <c r="C47" s="38" t="b">
        <f>ROUND(C46-C32,6)=0</f>
        <v>1</v>
      </c>
      <c r="D47" s="38" t="b">
        <f>ROUND(D46-D32,6)=0</f>
        <v>1</v>
      </c>
      <c r="E47" s="38" t="b">
        <f>ROUND(E46-E32,6)=0</f>
        <v>1</v>
      </c>
      <c r="F47" s="38" t="b">
        <f>ROUND(F46-F32,6)=0</f>
        <v>1</v>
      </c>
      <c r="G47" s="38" t="s">
        <v>44</v>
      </c>
      <c r="H47" s="68" t="b">
        <f>ROUND(H46-H32,6)=0</f>
        <v>1</v>
      </c>
      <c r="I47" s="13"/>
    </row>
    <row r="48" ht="24">
      <c r="A48" s="1"/>
      <c r="B48" s="4" t="s">
        <v>262</v>
      </c>
      <c r="C48" s="9">
        <v>1682</v>
      </c>
      <c r="D48" s="9">
        <v>1748</v>
      </c>
      <c r="E48" s="9">
        <v>1594</v>
      </c>
      <c r="F48" s="9">
        <v>1556</v>
      </c>
      <c r="G48" s="9">
        <v>6820</v>
      </c>
      <c r="H48" s="37" t="s">
        <v>44</v>
      </c>
      <c r="I48" s="13" t="s">
        <v>143</v>
      </c>
    </row>
    <row r="49">
      <c r="A49" s="1"/>
      <c r="B49" s="15" t="s">
        <v>144</v>
      </c>
      <c r="C49" s="5">
        <f>C32-C48</f>
        <v>0</v>
      </c>
      <c r="D49" s="5">
        <f>D32-D48</f>
        <v>0</v>
      </c>
      <c r="E49" s="5">
        <f>E32-E48</f>
        <v>0</v>
      </c>
      <c r="F49" s="5">
        <f>F32-F48</f>
        <v>0</v>
      </c>
      <c r="G49" s="5">
        <f>G32-G48</f>
        <v>1</v>
      </c>
      <c r="H49" s="21" t="s">
        <v>44</v>
      </c>
      <c r="I49" s="13"/>
    </row>
    <row r="50">
      <c r="A50" s="1"/>
      <c r="B50" s="15" t="s">
        <v>197</v>
      </c>
      <c r="C50" s="60">
        <f>C32/'Revenue summary'!C63</f>
        <v>0.18839605734767026</v>
      </c>
      <c r="D50" s="60">
        <f>D32/'Revenue summary'!D63</f>
        <v>0.17937403796818882</v>
      </c>
      <c r="E50" s="60">
        <f>E32/'Revenue summary'!E63</f>
        <v>0.18277720444903106</v>
      </c>
      <c r="F50" s="60">
        <f>F32/'Revenue summary'!F63</f>
        <v>0.1734284440481498</v>
      </c>
      <c r="G50" s="60">
        <f>G32/'Revenue summary'!G63</f>
        <v>0.19101627040802038</v>
      </c>
      <c r="H50" s="70">
        <f>H32/'Revenue summary'!H63</f>
        <v>0.1739836929941977</v>
      </c>
      <c r="I50" s="13"/>
    </row>
    <row r="51">
      <c r="A51" s="1"/>
      <c r="B51" s="41" t="s">
        <v>220</v>
      </c>
      <c r="C51" s="1"/>
      <c r="D51" s="1"/>
      <c r="E51" s="1"/>
      <c r="F51" s="1"/>
      <c r="G51" s="1"/>
      <c r="H51" s="53"/>
      <c r="I51" s="13"/>
    </row>
    <row r="52">
      <c r="A52" s="1"/>
      <c r="B52" s="45" t="s">
        <v>221</v>
      </c>
      <c r="C52" s="62">
        <v>312</v>
      </c>
      <c r="D52" s="62">
        <v>342</v>
      </c>
      <c r="E52" s="62">
        <v>257</v>
      </c>
      <c r="F52" s="62">
        <v>232</v>
      </c>
      <c r="G52" s="29">
        <f>E83+F83+C52+D52</f>
        <v>1250</v>
      </c>
      <c r="H52" s="47">
        <f>H32*H53</f>
        <v>254.77215600000002</v>
      </c>
      <c r="I52" s="13"/>
    </row>
    <row r="53" ht="24">
      <c r="A53" s="1"/>
      <c r="B53" s="57" t="s">
        <v>222</v>
      </c>
      <c r="C53" s="11">
        <f>IFERROR(C52/C32,"n/a")</f>
        <v>0.18549346016646848</v>
      </c>
      <c r="D53" s="11">
        <f>IFERROR(D52/D32,"n/a")</f>
        <v>0.1956521739130435</v>
      </c>
      <c r="E53" s="11">
        <f>IFERROR(E52/E32,"n/a")</f>
        <v>0.16122961104140526</v>
      </c>
      <c r="F53" s="11">
        <f>IFERROR(F52/F32,"n/a")</f>
        <v>0.14910025706940874</v>
      </c>
      <c r="G53" s="11">
        <f>IFERROR(G52/G32,"n/a")</f>
        <v>0.18325758686409618</v>
      </c>
      <c r="H53" s="66">
        <v>0.158</v>
      </c>
      <c r="I53" s="13" t="s">
        <v>263</v>
      </c>
    </row>
    <row r="54">
      <c r="A54" s="1"/>
      <c r="B54" s="15" t="s">
        <v>119</v>
      </c>
      <c r="C54" s="40">
        <f>IFERROR((C53-C84)*10000,"n/a")</f>
        <v>-158.23051078731748</v>
      </c>
      <c r="D54" s="40">
        <f>IFERROR((D53-D84)*10000,"n/a")</f>
        <v>-87.6771558971895</v>
      </c>
      <c r="E54" s="40">
        <f>IFERROR((E53-E84)*10000,"n/a")</f>
        <v>-46.527418997712175</v>
      </c>
      <c r="F54" s="40">
        <f>IFERROR((F53-F84)*10000,"n/a")</f>
        <v>-365.88684385351763</v>
      </c>
      <c r="G54" s="40">
        <f>IFERROR((G53-G84)*10000,"n/a")</f>
        <v>-190.55357262976415</v>
      </c>
      <c r="H54" s="56">
        <f>IFERROR((H53-H84)*10000,"n/a")</f>
        <v>-274.93460166468475</v>
      </c>
      <c r="I54" s="13"/>
    </row>
    <row r="55">
      <c r="A55" s="1"/>
      <c r="B55" s="15" t="s">
        <v>120</v>
      </c>
      <c r="C55" s="40">
        <f>IFERROR((C53-F84)*10000,"n/a")</f>
        <v>-1.954812882920265</v>
      </c>
      <c r="D55" s="40">
        <f>IFERROR((D53-C53)*10000,"n/a")</f>
        <v>101.5871374657501</v>
      </c>
      <c r="E55" s="40">
        <f>IFERROR((E53-D53)*10000,"n/a")</f>
        <v>-344.22562871638223</v>
      </c>
      <c r="F55" s="40">
        <f>IFERROR((F53-E53)*10000,"n/a")</f>
        <v>-121.29353971996521</v>
      </c>
      <c r="G55" s="40" t="s">
        <v>44</v>
      </c>
      <c r="H55" s="56">
        <f>IFERROR((H53-F53)*10000,"n/a")</f>
        <v>88.99742930591259</v>
      </c>
      <c r="I55" s="13"/>
    </row>
    <row r="56">
      <c r="A56" s="1"/>
      <c r="B56" s="15" t="s">
        <v>102</v>
      </c>
      <c r="C56" s="11">
        <f>IFERROR(C52/C83-1,"n/a")</f>
        <v>-0.14986376021798364</v>
      </c>
      <c r="D56" s="11">
        <f>IFERROR(D52/D83-1,"n/a")</f>
        <v>-0.07567567567567568</v>
      </c>
      <c r="E56" s="11">
        <f>IFERROR(E52/E83-1,"n/a")</f>
        <v>-0.08865248226950351</v>
      </c>
      <c r="F56" s="11">
        <f>IFERROR(F52/F83-1,"n/a")</f>
        <v>-0.2611464968152867</v>
      </c>
      <c r="G56" s="11">
        <f>IFERROR(G52/G83-1,"n/a")</f>
        <v>-0.1391184573002755</v>
      </c>
      <c r="H56" s="50">
        <f>IFERROR(H52/H83-1,"n/a")</f>
        <v>-0.18342257692307684</v>
      </c>
      <c r="I56" s="13"/>
    </row>
    <row r="57">
      <c r="A57" s="1"/>
      <c r="B57" s="15" t="s">
        <v>123</v>
      </c>
      <c r="C57" s="5">
        <f>C52-F83</f>
        <v>-2</v>
      </c>
      <c r="D57" s="5">
        <f>D52-C52</f>
        <v>30</v>
      </c>
      <c r="E57" s="5">
        <f>E52-D52</f>
        <v>-85</v>
      </c>
      <c r="F57" s="5">
        <f>F52-E52</f>
        <v>-25</v>
      </c>
      <c r="G57" s="5" t="s">
        <v>44</v>
      </c>
      <c r="H57" s="21">
        <f>H52-F52</f>
        <v>22.772156000000024</v>
      </c>
      <c r="I57" s="13"/>
    </row>
    <row r="58" ht="24">
      <c r="A58" s="1"/>
      <c r="B58" s="57" t="s">
        <v>224</v>
      </c>
      <c r="C58" s="11">
        <f>IFERROR((C52-F83)/(C32-F81),"n/a")</f>
        <v>0.2222222222222222</v>
      </c>
      <c r="D58" s="11">
        <f>IFERROR((D52-C52)/(D32-C32),"n/a")</f>
        <v>0.45454545454545453</v>
      </c>
      <c r="E58" s="11">
        <f>IFERROR((E52-D52)/(E32-D32),"n/a")</f>
        <v>0.551948051948052</v>
      </c>
      <c r="F58" s="11">
        <f>IFERROR((F52-E52)/(F32-E32),"n/a")</f>
        <v>0.6578947368421053</v>
      </c>
      <c r="G58" s="11" t="s">
        <v>44</v>
      </c>
      <c r="H58" s="50">
        <f>IFERROR((H52-F52)/(H32-F32),"n/a")</f>
        <v>0.40317545412697753</v>
      </c>
      <c r="I58" s="13"/>
    </row>
    <row r="59">
      <c r="A59" s="1"/>
      <c r="B59" s="1" t="s">
        <v>225</v>
      </c>
      <c r="C59" s="9">
        <v>110</v>
      </c>
      <c r="D59" s="9">
        <v>114</v>
      </c>
      <c r="E59" s="9">
        <v>113</v>
      </c>
      <c r="F59" s="9">
        <v>118</v>
      </c>
      <c r="G59" s="22">
        <f>E85+F85+C59+D59</f>
        <v>435</v>
      </c>
      <c r="H59" s="8">
        <v>118</v>
      </c>
      <c r="I59" s="13" t="s">
        <v>264</v>
      </c>
    </row>
    <row r="60">
      <c r="A60" s="1"/>
      <c r="B60" s="15" t="s">
        <v>102</v>
      </c>
      <c r="C60" s="11">
        <f>IFERROR(C59/C85-1,"n/a")</f>
        <v>0.07843137254901955</v>
      </c>
      <c r="D60" s="11" t="s">
        <v>44</v>
      </c>
      <c r="E60" s="11">
        <f>IFERROR(E59/E85-1,"n/a")</f>
        <v>0.08653846153846145</v>
      </c>
      <c r="F60" s="11">
        <f>IFERROR(F59/F85-1,"n/a")</f>
        <v>0.10280373831775691</v>
      </c>
      <c r="G60" s="11">
        <f>IFERROR(G59/G85-1,"n/a")</f>
        <v>0.0767326732673268</v>
      </c>
      <c r="H60" s="50">
        <f>IFERROR(H59/H85-1,"n/a")</f>
        <v>0.07272727272727275</v>
      </c>
      <c r="I60" s="13" t="s">
        <v>204</v>
      </c>
    </row>
    <row r="61">
      <c r="A61" s="1"/>
      <c r="B61" s="15" t="s">
        <v>123</v>
      </c>
      <c r="C61" s="5">
        <f>C59-F85</f>
        <v>3</v>
      </c>
      <c r="D61" s="5">
        <f>D59-C59</f>
        <v>4</v>
      </c>
      <c r="E61" s="5">
        <f>E59-D59</f>
        <v>-1</v>
      </c>
      <c r="F61" s="5">
        <f>F59-E59</f>
        <v>5</v>
      </c>
      <c r="G61" s="5" t="s">
        <v>44</v>
      </c>
      <c r="H61" s="21">
        <f>H59-F59</f>
        <v>0</v>
      </c>
      <c r="I61" s="13"/>
    </row>
    <row r="62">
      <c r="A62" s="1"/>
      <c r="B62" s="15" t="s">
        <v>227</v>
      </c>
      <c r="C62" s="11">
        <f>IFERROR(C59/C32,"n/a")</f>
        <v>0.06539833531510107</v>
      </c>
      <c r="D62" s="11">
        <f>IFERROR(D59/D32,"n/a")</f>
        <v>0.06521739130434782</v>
      </c>
      <c r="E62" s="11">
        <f>IFERROR(E59/E32,"n/a")</f>
        <v>0.07089084065244668</v>
      </c>
      <c r="F62" s="11">
        <f>IFERROR(F59/F32,"n/a")</f>
        <v>0.07583547557840617</v>
      </c>
      <c r="G62" s="11">
        <f>IFERROR(G59/G32,"n/a")</f>
        <v>0.06377364022870546</v>
      </c>
      <c r="H62" s="50">
        <f>IFERROR(H59/H32,"n/a")</f>
        <v>0.07317911145674803</v>
      </c>
      <c r="I62" s="13"/>
    </row>
    <row r="63">
      <c r="A63" s="1"/>
      <c r="B63" s="15" t="s">
        <v>119</v>
      </c>
      <c r="C63" s="40">
        <f>IFERROR((C62-C86)*10000,"n/a")</f>
        <v>94.46607394091748</v>
      </c>
      <c r="D63" s="40" t="s">
        <v>44</v>
      </c>
      <c r="E63" s="40">
        <f>IFERROR((E62-E86)*10000,"n/a")</f>
        <v>97.14370064211379</v>
      </c>
      <c r="F63" s="40">
        <f>IFERROR((F62-F86)*10000,"n/a")</f>
        <v>125.5930763044638</v>
      </c>
      <c r="G63" s="40">
        <f>IFERROR((G62-G86)*10000,"n/a")</f>
        <v>74.8271087103513</v>
      </c>
      <c r="H63" s="56">
        <f>IFERROR((H62-H86)*10000,"n/a")</f>
        <v>77.80776141646962</v>
      </c>
      <c r="I63" s="13"/>
    </row>
    <row r="64">
      <c r="A64" s="1"/>
      <c r="B64" s="15" t="s">
        <v>120</v>
      </c>
      <c r="C64" s="40">
        <f>IFERROR((C62-F86)*10000,"n/a")</f>
        <v>21.221673671412837</v>
      </c>
      <c r="D64" s="40">
        <f>IFERROR((D62-C62)*10000,"n/a")</f>
        <v>-1.8094401075324784</v>
      </c>
      <c r="E64" s="40">
        <f>IFERROR((E62-D62)*10000,"n/a")</f>
        <v>56.734493480988526</v>
      </c>
      <c r="F64" s="40">
        <f>IFERROR((F62-E62)*10000,"n/a")</f>
        <v>49.44634925959493</v>
      </c>
      <c r="G64" s="40" t="s">
        <v>44</v>
      </c>
      <c r="H64" s="56">
        <f>IFERROR((H62-F62)*10000,"n/a")</f>
        <v>-26.563641216581363</v>
      </c>
      <c r="I64" s="13"/>
    </row>
    <row r="65" ht="24">
      <c r="A65" s="1"/>
      <c r="B65" s="4" t="s">
        <v>228</v>
      </c>
      <c r="C65" s="9">
        <v>0</v>
      </c>
      <c r="D65" s="9">
        <v>0</v>
      </c>
      <c r="E65" s="9">
        <v>-1</v>
      </c>
      <c r="F65" s="9">
        <v>-1</v>
      </c>
      <c r="G65" s="22">
        <f>E87+F87+C65+D65</f>
        <v>-1</v>
      </c>
      <c r="H65" s="8">
        <v>-1</v>
      </c>
      <c r="I65" s="13" t="s">
        <v>229</v>
      </c>
    </row>
    <row r="66">
      <c r="A66" s="1"/>
      <c r="B66" s="15" t="s">
        <v>122</v>
      </c>
      <c r="C66" s="5">
        <f>C65-C87</f>
        <v>5</v>
      </c>
      <c r="D66" s="5" t="s">
        <v>44</v>
      </c>
      <c r="E66" s="5">
        <f>E65-E87</f>
        <v>0</v>
      </c>
      <c r="F66" s="5">
        <f>F65-F87</f>
        <v>-1</v>
      </c>
      <c r="G66" s="5">
        <f>G65-G87</f>
        <v>14</v>
      </c>
      <c r="H66" s="21">
        <f>H65-H87</f>
        <v>-1</v>
      </c>
      <c r="I66" s="13" t="s">
        <v>204</v>
      </c>
    </row>
    <row r="67">
      <c r="A67" s="1"/>
      <c r="B67" s="15" t="s">
        <v>123</v>
      </c>
      <c r="C67" s="5">
        <f>C65-F87</f>
        <v>0</v>
      </c>
      <c r="D67" s="5">
        <f>D65-C65</f>
        <v>0</v>
      </c>
      <c r="E67" s="5">
        <f>E65-D65</f>
        <v>-1</v>
      </c>
      <c r="F67" s="5">
        <f>F65-E65</f>
        <v>0</v>
      </c>
      <c r="G67" s="5" t="s">
        <v>44</v>
      </c>
      <c r="H67" s="21">
        <f>H65-F65</f>
        <v>0</v>
      </c>
      <c r="I67" s="13"/>
    </row>
    <row r="68">
      <c r="A68" s="1"/>
      <c r="B68" s="45" t="s">
        <v>230</v>
      </c>
      <c r="C68" s="29">
        <f>C52+C59+C65</f>
        <v>422</v>
      </c>
      <c r="D68" s="29">
        <f>D52+D59+D65</f>
        <v>456</v>
      </c>
      <c r="E68" s="29">
        <f>E52+E59+E65</f>
        <v>369</v>
      </c>
      <c r="F68" s="29">
        <f>F52+F59+F65</f>
        <v>349</v>
      </c>
      <c r="G68" s="29">
        <f>G52+G59+G65</f>
        <v>1684</v>
      </c>
      <c r="H68" s="47">
        <f>H52+H59+H65</f>
        <v>371.772156</v>
      </c>
      <c r="I68" s="13"/>
    </row>
    <row r="69">
      <c r="A69" s="1"/>
      <c r="B69" s="15" t="s">
        <v>102</v>
      </c>
      <c r="C69" s="11">
        <f>IFERROR(C68/C88-1,"n/a")</f>
        <v>-0.09051724137931039</v>
      </c>
      <c r="D69" s="11">
        <f>IFERROR(D68/D88-1,"n/a")</f>
        <v>-0.02564102564102566</v>
      </c>
      <c r="E69" s="11">
        <f>IFERROR(E68/E88-1,"n/a")</f>
        <v>-0.04155844155844157</v>
      </c>
      <c r="F69" s="11">
        <f>IFERROR(F68/F88-1,"n/a")</f>
        <v>-0.17102137767220904</v>
      </c>
      <c r="G69" s="11">
        <f>IFERROR(G68/G88-1,"n/a")</f>
        <v>-0.08527973927213472</v>
      </c>
      <c r="H69" s="50">
        <f>IFERROR(H68/H88-1,"n/a")</f>
        <v>-0.11902332701421803</v>
      </c>
      <c r="I69" s="13"/>
    </row>
    <row r="70">
      <c r="A70" s="1"/>
      <c r="B70" s="15" t="s">
        <v>123</v>
      </c>
      <c r="C70" s="5">
        <f>C68-F88</f>
        <v>1</v>
      </c>
      <c r="D70" s="5">
        <f>D68-C68</f>
        <v>34</v>
      </c>
      <c r="E70" s="5">
        <f>E68-D68</f>
        <v>-87</v>
      </c>
      <c r="F70" s="5">
        <f>F68-E68</f>
        <v>-20</v>
      </c>
      <c r="G70" s="5" t="s">
        <v>44</v>
      </c>
      <c r="H70" s="21">
        <f>H68-F68</f>
        <v>22.772155999999995</v>
      </c>
      <c r="I70" s="13"/>
    </row>
    <row r="71">
      <c r="A71" s="1"/>
      <c r="B71" s="15" t="s">
        <v>231</v>
      </c>
      <c r="C71" s="11">
        <f>IFERROR(C68/C32,"n/a")</f>
        <v>0.25089179548156954</v>
      </c>
      <c r="D71" s="11">
        <f>IFERROR(D68/D32,"n/a")</f>
        <v>0.2608695652173913</v>
      </c>
      <c r="E71" s="11">
        <f>IFERROR(E68/E32,"n/a")</f>
        <v>0.2314930991217064</v>
      </c>
      <c r="F71" s="11">
        <f>IFERROR(F68/F32,"n/a")</f>
        <v>0.224293059125964</v>
      </c>
      <c r="G71" s="11">
        <f>IFERROR(G68/G32,"n/a")</f>
        <v>0.24688462102331035</v>
      </c>
      <c r="H71" s="50">
        <f>IFERROR(H68/H32,"n/a")</f>
        <v>0.23055894949525016</v>
      </c>
      <c r="I71" s="13"/>
    </row>
    <row r="72">
      <c r="A72" s="1"/>
      <c r="B72" s="15" t="s">
        <v>119</v>
      </c>
      <c r="C72" s="40">
        <f>IFERROR((C71-C89)*10000,"n/a")</f>
        <v>-36.33711923806238</v>
      </c>
      <c r="D72" s="40">
        <f>IFERROR((D71-D89)*10000,"n/a")</f>
        <v>23.060293057891034</v>
      </c>
      <c r="E72" s="40">
        <f>IFERROR((E71-E89)*10000,"n/a")</f>
        <v>50.225108864122845</v>
      </c>
      <c r="F72" s="40">
        <f>IFERROR((F71-F89)*10000,"n/a")</f>
        <v>-246.72050276756286</v>
      </c>
      <c r="G72" s="40">
        <f>IFERROR((G71-G89)*10000,"n/a")</f>
        <v>-96.29242708053737</v>
      </c>
      <c r="H72" s="56">
        <f>IFERROR((H71-H89)*10000,"n/a")</f>
        <v>-203.32845986319376</v>
      </c>
      <c r="I72" s="13"/>
    </row>
    <row r="73">
      <c r="A73" s="1"/>
      <c r="B73" s="15" t="s">
        <v>120</v>
      </c>
      <c r="C73" s="40">
        <f>IFERROR((C71-F89)*10000,"n/a")</f>
        <v>19.266860788492433</v>
      </c>
      <c r="D73" s="40">
        <f>IFERROR((D71-C71)*10000,"n/a")</f>
        <v>99.77769735821762</v>
      </c>
      <c r="E73" s="40">
        <f>IFERROR((E71-D71)*10000,"n/a")</f>
        <v>-293.76466095684896</v>
      </c>
      <c r="F73" s="40">
        <f>IFERROR((F71-E71)*10000,"n/a")</f>
        <v>-72.00039995742397</v>
      </c>
      <c r="G73" s="40" t="s">
        <v>44</v>
      </c>
      <c r="H73" s="56">
        <f>IFERROR((H71-F71)*10000,"n/a")</f>
        <v>62.658903692861536</v>
      </c>
      <c r="I73" s="13"/>
    </row>
    <row r="74" ht="24">
      <c r="A74" s="1"/>
      <c r="B74" s="4" t="s">
        <v>232</v>
      </c>
      <c r="C74" s="9">
        <v>422</v>
      </c>
      <c r="D74" s="9">
        <v>456</v>
      </c>
      <c r="E74" s="9">
        <v>369</v>
      </c>
      <c r="F74" s="9">
        <v>349</v>
      </c>
      <c r="G74" s="9">
        <v>1685</v>
      </c>
      <c r="H74" s="37" t="s">
        <v>44</v>
      </c>
      <c r="I74" s="13" t="s">
        <v>143</v>
      </c>
    </row>
    <row r="75">
      <c r="A75" s="1"/>
      <c r="B75" s="15" t="s">
        <v>144</v>
      </c>
      <c r="C75" s="5">
        <f>C68-C74</f>
        <v>0</v>
      </c>
      <c r="D75" s="5">
        <f>D68-D74</f>
        <v>0</v>
      </c>
      <c r="E75" s="5">
        <f>E68-E74</f>
        <v>0</v>
      </c>
      <c r="F75" s="5">
        <f>F68-F74</f>
        <v>0</v>
      </c>
      <c r="G75" s="5">
        <f>G68-G74</f>
        <v>-1</v>
      </c>
      <c r="H75" s="21" t="s">
        <v>44</v>
      </c>
      <c r="I75" s="13"/>
    </row>
    <row r="76">
      <c r="A76" s="1"/>
      <c r="B76" s="1"/>
      <c r="C76" s="1"/>
      <c r="D76" s="1"/>
      <c r="E76" s="1"/>
      <c r="F76" s="1"/>
      <c r="G76" s="1"/>
      <c r="H76" s="53"/>
      <c r="I76" s="13"/>
    </row>
    <row r="77">
      <c r="A77" s="1"/>
      <c r="B77" s="41" t="s">
        <v>155</v>
      </c>
      <c r="C77" s="1"/>
      <c r="D77" s="1"/>
      <c r="E77" s="1"/>
      <c r="F77" s="1"/>
      <c r="G77" s="1"/>
      <c r="H77" s="53"/>
      <c r="I77" s="13" t="s">
        <v>156</v>
      </c>
    </row>
    <row r="78">
      <c r="A78" s="1"/>
      <c r="B78" s="1" t="s">
        <v>241</v>
      </c>
      <c r="C78" s="9">
        <v>1676</v>
      </c>
      <c r="D78" s="9">
        <v>1669</v>
      </c>
      <c r="E78" s="9">
        <v>1557</v>
      </c>
      <c r="F78" s="9">
        <v>1541</v>
      </c>
      <c r="G78" s="22"/>
      <c r="H78" s="37">
        <f>C12</f>
        <v>1536</v>
      </c>
      <c r="I78" s="13"/>
    </row>
    <row r="79">
      <c r="A79" s="1"/>
      <c r="B79" s="1" t="s">
        <v>239</v>
      </c>
      <c r="C79" s="9">
        <v>145</v>
      </c>
      <c r="D79" s="9">
        <v>139</v>
      </c>
      <c r="E79" s="9">
        <v>142</v>
      </c>
      <c r="F79" s="9">
        <v>148</v>
      </c>
      <c r="G79" s="22"/>
      <c r="H79" s="37">
        <f>C19</f>
        <v>143</v>
      </c>
      <c r="I79" s="13"/>
    </row>
    <row r="80">
      <c r="A80" s="1"/>
      <c r="B80" s="1" t="s">
        <v>240</v>
      </c>
      <c r="C80" s="9">
        <v>2</v>
      </c>
      <c r="D80" s="9">
        <v>2</v>
      </c>
      <c r="E80" s="9">
        <v>1</v>
      </c>
      <c r="F80" s="9">
        <v>2</v>
      </c>
      <c r="G80" s="22"/>
      <c r="H80" s="37">
        <f>C26</f>
        <v>3</v>
      </c>
      <c r="I80" s="13"/>
    </row>
    <row r="81" ht="24">
      <c r="A81" s="1"/>
      <c r="B81" s="4" t="s">
        <v>265</v>
      </c>
      <c r="C81" s="22">
        <f>C78+C79+C80</f>
        <v>1823</v>
      </c>
      <c r="D81" s="22">
        <f>D78+D79+D80</f>
        <v>1810</v>
      </c>
      <c r="E81" s="22">
        <f>E78+E79+E80</f>
        <v>1700</v>
      </c>
      <c r="F81" s="22">
        <f>F78+F79+F80</f>
        <v>1691</v>
      </c>
      <c r="G81" s="9">
        <v>7177</v>
      </c>
      <c r="H81" s="37">
        <f>C32</f>
        <v>1682</v>
      </c>
      <c r="I81" s="13"/>
    </row>
    <row r="82" ht="24">
      <c r="A82" s="1"/>
      <c r="B82" s="4" t="s">
        <v>266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37">
        <f>C36</f>
        <v>0</v>
      </c>
      <c r="I82" s="13"/>
    </row>
    <row r="83" ht="24">
      <c r="A83" s="1"/>
      <c r="B83" s="4" t="s">
        <v>243</v>
      </c>
      <c r="C83" s="9">
        <v>367</v>
      </c>
      <c r="D83" s="9">
        <v>370</v>
      </c>
      <c r="E83" s="9">
        <v>282</v>
      </c>
      <c r="F83" s="9">
        <v>314</v>
      </c>
      <c r="G83" s="9">
        <v>1452</v>
      </c>
      <c r="H83" s="37">
        <f>C52</f>
        <v>312</v>
      </c>
      <c r="I83" s="13"/>
    </row>
    <row r="84" ht="24">
      <c r="A84" s="1"/>
      <c r="B84" s="57" t="s">
        <v>244</v>
      </c>
      <c r="C84" s="11">
        <f>IFERROR(C83/C81,"n/a")</f>
        <v>0.20131651124520022</v>
      </c>
      <c r="D84" s="11">
        <f>IFERROR(D83/D81,"n/a")</f>
        <v>0.20441988950276244</v>
      </c>
      <c r="E84" s="11">
        <f>IFERROR(E83/E81,"n/a")</f>
        <v>0.16588235294117648</v>
      </c>
      <c r="F84" s="11">
        <f>IFERROR(F83/F81,"n/a")</f>
        <v>0.1856889414547605</v>
      </c>
      <c r="G84" s="11">
        <f>IFERROR(G83/G81,"n/a")</f>
        <v>0.2023129441270726</v>
      </c>
      <c r="H84" s="50">
        <f>C53</f>
        <v>0.18549346016646848</v>
      </c>
      <c r="I84" s="13"/>
    </row>
    <row r="85" ht="24">
      <c r="A85" s="1"/>
      <c r="B85" s="4" t="s">
        <v>245</v>
      </c>
      <c r="C85" s="9">
        <v>102</v>
      </c>
      <c r="D85" s="22"/>
      <c r="E85" s="9">
        <v>104</v>
      </c>
      <c r="F85" s="9">
        <v>107</v>
      </c>
      <c r="G85" s="9">
        <v>404</v>
      </c>
      <c r="H85" s="37">
        <f>C59</f>
        <v>110</v>
      </c>
      <c r="I85" s="13"/>
    </row>
    <row r="86">
      <c r="A86" s="1"/>
      <c r="B86" s="15" t="s">
        <v>246</v>
      </c>
      <c r="C86" s="11">
        <f>IFERROR(C85/C81,"n/a")</f>
        <v>0.055951727921009324</v>
      </c>
      <c r="D86" s="11"/>
      <c r="E86" s="11">
        <f>IFERROR(E85/E81,"n/a")</f>
        <v>0.0611764705882353</v>
      </c>
      <c r="F86" s="11">
        <f>IFERROR(F85/F81,"n/a")</f>
        <v>0.06327616794795979</v>
      </c>
      <c r="G86" s="11">
        <f>IFERROR(G85/G81,"n/a")</f>
        <v>0.056290929357670334</v>
      </c>
      <c r="H86" s="50">
        <f>C62</f>
        <v>0.06539833531510107</v>
      </c>
      <c r="I86" s="13"/>
    </row>
    <row r="87" ht="34.5">
      <c r="A87" s="1"/>
      <c r="B87" s="4" t="s">
        <v>247</v>
      </c>
      <c r="C87" s="9">
        <v>-5</v>
      </c>
      <c r="D87" s="22"/>
      <c r="E87" s="9">
        <v>-1</v>
      </c>
      <c r="F87" s="9">
        <v>0</v>
      </c>
      <c r="G87" s="9">
        <v>-15</v>
      </c>
      <c r="H87" s="37">
        <f>C65</f>
        <v>0</v>
      </c>
      <c r="I87" s="13"/>
    </row>
    <row r="88">
      <c r="A88" s="1"/>
      <c r="B88" s="1" t="s">
        <v>248</v>
      </c>
      <c r="C88" s="22">
        <f>C83+C85+C87</f>
        <v>464</v>
      </c>
      <c r="D88" s="9">
        <v>468</v>
      </c>
      <c r="E88" s="22">
        <f>E83+E85+E87</f>
        <v>385</v>
      </c>
      <c r="F88" s="22">
        <f>F83+F85+F87</f>
        <v>421</v>
      </c>
      <c r="G88" s="22">
        <f>G83+G85+G87</f>
        <v>1841</v>
      </c>
      <c r="H88" s="37">
        <f>C68</f>
        <v>422</v>
      </c>
      <c r="I88" s="13"/>
    </row>
    <row r="89" ht="24">
      <c r="A89" s="1"/>
      <c r="B89" s="57" t="s">
        <v>249</v>
      </c>
      <c r="C89" s="11">
        <f>IFERROR(C88/C81,"n/a")</f>
        <v>0.2545255074053758</v>
      </c>
      <c r="D89" s="11">
        <f>IFERROR(D88/D81,"n/a")</f>
        <v>0.2585635359116022</v>
      </c>
      <c r="E89" s="11">
        <f>IFERROR(E88/E81,"n/a")</f>
        <v>0.22647058823529412</v>
      </c>
      <c r="F89" s="11">
        <f>IFERROR(F88/F81,"n/a")</f>
        <v>0.2489651094027203</v>
      </c>
      <c r="G89" s="11">
        <f>IFERROR(G88/G81,"n/a")</f>
        <v>0.2565138637313641</v>
      </c>
      <c r="H89" s="50">
        <f>C71</f>
        <v>0.25089179548156954</v>
      </c>
      <c r="I89" s="13"/>
    </row>
    <row r="90">
      <c r="A90" s="1"/>
      <c r="B90" s="1"/>
      <c r="C90" s="1"/>
      <c r="D90" s="1"/>
      <c r="E90" s="1"/>
      <c r="F90" s="1"/>
      <c r="G90" s="1"/>
      <c r="H90" s="1"/>
      <c r="I90" s="1"/>
    </row>
    <row r="91">
      <c r="A91" s="1"/>
      <c r="B91" s="1"/>
      <c r="C91" s="1"/>
      <c r="D91" s="1"/>
      <c r="E91" s="1"/>
      <c r="F91" s="1"/>
      <c r="G91" s="1"/>
      <c r="H91" s="1"/>
      <c r="I91" s="1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9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51" t="s">
        <v>1</v>
      </c>
      <c r="C2" s="1"/>
      <c r="D2" s="1"/>
      <c r="E2" s="1"/>
      <c r="F2" s="1"/>
      <c r="G2" s="1"/>
      <c r="H2" s="1"/>
      <c r="I2" s="1"/>
    </row>
    <row r="3">
      <c r="A3" s="1"/>
      <c r="B3" s="33" t="s">
        <v>267</v>
      </c>
      <c r="C3" s="1"/>
      <c r="D3" s="1"/>
      <c r="E3" s="1"/>
      <c r="F3" s="1"/>
      <c r="G3" s="1"/>
      <c r="H3" s="1"/>
      <c r="I3" s="1"/>
    </row>
    <row r="4">
      <c r="A4" s="1"/>
      <c r="B4" s="15" t="s">
        <v>3</v>
      </c>
      <c r="C4" s="1"/>
      <c r="D4" s="1"/>
      <c r="E4" s="1"/>
      <c r="F4" s="1"/>
      <c r="G4" s="1"/>
      <c r="H4" s="1"/>
      <c r="I4" s="1"/>
    </row>
    <row r="5">
      <c r="A5" s="1"/>
      <c r="B5" s="4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58" t="s">
        <v>10</v>
      </c>
      <c r="I5" s="46" t="s">
        <v>99</v>
      </c>
    </row>
    <row r="6">
      <c r="A6" s="1"/>
      <c r="B6" s="34" t="s">
        <v>11</v>
      </c>
      <c r="C6" s="18">
        <f>DATE(2025,9,30)</f>
        <v>45930</v>
      </c>
      <c r="D6" s="18">
        <f>DATE(2025,12,31)</f>
        <v>46022</v>
      </c>
      <c r="E6" s="18">
        <f>DATE(2026,3,31)</f>
        <v>46112</v>
      </c>
      <c r="F6" s="18">
        <f>DATE(2026,6,30)</f>
        <v>46203</v>
      </c>
      <c r="G6" s="18">
        <f>DATE(2025,12,31)</f>
        <v>46022</v>
      </c>
      <c r="H6" s="55">
        <f>DATE(2026,9,30)</f>
        <v>46295</v>
      </c>
      <c r="I6" s="34"/>
    </row>
    <row r="7">
      <c r="A7" s="1"/>
      <c r="B7" s="12" t="s">
        <v>12</v>
      </c>
      <c r="C7" s="6">
        <f>C6-EOMONTH(C6,-3)</f>
        <v>92</v>
      </c>
      <c r="D7" s="6">
        <f>D6-EOMONTH(D6,-3)</f>
        <v>92</v>
      </c>
      <c r="E7" s="6">
        <f>E6-EOMONTH(E6,-3)</f>
        <v>90</v>
      </c>
      <c r="F7" s="6">
        <f>F6-EOMONTH(F6,-3)</f>
        <v>91</v>
      </c>
      <c r="G7" s="6">
        <f>G6-EOMONTH(G6,-12)</f>
        <v>365</v>
      </c>
      <c r="H7" s="17">
        <f>H6-EOMONTH(H6,-3)</f>
        <v>92</v>
      </c>
      <c r="I7" s="12"/>
    </row>
    <row r="8">
      <c r="A8" s="1"/>
      <c r="B8" s="1"/>
      <c r="C8" s="1"/>
      <c r="D8" s="1"/>
      <c r="E8" s="1"/>
      <c r="F8" s="1"/>
      <c r="G8" s="1"/>
      <c r="H8" s="53"/>
      <c r="I8" s="1"/>
    </row>
    <row r="9">
      <c r="A9" s="1"/>
      <c r="B9" s="1" t="s">
        <v>251</v>
      </c>
      <c r="C9" s="1"/>
      <c r="D9" s="1"/>
      <c r="E9" s="1"/>
      <c r="F9" s="1"/>
      <c r="G9" s="1"/>
      <c r="H9" s="53"/>
      <c r="I9" s="13"/>
    </row>
    <row r="10">
      <c r="A10" s="1"/>
      <c r="B10" s="41" t="s">
        <v>252</v>
      </c>
      <c r="C10" s="1"/>
      <c r="D10" s="1"/>
      <c r="E10" s="1"/>
      <c r="F10" s="1"/>
      <c r="G10" s="1"/>
      <c r="H10" s="53"/>
      <c r="I10" s="13"/>
    </row>
    <row r="11" ht="24">
      <c r="A11" s="1"/>
      <c r="B11" s="4" t="s">
        <v>172</v>
      </c>
      <c r="C11" s="22">
        <f>F81</f>
        <v>2963</v>
      </c>
      <c r="D11" s="22">
        <f>C32</f>
        <v>2967</v>
      </c>
      <c r="E11" s="22">
        <f>D32</f>
        <v>2949</v>
      </c>
      <c r="F11" s="22">
        <f>E32</f>
        <v>2797</v>
      </c>
      <c r="G11" s="22" t="s">
        <v>44</v>
      </c>
      <c r="H11" s="37">
        <f>F32</f>
        <v>2742</v>
      </c>
      <c r="I11" s="13" t="s">
        <v>173</v>
      </c>
    </row>
    <row r="12">
      <c r="A12" s="1"/>
      <c r="B12" s="1" t="s">
        <v>150</v>
      </c>
      <c r="C12" s="9">
        <v>2371</v>
      </c>
      <c r="D12" s="9">
        <v>2329</v>
      </c>
      <c r="E12" s="9">
        <v>2195</v>
      </c>
      <c r="F12" s="9">
        <v>2156</v>
      </c>
      <c r="G12" s="22">
        <f>E78+F78+C12+D12</f>
        <v>9475</v>
      </c>
      <c r="H12" s="37">
        <f>F12*(1+H13)</f>
        <v>2203.4320000000002</v>
      </c>
      <c r="I12" s="13"/>
    </row>
    <row r="13" ht="24">
      <c r="A13" s="1"/>
      <c r="B13" s="57" t="s">
        <v>175</v>
      </c>
      <c r="C13" s="11">
        <f>IFERROR(C12/F78-1,"n/a")</f>
        <v>-0.009607351712614842</v>
      </c>
      <c r="D13" s="11">
        <f>IFERROR(D12/C12-1,"n/a")</f>
        <v>-0.017714044706874765</v>
      </c>
      <c r="E13" s="11">
        <f>IFERROR(E12/D12-1,"n/a")</f>
        <v>-0.05753542292829539</v>
      </c>
      <c r="F13" s="11">
        <f>IFERROR(F12/E12-1,"n/a")</f>
        <v>-0.017767653758542168</v>
      </c>
      <c r="G13" s="11" t="s">
        <v>44</v>
      </c>
      <c r="H13" s="66">
        <v>0.022</v>
      </c>
      <c r="I13" s="13" t="s">
        <v>268</v>
      </c>
    </row>
    <row r="14">
      <c r="A14" s="1"/>
      <c r="B14" s="15" t="s">
        <v>177</v>
      </c>
      <c r="C14" s="11">
        <f>IFERROR(C12/C78-1,"n/a")</f>
        <v>-0.11364485981308414</v>
      </c>
      <c r="D14" s="11">
        <f>IFERROR(D12/D78-1,"n/a")</f>
        <v>-0.11276190476190473</v>
      </c>
      <c r="E14" s="11">
        <f>IFERROR(E12/E78-1,"n/a")</f>
        <v>-0.07811843763124737</v>
      </c>
      <c r="F14" s="11">
        <f>IFERROR(F12/F78-1,"n/a")</f>
        <v>-0.09941520467836262</v>
      </c>
      <c r="G14" s="11" t="s">
        <v>44</v>
      </c>
      <c r="H14" s="50">
        <f>IFERROR(H12/H78-1,"n/a")</f>
        <v>-0.07067397722479951</v>
      </c>
      <c r="I14" s="13" t="s">
        <v>204</v>
      </c>
    </row>
    <row r="15">
      <c r="A15" s="1"/>
      <c r="B15" s="15" t="s">
        <v>131</v>
      </c>
      <c r="C15" s="5">
        <f>C12-F78</f>
        <v>-23</v>
      </c>
      <c r="D15" s="5">
        <f>D12-C12</f>
        <v>-42</v>
      </c>
      <c r="E15" s="5">
        <f>E12-D12</f>
        <v>-134</v>
      </c>
      <c r="F15" s="5">
        <f>F12-E12</f>
        <v>-39</v>
      </c>
      <c r="G15" s="5" t="s">
        <v>44</v>
      </c>
      <c r="H15" s="21">
        <f>H12-F12</f>
        <v>47.432000000000244</v>
      </c>
      <c r="I15" s="13"/>
    </row>
    <row r="16">
      <c r="A16" s="1"/>
      <c r="B16" s="15" t="s">
        <v>178</v>
      </c>
      <c r="C16" s="11" t="s">
        <v>44</v>
      </c>
      <c r="D16" s="11" t="s">
        <v>44</v>
      </c>
      <c r="E16" s="11" t="s">
        <v>44</v>
      </c>
      <c r="F16" s="11" t="s">
        <v>44</v>
      </c>
      <c r="G16" s="11" t="s">
        <v>44</v>
      </c>
      <c r="H16" s="50" t="s">
        <v>44</v>
      </c>
      <c r="I16" s="13" t="s">
        <v>124</v>
      </c>
    </row>
    <row r="17">
      <c r="A17" s="1"/>
      <c r="B17" s="15" t="s">
        <v>179</v>
      </c>
      <c r="C17" s="11" t="s">
        <v>44</v>
      </c>
      <c r="D17" s="11" t="s">
        <v>44</v>
      </c>
      <c r="E17" s="11" t="s">
        <v>44</v>
      </c>
      <c r="F17" s="11" t="s">
        <v>44</v>
      </c>
      <c r="G17" s="11" t="s">
        <v>44</v>
      </c>
      <c r="H17" s="50" t="s">
        <v>44</v>
      </c>
      <c r="I17" s="13" t="s">
        <v>125</v>
      </c>
    </row>
    <row r="18" ht="24">
      <c r="A18" s="1"/>
      <c r="B18" s="57" t="s">
        <v>180</v>
      </c>
      <c r="C18" s="11" t="s">
        <v>44</v>
      </c>
      <c r="D18" s="11" t="s">
        <v>44</v>
      </c>
      <c r="E18" s="11" t="s">
        <v>44</v>
      </c>
      <c r="F18" s="11" t="s">
        <v>44</v>
      </c>
      <c r="G18" s="11" t="s">
        <v>44</v>
      </c>
      <c r="H18" s="50" t="s">
        <v>44</v>
      </c>
      <c r="I18" s="13" t="s">
        <v>126</v>
      </c>
    </row>
    <row r="19">
      <c r="A19" s="1"/>
      <c r="B19" s="1" t="s">
        <v>152</v>
      </c>
      <c r="C19" s="9">
        <v>527</v>
      </c>
      <c r="D19" s="9">
        <v>556</v>
      </c>
      <c r="E19" s="9">
        <v>548</v>
      </c>
      <c r="F19" s="9">
        <v>549</v>
      </c>
      <c r="G19" s="22">
        <f>E79+F79+C19+D19</f>
        <v>2136</v>
      </c>
      <c r="H19" s="37">
        <f>F19*(1+H20)</f>
        <v>565.47</v>
      </c>
      <c r="I19" s="13"/>
    </row>
    <row r="20" ht="24">
      <c r="A20" s="1"/>
      <c r="B20" s="57" t="s">
        <v>175</v>
      </c>
      <c r="C20" s="11">
        <f>IFERROR(C19/F79-1,"n/a")</f>
        <v>0.029296875</v>
      </c>
      <c r="D20" s="11">
        <f>IFERROR(D19/C19-1,"n/a")</f>
        <v>0.05502846299810238</v>
      </c>
      <c r="E20" s="11">
        <f>IFERROR(E19/D19-1,"n/a")</f>
        <v>-0.014388489208633115</v>
      </c>
      <c r="F20" s="11">
        <f>IFERROR(F19/E19-1,"n/a")</f>
        <v>0.0018248175182482562</v>
      </c>
      <c r="G20" s="11" t="s">
        <v>44</v>
      </c>
      <c r="H20" s="66">
        <v>0.03</v>
      </c>
      <c r="I20" s="13" t="s">
        <v>269</v>
      </c>
    </row>
    <row r="21">
      <c r="A21" s="1"/>
      <c r="B21" s="15" t="s">
        <v>177</v>
      </c>
      <c r="C21" s="11">
        <f>IFERROR(C19/C79-1,"n/a")</f>
        <v>-0.09294320137693635</v>
      </c>
      <c r="D21" s="11">
        <f>IFERROR(D19/D79-1,"n/a")</f>
        <v>-0.046312178387650116</v>
      </c>
      <c r="E21" s="11">
        <f>IFERROR(E19/E79-1,"n/a")</f>
        <v>0.012939001848428777</v>
      </c>
      <c r="F21" s="11">
        <f>IFERROR(F19/F79-1,"n/a")</f>
        <v>0.072265625</v>
      </c>
      <c r="G21" s="11" t="s">
        <v>44</v>
      </c>
      <c r="H21" s="50">
        <f>IFERROR(H19/H79-1,"n/a")</f>
        <v>0.07299810246679317</v>
      </c>
      <c r="I21" s="13" t="s">
        <v>204</v>
      </c>
    </row>
    <row r="22">
      <c r="A22" s="1"/>
      <c r="B22" s="15" t="s">
        <v>131</v>
      </c>
      <c r="C22" s="5">
        <f>C19-F79</f>
        <v>15</v>
      </c>
      <c r="D22" s="5">
        <f>D19-C19</f>
        <v>29</v>
      </c>
      <c r="E22" s="5">
        <f>E19-D19</f>
        <v>-8</v>
      </c>
      <c r="F22" s="5">
        <f>F19-E19</f>
        <v>1</v>
      </c>
      <c r="G22" s="5" t="s">
        <v>44</v>
      </c>
      <c r="H22" s="21">
        <f>H19-F19</f>
        <v>16.470000000000027</v>
      </c>
      <c r="I22" s="13"/>
    </row>
    <row r="23">
      <c r="A23" s="1"/>
      <c r="B23" s="15" t="s">
        <v>178</v>
      </c>
      <c r="C23" s="11" t="s">
        <v>44</v>
      </c>
      <c r="D23" s="11" t="s">
        <v>44</v>
      </c>
      <c r="E23" s="11" t="s">
        <v>44</v>
      </c>
      <c r="F23" s="11" t="s">
        <v>44</v>
      </c>
      <c r="G23" s="11" t="s">
        <v>44</v>
      </c>
      <c r="H23" s="50" t="s">
        <v>44</v>
      </c>
      <c r="I23" s="13" t="s">
        <v>124</v>
      </c>
    </row>
    <row r="24">
      <c r="A24" s="1"/>
      <c r="B24" s="15" t="s">
        <v>179</v>
      </c>
      <c r="C24" s="11" t="s">
        <v>44</v>
      </c>
      <c r="D24" s="11" t="s">
        <v>44</v>
      </c>
      <c r="E24" s="11" t="s">
        <v>44</v>
      </c>
      <c r="F24" s="11" t="s">
        <v>44</v>
      </c>
      <c r="G24" s="11" t="s">
        <v>44</v>
      </c>
      <c r="H24" s="50" t="s">
        <v>44</v>
      </c>
      <c r="I24" s="13" t="s">
        <v>125</v>
      </c>
    </row>
    <row r="25" ht="24">
      <c r="A25" s="1"/>
      <c r="B25" s="57" t="s">
        <v>180</v>
      </c>
      <c r="C25" s="11" t="s">
        <v>44</v>
      </c>
      <c r="D25" s="11" t="s">
        <v>44</v>
      </c>
      <c r="E25" s="11" t="s">
        <v>44</v>
      </c>
      <c r="F25" s="11" t="s">
        <v>44</v>
      </c>
      <c r="G25" s="11" t="s">
        <v>44</v>
      </c>
      <c r="H25" s="50" t="s">
        <v>44</v>
      </c>
      <c r="I25" s="13" t="s">
        <v>126</v>
      </c>
    </row>
    <row r="26">
      <c r="A26" s="1"/>
      <c r="B26" s="1" t="s">
        <v>205</v>
      </c>
      <c r="C26" s="9">
        <v>69</v>
      </c>
      <c r="D26" s="9">
        <v>64</v>
      </c>
      <c r="E26" s="9">
        <v>54</v>
      </c>
      <c r="F26" s="9">
        <v>37</v>
      </c>
      <c r="G26" s="22">
        <f>E80+F80+C26+D26</f>
        <v>245</v>
      </c>
      <c r="H26" s="8">
        <v>40</v>
      </c>
      <c r="I26" s="13" t="s">
        <v>270</v>
      </c>
    </row>
    <row r="27">
      <c r="A27" s="1"/>
      <c r="B27" s="15" t="s">
        <v>177</v>
      </c>
      <c r="C27" s="11" t="s">
        <v>44</v>
      </c>
      <c r="D27" s="11" t="s">
        <v>44</v>
      </c>
      <c r="E27" s="11" t="s">
        <v>44</v>
      </c>
      <c r="F27" s="11" t="s">
        <v>44</v>
      </c>
      <c r="G27" s="11" t="s">
        <v>44</v>
      </c>
      <c r="H27" s="50" t="s">
        <v>44</v>
      </c>
      <c r="I27" s="13" t="s">
        <v>121</v>
      </c>
    </row>
    <row r="28">
      <c r="A28" s="1"/>
      <c r="B28" s="15" t="s">
        <v>131</v>
      </c>
      <c r="C28" s="5">
        <f>C26-F80</f>
        <v>12</v>
      </c>
      <c r="D28" s="5">
        <f>D26-C26</f>
        <v>-5</v>
      </c>
      <c r="E28" s="5">
        <f>E26-D26</f>
        <v>-10</v>
      </c>
      <c r="F28" s="5">
        <f>F26-E26</f>
        <v>-17</v>
      </c>
      <c r="G28" s="5" t="s">
        <v>44</v>
      </c>
      <c r="H28" s="21">
        <f>H26-F26</f>
        <v>3</v>
      </c>
      <c r="I28" s="13"/>
    </row>
    <row r="29">
      <c r="A29" s="1"/>
      <c r="B29" s="15" t="s">
        <v>178</v>
      </c>
      <c r="C29" s="11" t="s">
        <v>44</v>
      </c>
      <c r="D29" s="11" t="s">
        <v>44</v>
      </c>
      <c r="E29" s="11" t="s">
        <v>44</v>
      </c>
      <c r="F29" s="11" t="s">
        <v>44</v>
      </c>
      <c r="G29" s="11" t="s">
        <v>44</v>
      </c>
      <c r="H29" s="50" t="s">
        <v>44</v>
      </c>
      <c r="I29" s="13" t="s">
        <v>124</v>
      </c>
    </row>
    <row r="30">
      <c r="A30" s="1"/>
      <c r="B30" s="15" t="s">
        <v>179</v>
      </c>
      <c r="C30" s="11" t="s">
        <v>44</v>
      </c>
      <c r="D30" s="11" t="s">
        <v>44</v>
      </c>
      <c r="E30" s="11" t="s">
        <v>44</v>
      </c>
      <c r="F30" s="11" t="s">
        <v>44</v>
      </c>
      <c r="G30" s="11" t="s">
        <v>44</v>
      </c>
      <c r="H30" s="50" t="s">
        <v>44</v>
      </c>
      <c r="I30" s="13" t="s">
        <v>125</v>
      </c>
    </row>
    <row r="31" ht="24">
      <c r="A31" s="1"/>
      <c r="B31" s="57" t="s">
        <v>180</v>
      </c>
      <c r="C31" s="11" t="s">
        <v>44</v>
      </c>
      <c r="D31" s="11" t="s">
        <v>44</v>
      </c>
      <c r="E31" s="11" t="s">
        <v>44</v>
      </c>
      <c r="F31" s="11" t="s">
        <v>44</v>
      </c>
      <c r="G31" s="11" t="s">
        <v>44</v>
      </c>
      <c r="H31" s="50" t="s">
        <v>44</v>
      </c>
      <c r="I31" s="13" t="s">
        <v>126</v>
      </c>
    </row>
    <row r="32">
      <c r="A32" s="1"/>
      <c r="B32" s="45" t="s">
        <v>256</v>
      </c>
      <c r="C32" s="29">
        <f>C12+C19+C26</f>
        <v>2967</v>
      </c>
      <c r="D32" s="29">
        <f>D12+D19+D26</f>
        <v>2949</v>
      </c>
      <c r="E32" s="29">
        <f>E12+E19+E26</f>
        <v>2797</v>
      </c>
      <c r="F32" s="29">
        <f>F12+F19+F26</f>
        <v>2742</v>
      </c>
      <c r="G32" s="29">
        <f>G12+G19+G26</f>
        <v>11856</v>
      </c>
      <c r="H32" s="47">
        <f>H12+H19+H26</f>
        <v>2808.902</v>
      </c>
      <c r="I32" s="13"/>
    </row>
    <row r="33">
      <c r="A33" s="1"/>
      <c r="B33" s="15" t="s">
        <v>102</v>
      </c>
      <c r="C33" s="11">
        <f>IFERROR(C32/C81-1,"n/a")</f>
        <v>-0.10416666666666663</v>
      </c>
      <c r="D33" s="11">
        <f>IFERROR(D32/D81-1,"n/a")</f>
        <v>-0.09733700642791554</v>
      </c>
      <c r="E33" s="11">
        <f>IFERROR(E32/E81-1,"n/a")</f>
        <v>-0.06046355391333558</v>
      </c>
      <c r="F33" s="11">
        <f>IFERROR(F32/F81-1,"n/a")</f>
        <v>-0.07458656766790417</v>
      </c>
      <c r="G33" s="11">
        <f>IFERROR(G32/G81-1,"n/a")</f>
        <v>-0.11237553342816498</v>
      </c>
      <c r="H33" s="50">
        <f>IFERROR(H32/H81-1,"n/a")</f>
        <v>-0.05328547354229862</v>
      </c>
      <c r="I33" s="13"/>
    </row>
    <row r="34">
      <c r="A34" s="1"/>
      <c r="B34" s="15" t="s">
        <v>123</v>
      </c>
      <c r="C34" s="5">
        <f>C32-F81</f>
        <v>4</v>
      </c>
      <c r="D34" s="5">
        <f>D32-C32</f>
        <v>-18</v>
      </c>
      <c r="E34" s="5">
        <f>E32-D32</f>
        <v>-152</v>
      </c>
      <c r="F34" s="5">
        <f>F32-E32</f>
        <v>-55</v>
      </c>
      <c r="G34" s="5" t="s">
        <v>44</v>
      </c>
      <c r="H34" s="21">
        <f>H32-F32</f>
        <v>66.90200000000004</v>
      </c>
      <c r="I34" s="13"/>
    </row>
    <row r="35">
      <c r="A35" s="1"/>
      <c r="B35" s="15" t="s">
        <v>103</v>
      </c>
      <c r="C35" s="11">
        <f>IFERROR(C32/F81-1,"n/a")</f>
        <v>0.0013499831252108407</v>
      </c>
      <c r="D35" s="11">
        <f>IFERROR(D32/C32-1,"n/a")</f>
        <v>-0.006066734074823055</v>
      </c>
      <c r="E35" s="11">
        <f>IFERROR(E32/D32-1,"n/a")</f>
        <v>-0.05154289589691419</v>
      </c>
      <c r="F35" s="11">
        <f>IFERROR(F32/E32-1,"n/a")</f>
        <v>-0.019663925634608503</v>
      </c>
      <c r="G35" s="11" t="s">
        <v>44</v>
      </c>
      <c r="H35" s="50">
        <f>IFERROR(H32/F32-1,"n/a")</f>
        <v>0.024398978847556485</v>
      </c>
      <c r="I35" s="13"/>
    </row>
    <row r="36">
      <c r="A36" s="1"/>
      <c r="B36" s="1" t="s">
        <v>257</v>
      </c>
      <c r="C36" s="9">
        <v>0</v>
      </c>
      <c r="D36" s="9">
        <v>0</v>
      </c>
      <c r="E36" s="9">
        <v>0</v>
      </c>
      <c r="F36" s="9">
        <v>0</v>
      </c>
      <c r="G36" s="22">
        <f>E82+F82+C36+D36</f>
        <v>0</v>
      </c>
      <c r="H36" s="8">
        <v>0</v>
      </c>
      <c r="I36" s="13" t="s">
        <v>258</v>
      </c>
    </row>
    <row r="37">
      <c r="A37" s="1"/>
      <c r="B37" s="15" t="s">
        <v>130</v>
      </c>
      <c r="C37" s="5">
        <f>C36-C82</f>
        <v>0</v>
      </c>
      <c r="D37" s="5">
        <f>D36-D82</f>
        <v>0</v>
      </c>
      <c r="E37" s="5">
        <f>E36-E82</f>
        <v>0</v>
      </c>
      <c r="F37" s="5">
        <f>F36-F82</f>
        <v>0</v>
      </c>
      <c r="G37" s="5">
        <f>G36-G82</f>
        <v>0</v>
      </c>
      <c r="H37" s="21">
        <f>H36-H82</f>
        <v>0</v>
      </c>
      <c r="I37" s="13"/>
    </row>
    <row r="38">
      <c r="A38" s="1"/>
      <c r="B38" s="15" t="s">
        <v>131</v>
      </c>
      <c r="C38" s="5">
        <f>C36-F82</f>
        <v>0</v>
      </c>
      <c r="D38" s="5">
        <f>D36-C36</f>
        <v>0</v>
      </c>
      <c r="E38" s="5">
        <f>E36-D36</f>
        <v>0</v>
      </c>
      <c r="F38" s="5">
        <f>F36-E36</f>
        <v>0</v>
      </c>
      <c r="G38" s="5" t="s">
        <v>44</v>
      </c>
      <c r="H38" s="21">
        <f>H36-F36</f>
        <v>0</v>
      </c>
      <c r="I38" s="13"/>
    </row>
    <row r="39" ht="34.5">
      <c r="A39" s="1"/>
      <c r="B39" s="57" t="s">
        <v>133</v>
      </c>
      <c r="C39" s="11">
        <f>IFERROR((C32-C36)/(C81-C82)-1,"n/a")</f>
        <v>-0.10416666666666663</v>
      </c>
      <c r="D39" s="11">
        <f>IFERROR((D32-D36)/(D81-D82)-1,"n/a")</f>
        <v>-0.09733700642791554</v>
      </c>
      <c r="E39" s="11">
        <f>IFERROR((E32-E36)/(E81-E82)-1,"n/a")</f>
        <v>-0.06046355391333558</v>
      </c>
      <c r="F39" s="11">
        <f>IFERROR((F32-F36)/(F81-F82)-1,"n/a")</f>
        <v>-0.07458656766790417</v>
      </c>
      <c r="G39" s="11">
        <f>IFERROR((G32-G36)/(G81-G82)-1,"n/a")</f>
        <v>-0.11237553342816498</v>
      </c>
      <c r="H39" s="50">
        <f>IFERROR((H32-H36)/(H81-H82)-1,"n/a")</f>
        <v>-0.05328547354229862</v>
      </c>
      <c r="I39" s="13" t="s">
        <v>134</v>
      </c>
    </row>
    <row r="40" ht="24">
      <c r="A40" s="1"/>
      <c r="B40" s="57" t="s">
        <v>135</v>
      </c>
      <c r="C40" s="11">
        <f>IFERROR((1+C33)/(1+C39)-1,"n/a")</f>
        <v>0</v>
      </c>
      <c r="D40" s="11">
        <f>IFERROR((1+D33)/(1+D39)-1,"n/a")</f>
        <v>0</v>
      </c>
      <c r="E40" s="11">
        <f>IFERROR((1+E33)/(1+E39)-1,"n/a")</f>
        <v>0</v>
      </c>
      <c r="F40" s="11">
        <f>IFERROR((1+F33)/(1+F39)-1,"n/a")</f>
        <v>0</v>
      </c>
      <c r="G40" s="11">
        <f>IFERROR((1+G33)/(1+G39)-1,"n/a")</f>
        <v>0</v>
      </c>
      <c r="H40" s="50">
        <f>IFERROR((1+H33)/(1+H39)-1,"n/a")</f>
        <v>0</v>
      </c>
      <c r="I40" s="13" t="s">
        <v>136</v>
      </c>
    </row>
    <row r="41">
      <c r="A41" s="1"/>
      <c r="B41" s="15" t="s">
        <v>107</v>
      </c>
      <c r="C41" s="11" t="s">
        <v>44</v>
      </c>
      <c r="D41" s="11" t="s">
        <v>44</v>
      </c>
      <c r="E41" s="11" t="s">
        <v>44</v>
      </c>
      <c r="F41" s="11" t="s">
        <v>44</v>
      </c>
      <c r="G41" s="11" t="s">
        <v>44</v>
      </c>
      <c r="H41" s="50" t="s">
        <v>44</v>
      </c>
      <c r="I41" s="13" t="s">
        <v>125</v>
      </c>
    </row>
    <row r="42" ht="34.5">
      <c r="A42" s="1"/>
      <c r="B42" s="57" t="s">
        <v>137</v>
      </c>
      <c r="C42" s="11" t="s">
        <v>44</v>
      </c>
      <c r="D42" s="11" t="s">
        <v>44</v>
      </c>
      <c r="E42" s="11" t="s">
        <v>44</v>
      </c>
      <c r="F42" s="11" t="s">
        <v>44</v>
      </c>
      <c r="G42" s="11" t="s">
        <v>44</v>
      </c>
      <c r="H42" s="50" t="s">
        <v>44</v>
      </c>
      <c r="I42" s="13" t="s">
        <v>138</v>
      </c>
    </row>
    <row r="43" ht="24">
      <c r="A43" s="1"/>
      <c r="B43" s="4" t="s">
        <v>259</v>
      </c>
      <c r="C43" s="22">
        <f>C12-F78</f>
        <v>-23</v>
      </c>
      <c r="D43" s="22">
        <f>D12-C12</f>
        <v>-42</v>
      </c>
      <c r="E43" s="22">
        <f>E12-D12</f>
        <v>-134</v>
      </c>
      <c r="F43" s="22">
        <f>F12-E12</f>
        <v>-39</v>
      </c>
      <c r="G43" s="22" t="s">
        <v>44</v>
      </c>
      <c r="H43" s="37">
        <f>H12-F12</f>
        <v>47.432000000000244</v>
      </c>
      <c r="I43" s="13"/>
    </row>
    <row r="44" ht="24">
      <c r="A44" s="1"/>
      <c r="B44" s="4" t="s">
        <v>260</v>
      </c>
      <c r="C44" s="22">
        <f>C19-F79</f>
        <v>15</v>
      </c>
      <c r="D44" s="22">
        <f>D19-C19</f>
        <v>29</v>
      </c>
      <c r="E44" s="22">
        <f>E19-D19</f>
        <v>-8</v>
      </c>
      <c r="F44" s="22">
        <f>F19-E19</f>
        <v>1</v>
      </c>
      <c r="G44" s="22" t="s">
        <v>44</v>
      </c>
      <c r="H44" s="37">
        <f>H19-F19</f>
        <v>16.470000000000027</v>
      </c>
      <c r="I44" s="13"/>
    </row>
    <row r="45">
      <c r="A45" s="1"/>
      <c r="B45" s="1" t="s">
        <v>261</v>
      </c>
      <c r="C45" s="22">
        <f>C26-F80</f>
        <v>12</v>
      </c>
      <c r="D45" s="22">
        <f>D26-C26</f>
        <v>-5</v>
      </c>
      <c r="E45" s="22">
        <f>E26-D26</f>
        <v>-10</v>
      </c>
      <c r="F45" s="22">
        <f>F26-E26</f>
        <v>-17</v>
      </c>
      <c r="G45" s="22" t="s">
        <v>44</v>
      </c>
      <c r="H45" s="37">
        <f>H26-F26</f>
        <v>3</v>
      </c>
      <c r="I45" s="13"/>
    </row>
    <row r="46" ht="24">
      <c r="A46" s="1"/>
      <c r="B46" s="26" t="s">
        <v>194</v>
      </c>
      <c r="C46" s="29">
        <f>C11+C43+C44+C45</f>
        <v>2967</v>
      </c>
      <c r="D46" s="29">
        <f>D11+D43+D44+D45</f>
        <v>2949</v>
      </c>
      <c r="E46" s="29">
        <f>E11+E43+E44+E45</f>
        <v>2797</v>
      </c>
      <c r="F46" s="29">
        <f>F11+F43+F44+F45</f>
        <v>2742</v>
      </c>
      <c r="G46" s="29" t="s">
        <v>44</v>
      </c>
      <c r="H46" s="47">
        <f>H11+H43+H44+H45</f>
        <v>2808.902</v>
      </c>
      <c r="I46" s="13"/>
    </row>
    <row r="47" ht="24">
      <c r="A47" s="1"/>
      <c r="B47" s="4" t="s">
        <v>195</v>
      </c>
      <c r="C47" s="38" t="b">
        <f>ROUND(C46-C32,6)=0</f>
        <v>1</v>
      </c>
      <c r="D47" s="38" t="b">
        <f>ROUND(D46-D32,6)=0</f>
        <v>1</v>
      </c>
      <c r="E47" s="38" t="b">
        <f>ROUND(E46-E32,6)=0</f>
        <v>1</v>
      </c>
      <c r="F47" s="38" t="b">
        <f>ROUND(F46-F32,6)=0</f>
        <v>1</v>
      </c>
      <c r="G47" s="38" t="s">
        <v>44</v>
      </c>
      <c r="H47" s="68" t="b">
        <f>ROUND(H46-H32,6)=0</f>
        <v>1</v>
      </c>
      <c r="I47" s="13"/>
    </row>
    <row r="48" ht="24">
      <c r="A48" s="1"/>
      <c r="B48" s="4" t="s">
        <v>262</v>
      </c>
      <c r="C48" s="9">
        <v>2967</v>
      </c>
      <c r="D48" s="9">
        <v>2949</v>
      </c>
      <c r="E48" s="9">
        <v>2797</v>
      </c>
      <c r="F48" s="9">
        <v>2742</v>
      </c>
      <c r="G48" s="9">
        <v>11856</v>
      </c>
      <c r="H48" s="37" t="s">
        <v>44</v>
      </c>
      <c r="I48" s="13" t="s">
        <v>143</v>
      </c>
    </row>
    <row r="49">
      <c r="A49" s="1"/>
      <c r="B49" s="15" t="s">
        <v>144</v>
      </c>
      <c r="C49" s="5">
        <f>C32-C48</f>
        <v>0</v>
      </c>
      <c r="D49" s="5">
        <f>D32-D48</f>
        <v>0</v>
      </c>
      <c r="E49" s="5">
        <f>E32-E48</f>
        <v>0</v>
      </c>
      <c r="F49" s="5">
        <f>F32-F48</f>
        <v>0</v>
      </c>
      <c r="G49" s="5">
        <f>G32-G48</f>
        <v>0</v>
      </c>
      <c r="H49" s="21" t="s">
        <v>44</v>
      </c>
      <c r="I49" s="13"/>
    </row>
    <row r="50">
      <c r="A50" s="1"/>
      <c r="B50" s="15" t="s">
        <v>197</v>
      </c>
      <c r="C50" s="60">
        <f>C32/'Revenue summary'!C63</f>
        <v>0.3323252688172043</v>
      </c>
      <c r="D50" s="60">
        <f>D32/'Revenue summary'!D63</f>
        <v>0.3026167265264238</v>
      </c>
      <c r="E50" s="60">
        <f>E32/'Revenue summary'!E63</f>
        <v>0.3207201009058594</v>
      </c>
      <c r="F50" s="60">
        <f>F32/'Revenue summary'!F63</f>
        <v>0.3056174765938475</v>
      </c>
      <c r="G50" s="60">
        <f>G32/'Revenue summary'!G63</f>
        <v>0.3320171385365034</v>
      </c>
      <c r="H50" s="70">
        <f>H32/'Revenue summary'!H63</f>
        <v>0.3030750998887354</v>
      </c>
      <c r="I50" s="13"/>
    </row>
    <row r="51">
      <c r="A51" s="1"/>
      <c r="B51" s="41" t="s">
        <v>220</v>
      </c>
      <c r="C51" s="1"/>
      <c r="D51" s="1"/>
      <c r="E51" s="1"/>
      <c r="F51" s="1"/>
      <c r="G51" s="1"/>
      <c r="H51" s="53"/>
      <c r="I51" s="13"/>
    </row>
    <row r="52">
      <c r="A52" s="1"/>
      <c r="B52" s="45" t="s">
        <v>221</v>
      </c>
      <c r="C52" s="62">
        <v>558</v>
      </c>
      <c r="D52" s="62">
        <v>550</v>
      </c>
      <c r="E52" s="62">
        <v>424</v>
      </c>
      <c r="F52" s="62">
        <v>417</v>
      </c>
      <c r="G52" s="29">
        <f>E83+F83+C52+D52</f>
        <v>2248</v>
      </c>
      <c r="H52" s="47">
        <f>H32*H53</f>
        <v>440.997614</v>
      </c>
      <c r="I52" s="13"/>
    </row>
    <row r="53" ht="24">
      <c r="A53" s="1"/>
      <c r="B53" s="57" t="s">
        <v>222</v>
      </c>
      <c r="C53" s="11">
        <f>IFERROR(C52/C32,"n/a")</f>
        <v>0.18806875631951467</v>
      </c>
      <c r="D53" s="11">
        <f>IFERROR(D52/D32,"n/a")</f>
        <v>0.1865038996269922</v>
      </c>
      <c r="E53" s="11">
        <f>IFERROR(E52/E32,"n/a")</f>
        <v>0.15159099034680015</v>
      </c>
      <c r="F53" s="11">
        <f>IFERROR(F52/F32,"n/a")</f>
        <v>0.15207877461706784</v>
      </c>
      <c r="G53" s="11">
        <f>IFERROR(G52/G32,"n/a")</f>
        <v>0.18960863697705804</v>
      </c>
      <c r="H53" s="66">
        <v>0.157</v>
      </c>
      <c r="I53" s="13" t="s">
        <v>271</v>
      </c>
    </row>
    <row r="54">
      <c r="A54" s="1"/>
      <c r="B54" s="15" t="s">
        <v>119</v>
      </c>
      <c r="C54" s="40">
        <f>IFERROR((C53-C84)*10000,"n/a")</f>
        <v>-275.10953825412884</v>
      </c>
      <c r="D54" s="40">
        <f>IFERROR((D53-D84)*10000,"n/a")</f>
        <v>-219.4421791203441</v>
      </c>
      <c r="E54" s="40">
        <f>IFERROR((E53-E84)*10000,"n/a")</f>
        <v>-462.5919440294793</v>
      </c>
      <c r="F54" s="40">
        <f>IFERROR((F53-F84)*10000,"n/a")</f>
        <v>-338.8140088073843</v>
      </c>
      <c r="G54" s="40">
        <f>IFERROR((G53-G84)*10000,"n/a")</f>
        <v>-219.65818364710316</v>
      </c>
      <c r="H54" s="56">
        <f>IFERROR((H53-H84)*10000,"n/a")</f>
        <v>-310.68756319514665</v>
      </c>
      <c r="I54" s="13"/>
    </row>
    <row r="55">
      <c r="A55" s="1"/>
      <c r="B55" s="15" t="s">
        <v>120</v>
      </c>
      <c r="C55" s="40">
        <f>IFERROR((C53-F84)*10000,"n/a")</f>
        <v>21.085808217083944</v>
      </c>
      <c r="D55" s="40">
        <f>IFERROR((D53-C53)*10000,"n/a")</f>
        <v>-15.648566925224594</v>
      </c>
      <c r="E55" s="40">
        <f>IFERROR((E53-D53)*10000,"n/a")</f>
        <v>-349.12909280192054</v>
      </c>
      <c r="F55" s="40">
        <f>IFERROR((F53-E53)*10000,"n/a")</f>
        <v>4.877842702676882</v>
      </c>
      <c r="G55" s="40" t="s">
        <v>44</v>
      </c>
      <c r="H55" s="56">
        <f>IFERROR((H53-F53)*10000,"n/a")</f>
        <v>49.2122538293216</v>
      </c>
      <c r="I55" s="13"/>
    </row>
    <row r="56">
      <c r="A56" s="1"/>
      <c r="B56" s="15" t="s">
        <v>102</v>
      </c>
      <c r="C56" s="11">
        <f>IFERROR(C52/C83-1,"n/a")</f>
        <v>-0.2184873949579832</v>
      </c>
      <c r="D56" s="11">
        <f>IFERROR(D52/D83-1,"n/a")</f>
        <v>-0.19236417033773867</v>
      </c>
      <c r="E56" s="11">
        <f>IFERROR(E52/E83-1,"n/a")</f>
        <v>-0.2801358234295416</v>
      </c>
      <c r="F56" s="11">
        <f>IFERROR(F52/F83-1,"n/a")</f>
        <v>-0.2431941923774955</v>
      </c>
      <c r="G56" s="11">
        <f>IFERROR(G52/G83-1,"n/a")</f>
        <v>-0.2045293701344657</v>
      </c>
      <c r="H56" s="50">
        <f>IFERROR(H52/H83-1,"n/a")</f>
        <v>-0.20968169534050174</v>
      </c>
      <c r="I56" s="13"/>
    </row>
    <row r="57">
      <c r="A57" s="1"/>
      <c r="B57" s="15" t="s">
        <v>123</v>
      </c>
      <c r="C57" s="5">
        <f>C52-F83</f>
        <v>7</v>
      </c>
      <c r="D57" s="5">
        <f>D52-C52</f>
        <v>-8</v>
      </c>
      <c r="E57" s="5">
        <f>E52-D52</f>
        <v>-126</v>
      </c>
      <c r="F57" s="5">
        <f>F52-E52</f>
        <v>-7</v>
      </c>
      <c r="G57" s="5" t="s">
        <v>44</v>
      </c>
      <c r="H57" s="21">
        <f>H52-F52</f>
        <v>23.997614</v>
      </c>
      <c r="I57" s="13"/>
    </row>
    <row r="58" ht="24">
      <c r="A58" s="1"/>
      <c r="B58" s="57" t="s">
        <v>224</v>
      </c>
      <c r="C58" s="11">
        <f>IFERROR((C52-F83)/(C32-F81),"n/a")</f>
        <v>1.75</v>
      </c>
      <c r="D58" s="11">
        <f>IFERROR((D52-C52)/(D32-C32),"n/a")</f>
        <v>0.4444444444444444</v>
      </c>
      <c r="E58" s="11">
        <f>IFERROR((E52-D52)/(E32-D32),"n/a")</f>
        <v>0.8289473684210527</v>
      </c>
      <c r="F58" s="11">
        <f>IFERROR((F52-E52)/(F32-E32),"n/a")</f>
        <v>0.12727272727272726</v>
      </c>
      <c r="G58" s="11" t="s">
        <v>44</v>
      </c>
      <c r="H58" s="50">
        <f>IFERROR((H52-F52)/(H32-F32),"n/a")</f>
        <v>0.3586980060386832</v>
      </c>
      <c r="I58" s="13"/>
    </row>
    <row r="59">
      <c r="A59" s="1"/>
      <c r="B59" s="1" t="s">
        <v>225</v>
      </c>
      <c r="C59" s="9">
        <v>170</v>
      </c>
      <c r="D59" s="9">
        <v>169</v>
      </c>
      <c r="E59" s="9">
        <v>161</v>
      </c>
      <c r="F59" s="9">
        <v>161</v>
      </c>
      <c r="G59" s="22">
        <f>E85+F85+C59+D59</f>
        <v>672</v>
      </c>
      <c r="H59" s="8">
        <v>161</v>
      </c>
      <c r="I59" s="13" t="s">
        <v>264</v>
      </c>
    </row>
    <row r="60">
      <c r="A60" s="1"/>
      <c r="B60" s="15" t="s">
        <v>102</v>
      </c>
      <c r="C60" s="11">
        <f>IFERROR(C59/C85-1,"n/a")</f>
        <v>0.024096385542168752</v>
      </c>
      <c r="D60" s="11" t="s">
        <v>44</v>
      </c>
      <c r="E60" s="11">
        <f>IFERROR(E59/E85-1,"n/a")</f>
        <v>-0.018292682926829285</v>
      </c>
      <c r="F60" s="11">
        <f>IFERROR(F59/F85-1,"n/a")</f>
        <v>-0.047337278106508895</v>
      </c>
      <c r="G60" s="11">
        <f>IFERROR(G59/G85-1,"n/a")</f>
        <v>0.035439137134052334</v>
      </c>
      <c r="H60" s="50">
        <f>IFERROR(H59/H85-1,"n/a")</f>
        <v>-0.05294117647058827</v>
      </c>
      <c r="I60" s="13" t="s">
        <v>204</v>
      </c>
    </row>
    <row r="61">
      <c r="A61" s="1"/>
      <c r="B61" s="15" t="s">
        <v>123</v>
      </c>
      <c r="C61" s="5">
        <f>C59-F85</f>
        <v>1</v>
      </c>
      <c r="D61" s="5">
        <f>D59-C59</f>
        <v>-1</v>
      </c>
      <c r="E61" s="5">
        <f>E59-D59</f>
        <v>-8</v>
      </c>
      <c r="F61" s="5">
        <f>F59-E59</f>
        <v>0</v>
      </c>
      <c r="G61" s="5" t="s">
        <v>44</v>
      </c>
      <c r="H61" s="21">
        <f>H59-F59</f>
        <v>0</v>
      </c>
      <c r="I61" s="13"/>
    </row>
    <row r="62">
      <c r="A62" s="1"/>
      <c r="B62" s="15" t="s">
        <v>227</v>
      </c>
      <c r="C62" s="11">
        <f>IFERROR(C59/C32,"n/a")</f>
        <v>0.057296932928884395</v>
      </c>
      <c r="D62" s="11">
        <f>IFERROR(D59/D32,"n/a")</f>
        <v>0.057307561885384876</v>
      </c>
      <c r="E62" s="11">
        <f>IFERROR(E59/E32,"n/a")</f>
        <v>0.05756167322130854</v>
      </c>
      <c r="F62" s="11">
        <f>IFERROR(F59/F32,"n/a")</f>
        <v>0.0587162654996353</v>
      </c>
      <c r="G62" s="11">
        <f>IFERROR(G59/G32,"n/a")</f>
        <v>0.05668016194331984</v>
      </c>
      <c r="H62" s="50">
        <f>IFERROR(H59/H32,"n/a")</f>
        <v>0.05731777043129308</v>
      </c>
      <c r="I62" s="13"/>
    </row>
    <row r="63">
      <c r="A63" s="1"/>
      <c r="B63" s="15" t="s">
        <v>119</v>
      </c>
      <c r="C63" s="40">
        <f>IFERROR((C62-C86)*10000,"n/a")</f>
        <v>71.76159982024491</v>
      </c>
      <c r="D63" s="40" t="s">
        <v>44</v>
      </c>
      <c r="E63" s="40">
        <f>IFERROR((E62-E86)*10000,"n/a")</f>
        <v>24.726574336027955</v>
      </c>
      <c r="F63" s="40">
        <f>IFERROR((F62-F86)*10000,"n/a")</f>
        <v>16.79478459473305</v>
      </c>
      <c r="G63" s="40">
        <f>IFERROR((G62-G86)*10000,"n/a")</f>
        <v>80.91406983373746</v>
      </c>
      <c r="H63" s="56">
        <f>IFERROR((H62-H86)*10000,"n/a")</f>
        <v>0.20837502408686814</v>
      </c>
      <c r="I63" s="13"/>
    </row>
    <row r="64">
      <c r="A64" s="1"/>
      <c r="B64" s="15" t="s">
        <v>120</v>
      </c>
      <c r="C64" s="40">
        <f>IFERROR((C62-F86)*10000,"n/a")</f>
        <v>2.6014588872239757</v>
      </c>
      <c r="D64" s="40">
        <f>IFERROR((D62-C62)*10000,"n/a")</f>
        <v>0.10628956500481623</v>
      </c>
      <c r="E64" s="40">
        <f>IFERROR((E62-D62)*10000,"n/a")</f>
        <v>2.541113359236652</v>
      </c>
      <c r="F64" s="40">
        <f>IFERROR((F62-E62)*10000,"n/a")</f>
        <v>11.545922783267603</v>
      </c>
      <c r="G64" s="40" t="s">
        <v>44</v>
      </c>
      <c r="H64" s="56">
        <f>IFERROR((H62-F62)*10000,"n/a")</f>
        <v>-13.984950683422204</v>
      </c>
      <c r="I64" s="13"/>
    </row>
    <row r="65" ht="24">
      <c r="A65" s="1"/>
      <c r="B65" s="4" t="s">
        <v>228</v>
      </c>
      <c r="C65" s="9">
        <v>0</v>
      </c>
      <c r="D65" s="9">
        <v>0</v>
      </c>
      <c r="E65" s="9">
        <v>-1</v>
      </c>
      <c r="F65" s="9">
        <v>0</v>
      </c>
      <c r="G65" s="22">
        <f>E87+F87+C65+D65</f>
        <v>0</v>
      </c>
      <c r="H65" s="8">
        <v>0</v>
      </c>
      <c r="I65" s="13" t="s">
        <v>229</v>
      </c>
    </row>
    <row r="66">
      <c r="A66" s="1"/>
      <c r="B66" s="15" t="s">
        <v>122</v>
      </c>
      <c r="C66" s="5">
        <f>C65-C87</f>
        <v>5</v>
      </c>
      <c r="D66" s="5" t="s">
        <v>44</v>
      </c>
      <c r="E66" s="5">
        <f>E65-E87</f>
        <v>-1</v>
      </c>
      <c r="F66" s="5">
        <f>F65-F87</f>
        <v>0</v>
      </c>
      <c r="G66" s="5">
        <f>G65-G87</f>
        <v>14</v>
      </c>
      <c r="H66" s="21">
        <f>H65-H87</f>
        <v>0</v>
      </c>
      <c r="I66" s="13" t="s">
        <v>204</v>
      </c>
    </row>
    <row r="67">
      <c r="A67" s="1"/>
      <c r="B67" s="15" t="s">
        <v>123</v>
      </c>
      <c r="C67" s="5">
        <f>C65-F87</f>
        <v>0</v>
      </c>
      <c r="D67" s="5">
        <f>D65-C65</f>
        <v>0</v>
      </c>
      <c r="E67" s="5">
        <f>E65-D65</f>
        <v>-1</v>
      </c>
      <c r="F67" s="5">
        <f>F65-E65</f>
        <v>1</v>
      </c>
      <c r="G67" s="5" t="s">
        <v>44</v>
      </c>
      <c r="H67" s="21">
        <f>H65-F65</f>
        <v>0</v>
      </c>
      <c r="I67" s="13"/>
    </row>
    <row r="68">
      <c r="A68" s="1"/>
      <c r="B68" s="45" t="s">
        <v>230</v>
      </c>
      <c r="C68" s="29">
        <f>C52+C59+C65</f>
        <v>728</v>
      </c>
      <c r="D68" s="29">
        <f>D52+D59+D65</f>
        <v>719</v>
      </c>
      <c r="E68" s="29">
        <f>E52+E59+E65</f>
        <v>584</v>
      </c>
      <c r="F68" s="29">
        <f>F52+F59+F65</f>
        <v>578</v>
      </c>
      <c r="G68" s="29">
        <f>G52+G59+G65</f>
        <v>2920</v>
      </c>
      <c r="H68" s="47">
        <f>H52+H59+H65</f>
        <v>601.997614</v>
      </c>
      <c r="I68" s="13"/>
    </row>
    <row r="69">
      <c r="A69" s="1"/>
      <c r="B69" s="15" t="s">
        <v>102</v>
      </c>
      <c r="C69" s="11">
        <f>IFERROR(C68/C88-1,"n/a")</f>
        <v>-0.16800000000000004</v>
      </c>
      <c r="D69" s="11">
        <f>IFERROR(D68/D88-1,"n/a")</f>
        <v>-0.14506539833531507</v>
      </c>
      <c r="E69" s="11">
        <f>IFERROR(E68/E88-1,"n/a")</f>
        <v>-0.22443559096945553</v>
      </c>
      <c r="F69" s="11">
        <f>IFERROR(F68/F88-1,"n/a")</f>
        <v>-0.1972222222222222</v>
      </c>
      <c r="G69" s="11">
        <f>IFERROR(G68/G88-1,"n/a")</f>
        <v>-0.15631320427622075</v>
      </c>
      <c r="H69" s="50">
        <f>IFERROR(H68/H88-1,"n/a")</f>
        <v>-0.1730802005494505</v>
      </c>
      <c r="I69" s="13"/>
    </row>
    <row r="70">
      <c r="A70" s="1"/>
      <c r="B70" s="15" t="s">
        <v>123</v>
      </c>
      <c r="C70" s="5">
        <f>C68-F88</f>
        <v>8</v>
      </c>
      <c r="D70" s="5">
        <f>D68-C68</f>
        <v>-9</v>
      </c>
      <c r="E70" s="5">
        <f>E68-D68</f>
        <v>-135</v>
      </c>
      <c r="F70" s="5">
        <f>F68-E68</f>
        <v>-6</v>
      </c>
      <c r="G70" s="5" t="s">
        <v>44</v>
      </c>
      <c r="H70" s="21">
        <f>H68-F68</f>
        <v>23.997614</v>
      </c>
      <c r="I70" s="13"/>
    </row>
    <row r="71">
      <c r="A71" s="1"/>
      <c r="B71" s="15" t="s">
        <v>231</v>
      </c>
      <c r="C71" s="11">
        <f>IFERROR(C68/C32,"n/a")</f>
        <v>0.24536568924839905</v>
      </c>
      <c r="D71" s="11">
        <f>IFERROR(D68/D32,"n/a")</f>
        <v>0.24381146151237706</v>
      </c>
      <c r="E71" s="11">
        <f>IFERROR(E68/E32,"n/a")</f>
        <v>0.20879513764747945</v>
      </c>
      <c r="F71" s="11">
        <f>IFERROR(F68/F32,"n/a")</f>
        <v>0.21079504011670314</v>
      </c>
      <c r="G71" s="11">
        <f>IFERROR(G68/G32,"n/a")</f>
        <v>0.24628879892037786</v>
      </c>
      <c r="H71" s="50">
        <f>IFERROR(H68/H32,"n/a")</f>
        <v>0.21431777043129308</v>
      </c>
      <c r="I71" s="13"/>
    </row>
    <row r="72">
      <c r="A72" s="1"/>
      <c r="B72" s="15" t="s">
        <v>119</v>
      </c>
      <c r="C72" s="40">
        <f>IFERROR((C71-C89)*10000,"n/a")</f>
        <v>-188.25132007639607</v>
      </c>
      <c r="D72" s="40">
        <f>IFERROR((D71-D89)*10000,"n/a")</f>
        <v>-136.11250455789454</v>
      </c>
      <c r="E72" s="40">
        <f>IFERROR((E71-E89)*10000,"n/a")</f>
        <v>-441.44062889974384</v>
      </c>
      <c r="F72" s="40">
        <f>IFERROR((F71-F89)*10000,"n/a")</f>
        <v>-322.0192242126513</v>
      </c>
      <c r="G72" s="40">
        <f>IFERROR((G71-G89)*10000,"n/a")</f>
        <v>-128.26271829041946</v>
      </c>
      <c r="H72" s="56">
        <f>IFERROR((H71-H89)*10000,"n/a")</f>
        <v>-310.4791881710597</v>
      </c>
      <c r="I72" s="13"/>
    </row>
    <row r="73">
      <c r="A73" s="1"/>
      <c r="B73" s="15" t="s">
        <v>120</v>
      </c>
      <c r="C73" s="40">
        <f>IFERROR((C71-F89)*10000,"n/a")</f>
        <v>23.687267104307853</v>
      </c>
      <c r="D73" s="40">
        <f>IFERROR((D71-C71)*10000,"n/a")</f>
        <v>-15.542277360219847</v>
      </c>
      <c r="E73" s="40">
        <f>IFERROR((E71-D71)*10000,"n/a")</f>
        <v>-350.1632386489761</v>
      </c>
      <c r="F73" s="40">
        <f>IFERROR((F71-E71)*10000,"n/a")</f>
        <v>19.999024692236855</v>
      </c>
      <c r="G73" s="40" t="s">
        <v>44</v>
      </c>
      <c r="H73" s="56">
        <f>IFERROR((H71-F71)*10000,"n/a")</f>
        <v>35.22730314589939</v>
      </c>
      <c r="I73" s="13"/>
    </row>
    <row r="74" ht="24">
      <c r="A74" s="1"/>
      <c r="B74" s="4" t="s">
        <v>232</v>
      </c>
      <c r="C74" s="9">
        <v>728</v>
      </c>
      <c r="D74" s="9">
        <v>719</v>
      </c>
      <c r="E74" s="9">
        <v>584</v>
      </c>
      <c r="F74" s="9">
        <v>578</v>
      </c>
      <c r="G74" s="9">
        <v>2919</v>
      </c>
      <c r="H74" s="37" t="s">
        <v>44</v>
      </c>
      <c r="I74" s="13" t="s">
        <v>143</v>
      </c>
    </row>
    <row r="75">
      <c r="A75" s="1"/>
      <c r="B75" s="15" t="s">
        <v>144</v>
      </c>
      <c r="C75" s="5">
        <f>C68-C74</f>
        <v>0</v>
      </c>
      <c r="D75" s="5">
        <f>D68-D74</f>
        <v>0</v>
      </c>
      <c r="E75" s="5">
        <f>E68-E74</f>
        <v>0</v>
      </c>
      <c r="F75" s="5">
        <f>F68-F74</f>
        <v>0</v>
      </c>
      <c r="G75" s="5">
        <f>G68-G74</f>
        <v>1</v>
      </c>
      <c r="H75" s="21" t="s">
        <v>44</v>
      </c>
      <c r="I75" s="13"/>
    </row>
    <row r="76">
      <c r="A76" s="1"/>
      <c r="B76" s="1"/>
      <c r="C76" s="1"/>
      <c r="D76" s="1"/>
      <c r="E76" s="1"/>
      <c r="F76" s="1"/>
      <c r="G76" s="1"/>
      <c r="H76" s="53"/>
      <c r="I76" s="13"/>
    </row>
    <row r="77">
      <c r="A77" s="1"/>
      <c r="B77" s="41" t="s">
        <v>155</v>
      </c>
      <c r="C77" s="1"/>
      <c r="D77" s="1"/>
      <c r="E77" s="1"/>
      <c r="F77" s="1"/>
      <c r="G77" s="1"/>
      <c r="H77" s="53"/>
      <c r="I77" s="13" t="s">
        <v>156</v>
      </c>
    </row>
    <row r="78">
      <c r="A78" s="1"/>
      <c r="B78" s="1" t="s">
        <v>241</v>
      </c>
      <c r="C78" s="9">
        <v>2675</v>
      </c>
      <c r="D78" s="9">
        <v>2625</v>
      </c>
      <c r="E78" s="9">
        <v>2381</v>
      </c>
      <c r="F78" s="9">
        <v>2394</v>
      </c>
      <c r="G78" s="22"/>
      <c r="H78" s="37">
        <f>C12</f>
        <v>2371</v>
      </c>
      <c r="I78" s="13"/>
    </row>
    <row r="79">
      <c r="A79" s="1"/>
      <c r="B79" s="1" t="s">
        <v>239</v>
      </c>
      <c r="C79" s="9">
        <v>581</v>
      </c>
      <c r="D79" s="9">
        <v>583</v>
      </c>
      <c r="E79" s="9">
        <v>541</v>
      </c>
      <c r="F79" s="9">
        <v>512</v>
      </c>
      <c r="G79" s="22"/>
      <c r="H79" s="37">
        <f>C19</f>
        <v>527</v>
      </c>
      <c r="I79" s="13"/>
    </row>
    <row r="80">
      <c r="A80" s="1"/>
      <c r="B80" s="1" t="s">
        <v>240</v>
      </c>
      <c r="C80" s="9">
        <v>56</v>
      </c>
      <c r="D80" s="9">
        <v>59</v>
      </c>
      <c r="E80" s="9">
        <v>55</v>
      </c>
      <c r="F80" s="9">
        <v>57</v>
      </c>
      <c r="G80" s="22"/>
      <c r="H80" s="37">
        <f>C26</f>
        <v>69</v>
      </c>
      <c r="I80" s="13"/>
    </row>
    <row r="81" ht="24">
      <c r="A81" s="1"/>
      <c r="B81" s="4" t="s">
        <v>265</v>
      </c>
      <c r="C81" s="22">
        <f>C78+C79+C80</f>
        <v>3312</v>
      </c>
      <c r="D81" s="22">
        <f>D78+D79+D80</f>
        <v>3267</v>
      </c>
      <c r="E81" s="22">
        <f>E78+E79+E80</f>
        <v>2977</v>
      </c>
      <c r="F81" s="22">
        <f>F78+F79+F80</f>
        <v>2963</v>
      </c>
      <c r="G81" s="9">
        <v>13357</v>
      </c>
      <c r="H81" s="37">
        <f>C32</f>
        <v>2967</v>
      </c>
      <c r="I81" s="13"/>
    </row>
    <row r="82" ht="24">
      <c r="A82" s="1"/>
      <c r="B82" s="4" t="s">
        <v>266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37">
        <f>C36</f>
        <v>0</v>
      </c>
      <c r="I82" s="13"/>
    </row>
    <row r="83" ht="24">
      <c r="A83" s="1"/>
      <c r="B83" s="4" t="s">
        <v>243</v>
      </c>
      <c r="C83" s="9">
        <v>714</v>
      </c>
      <c r="D83" s="9">
        <v>681</v>
      </c>
      <c r="E83" s="9">
        <v>589</v>
      </c>
      <c r="F83" s="9">
        <v>551</v>
      </c>
      <c r="G83" s="9">
        <v>2826</v>
      </c>
      <c r="H83" s="37">
        <f>C52</f>
        <v>558</v>
      </c>
      <c r="I83" s="13"/>
    </row>
    <row r="84" ht="24">
      <c r="A84" s="1"/>
      <c r="B84" s="57" t="s">
        <v>244</v>
      </c>
      <c r="C84" s="11">
        <f>IFERROR(C83/C81,"n/a")</f>
        <v>0.21557971014492755</v>
      </c>
      <c r="D84" s="11">
        <f>IFERROR(D83/D81,"n/a")</f>
        <v>0.20844811753902662</v>
      </c>
      <c r="E84" s="11">
        <f>IFERROR(E83/E81,"n/a")</f>
        <v>0.19785018474974808</v>
      </c>
      <c r="F84" s="11">
        <f>IFERROR(F83/F81,"n/a")</f>
        <v>0.18596017549780627</v>
      </c>
      <c r="G84" s="11">
        <f>IFERROR(G83/G81,"n/a")</f>
        <v>0.21157445534176836</v>
      </c>
      <c r="H84" s="50">
        <f>C53</f>
        <v>0.18806875631951467</v>
      </c>
      <c r="I84" s="13"/>
    </row>
    <row r="85" ht="24">
      <c r="A85" s="1"/>
      <c r="B85" s="4" t="s">
        <v>245</v>
      </c>
      <c r="C85" s="9">
        <v>166</v>
      </c>
      <c r="D85" s="22"/>
      <c r="E85" s="9">
        <v>164</v>
      </c>
      <c r="F85" s="9">
        <v>169</v>
      </c>
      <c r="G85" s="9">
        <v>649</v>
      </c>
      <c r="H85" s="37">
        <f>C59</f>
        <v>170</v>
      </c>
      <c r="I85" s="13"/>
    </row>
    <row r="86">
      <c r="A86" s="1"/>
      <c r="B86" s="15" t="s">
        <v>246</v>
      </c>
      <c r="C86" s="11">
        <f>IFERROR(C85/C81,"n/a")</f>
        <v>0.050120772946859904</v>
      </c>
      <c r="D86" s="11"/>
      <c r="E86" s="11">
        <f>IFERROR(E85/E81,"n/a")</f>
        <v>0.055089015787705746</v>
      </c>
      <c r="F86" s="11">
        <f>IFERROR(F85/F81,"n/a")</f>
        <v>0.057036787040162</v>
      </c>
      <c r="G86" s="11">
        <f>IFERROR(G85/G81,"n/a")</f>
        <v>0.04858875495994609</v>
      </c>
      <c r="H86" s="50">
        <f>C62</f>
        <v>0.057296932928884395</v>
      </c>
      <c r="I86" s="13"/>
    </row>
    <row r="87" ht="34.5">
      <c r="A87" s="1"/>
      <c r="B87" s="4" t="s">
        <v>247</v>
      </c>
      <c r="C87" s="9">
        <v>-5</v>
      </c>
      <c r="D87" s="22"/>
      <c r="E87" s="9">
        <v>0</v>
      </c>
      <c r="F87" s="9">
        <v>0</v>
      </c>
      <c r="G87" s="9">
        <v>-14</v>
      </c>
      <c r="H87" s="37">
        <f>C65</f>
        <v>0</v>
      </c>
      <c r="I87" s="13"/>
    </row>
    <row r="88">
      <c r="A88" s="1"/>
      <c r="B88" s="1" t="s">
        <v>248</v>
      </c>
      <c r="C88" s="22">
        <f>C83+C85+C87</f>
        <v>875</v>
      </c>
      <c r="D88" s="9">
        <v>841</v>
      </c>
      <c r="E88" s="22">
        <f>E83+E85+E87</f>
        <v>753</v>
      </c>
      <c r="F88" s="22">
        <f>F83+F85+F87</f>
        <v>720</v>
      </c>
      <c r="G88" s="22">
        <f>G83+G85+G87</f>
        <v>3461</v>
      </c>
      <c r="H88" s="37">
        <f>C68</f>
        <v>728</v>
      </c>
      <c r="I88" s="13"/>
    </row>
    <row r="89" ht="24">
      <c r="A89" s="1"/>
      <c r="B89" s="57" t="s">
        <v>249</v>
      </c>
      <c r="C89" s="11">
        <f>IFERROR(C88/C81,"n/a")</f>
        <v>0.26419082125603865</v>
      </c>
      <c r="D89" s="11">
        <f>IFERROR(D88/D81,"n/a")</f>
        <v>0.2574227119681665</v>
      </c>
      <c r="E89" s="11">
        <f>IFERROR(E88/E81,"n/a")</f>
        <v>0.25293920053745383</v>
      </c>
      <c r="F89" s="11">
        <f>IFERROR(F88/F81,"n/a")</f>
        <v>0.24299696253796826</v>
      </c>
      <c r="G89" s="11">
        <f>IFERROR(G88/G81,"n/a")</f>
        <v>0.2591150707494198</v>
      </c>
      <c r="H89" s="50">
        <f>C71</f>
        <v>0.24536568924839905</v>
      </c>
      <c r="I89" s="13"/>
    </row>
    <row r="90">
      <c r="A90" s="1"/>
      <c r="B90" s="1"/>
      <c r="C90" s="1"/>
      <c r="D90" s="1"/>
      <c r="E90" s="1"/>
      <c r="F90" s="1"/>
      <c r="G90" s="1"/>
      <c r="H90" s="1"/>
      <c r="I90" s="1"/>
    </row>
    <row r="91">
      <c r="A91" s="1"/>
      <c r="B91" s="1"/>
      <c r="C91" s="1"/>
      <c r="D91" s="1"/>
      <c r="E91" s="1"/>
      <c r="F91" s="1"/>
      <c r="G91" s="1"/>
      <c r="H91" s="1"/>
      <c r="I91" s="1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2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51" t="s">
        <v>1</v>
      </c>
      <c r="C2" s="1"/>
      <c r="D2" s="1"/>
      <c r="E2" s="1"/>
      <c r="F2" s="1"/>
      <c r="G2" s="1"/>
      <c r="H2" s="1"/>
      <c r="I2" s="1"/>
    </row>
    <row r="3">
      <c r="A3" s="1"/>
      <c r="B3" s="33" t="s">
        <v>272</v>
      </c>
      <c r="C3" s="1"/>
      <c r="D3" s="1"/>
      <c r="E3" s="1"/>
      <c r="F3" s="1"/>
      <c r="G3" s="1"/>
      <c r="H3" s="1"/>
      <c r="I3" s="1"/>
    </row>
    <row r="4">
      <c r="A4" s="1"/>
      <c r="B4" s="15" t="s">
        <v>3</v>
      </c>
      <c r="C4" s="1"/>
      <c r="D4" s="1"/>
      <c r="E4" s="1"/>
      <c r="F4" s="1"/>
      <c r="G4" s="1"/>
      <c r="H4" s="1"/>
      <c r="I4" s="1"/>
    </row>
    <row r="5">
      <c r="A5" s="1"/>
      <c r="B5" s="4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58" t="s">
        <v>10</v>
      </c>
      <c r="I5" s="46" t="s">
        <v>99</v>
      </c>
    </row>
    <row r="6">
      <c r="A6" s="1"/>
      <c r="B6" s="34" t="s">
        <v>11</v>
      </c>
      <c r="C6" s="18">
        <f>DATE(2025,9,30)</f>
        <v>45930</v>
      </c>
      <c r="D6" s="18">
        <f>DATE(2025,12,31)</f>
        <v>46022</v>
      </c>
      <c r="E6" s="18">
        <f>DATE(2026,3,31)</f>
        <v>46112</v>
      </c>
      <c r="F6" s="18">
        <f>DATE(2026,6,30)</f>
        <v>46203</v>
      </c>
      <c r="G6" s="18">
        <f>DATE(2025,12,31)</f>
        <v>46022</v>
      </c>
      <c r="H6" s="55">
        <f>DATE(2026,9,30)</f>
        <v>46295</v>
      </c>
      <c r="I6" s="34"/>
    </row>
    <row r="7">
      <c r="A7" s="1"/>
      <c r="B7" s="12" t="s">
        <v>12</v>
      </c>
      <c r="C7" s="6">
        <f>C6-EOMONTH(C6,-3)</f>
        <v>92</v>
      </c>
      <c r="D7" s="6">
        <f>D6-EOMONTH(D6,-3)</f>
        <v>92</v>
      </c>
      <c r="E7" s="6">
        <f>E6-EOMONTH(E6,-3)</f>
        <v>90</v>
      </c>
      <c r="F7" s="6">
        <f>F6-EOMONTH(F6,-3)</f>
        <v>91</v>
      </c>
      <c r="G7" s="6">
        <f>G6-EOMONTH(G6,-12)</f>
        <v>365</v>
      </c>
      <c r="H7" s="17">
        <f>H6-EOMONTH(H6,-3)</f>
        <v>92</v>
      </c>
      <c r="I7" s="12"/>
    </row>
    <row r="8">
      <c r="A8" s="1"/>
      <c r="B8" s="1"/>
      <c r="C8" s="1"/>
      <c r="D8" s="1"/>
      <c r="E8" s="1"/>
      <c r="F8" s="1"/>
      <c r="G8" s="1"/>
      <c r="H8" s="53"/>
      <c r="I8" s="1"/>
    </row>
    <row r="9">
      <c r="A9" s="1"/>
      <c r="B9" s="1" t="s">
        <v>251</v>
      </c>
      <c r="C9" s="1"/>
      <c r="D9" s="1"/>
      <c r="E9" s="1"/>
      <c r="F9" s="1"/>
      <c r="G9" s="1"/>
      <c r="H9" s="53"/>
      <c r="I9" s="13"/>
    </row>
    <row r="10">
      <c r="A10" s="1"/>
      <c r="B10" s="41" t="s">
        <v>252</v>
      </c>
      <c r="C10" s="1"/>
      <c r="D10" s="1"/>
      <c r="E10" s="1"/>
      <c r="F10" s="1"/>
      <c r="G10" s="1"/>
      <c r="H10" s="53"/>
      <c r="I10" s="13"/>
    </row>
    <row r="11" ht="24">
      <c r="A11" s="1"/>
      <c r="B11" s="4" t="s">
        <v>172</v>
      </c>
      <c r="C11" s="22">
        <f>F106</f>
        <v>2932</v>
      </c>
      <c r="D11" s="22">
        <f>C32</f>
        <v>3474</v>
      </c>
      <c r="E11" s="22">
        <f>D32</f>
        <v>4078</v>
      </c>
      <c r="F11" s="22">
        <f>E32</f>
        <v>3508</v>
      </c>
      <c r="G11" s="22" t="s">
        <v>44</v>
      </c>
      <c r="H11" s="37">
        <f>F32</f>
        <v>3771</v>
      </c>
      <c r="I11" s="13" t="s">
        <v>173</v>
      </c>
    </row>
    <row r="12">
      <c r="A12" s="1"/>
      <c r="B12" s="1" t="s">
        <v>150</v>
      </c>
      <c r="C12" s="9">
        <v>2440</v>
      </c>
      <c r="D12" s="9">
        <v>2853</v>
      </c>
      <c r="E12" s="9">
        <v>2272</v>
      </c>
      <c r="F12" s="9">
        <v>2478</v>
      </c>
      <c r="G12" s="22">
        <f>E103+F103+C12+D12</f>
        <v>9702</v>
      </c>
      <c r="H12" s="37">
        <f>F12*(1+H13)</f>
        <v>2564.73</v>
      </c>
      <c r="I12" s="13"/>
    </row>
    <row r="13" ht="24">
      <c r="A13" s="1"/>
      <c r="B13" s="57" t="s">
        <v>175</v>
      </c>
      <c r="C13" s="11">
        <f>IFERROR(C12/F103-1,"n/a")</f>
        <v>0.08782880071333032</v>
      </c>
      <c r="D13" s="11">
        <f>IFERROR(D12/C12-1,"n/a")</f>
        <v>0.1692622950819671</v>
      </c>
      <c r="E13" s="11">
        <f>IFERROR(E12/D12-1,"n/a")</f>
        <v>-0.20364528566421314</v>
      </c>
      <c r="F13" s="11">
        <f>IFERROR(F12/E12-1,"n/a")</f>
        <v>0.090669014084507</v>
      </c>
      <c r="G13" s="11" t="s">
        <v>44</v>
      </c>
      <c r="H13" s="66">
        <v>0.035</v>
      </c>
      <c r="I13" s="13" t="s">
        <v>273</v>
      </c>
    </row>
    <row r="14">
      <c r="A14" s="1"/>
      <c r="B14" s="15" t="s">
        <v>177</v>
      </c>
      <c r="C14" s="11">
        <f>IFERROR(C12/C103-1,"n/a")</f>
        <v>0.02823430257058579</v>
      </c>
      <c r="D14" s="11">
        <f>IFERROR(D12/D103-1,"n/a")</f>
        <v>0.1545932820720357</v>
      </c>
      <c r="E14" s="11">
        <f>IFERROR(E12/E103-1,"n/a")</f>
        <v>0.048938134810710965</v>
      </c>
      <c r="F14" s="11">
        <f>IFERROR(F12/F103-1,"n/a")</f>
        <v>0.10477039679001332</v>
      </c>
      <c r="G14" s="11" t="s">
        <v>44</v>
      </c>
      <c r="H14" s="50">
        <f>IFERROR(H12/H103-1,"n/a")</f>
        <v>0.051118852459016484</v>
      </c>
      <c r="I14" s="13" t="s">
        <v>204</v>
      </c>
    </row>
    <row r="15">
      <c r="A15" s="1"/>
      <c r="B15" s="15" t="s">
        <v>131</v>
      </c>
      <c r="C15" s="5">
        <f>C12-F103</f>
        <v>197</v>
      </c>
      <c r="D15" s="5">
        <f>D12-C12</f>
        <v>413</v>
      </c>
      <c r="E15" s="5">
        <f>E12-D12</f>
        <v>-581</v>
      </c>
      <c r="F15" s="5">
        <f>F12-E12</f>
        <v>206</v>
      </c>
      <c r="G15" s="5" t="s">
        <v>44</v>
      </c>
      <c r="H15" s="21">
        <f>H12-F12</f>
        <v>86.73000000000002</v>
      </c>
      <c r="I15" s="13"/>
    </row>
    <row r="16">
      <c r="A16" s="1"/>
      <c r="B16" s="15" t="s">
        <v>178</v>
      </c>
      <c r="C16" s="11" t="s">
        <v>44</v>
      </c>
      <c r="D16" s="11" t="s">
        <v>44</v>
      </c>
      <c r="E16" s="11" t="s">
        <v>44</v>
      </c>
      <c r="F16" s="11" t="s">
        <v>44</v>
      </c>
      <c r="G16" s="11" t="s">
        <v>44</v>
      </c>
      <c r="H16" s="50" t="s">
        <v>44</v>
      </c>
      <c r="I16" s="13" t="s">
        <v>124</v>
      </c>
    </row>
    <row r="17">
      <c r="A17" s="1"/>
      <c r="B17" s="15" t="s">
        <v>179</v>
      </c>
      <c r="C17" s="11" t="s">
        <v>44</v>
      </c>
      <c r="D17" s="11" t="s">
        <v>44</v>
      </c>
      <c r="E17" s="11" t="s">
        <v>44</v>
      </c>
      <c r="F17" s="11" t="s">
        <v>44</v>
      </c>
      <c r="G17" s="11" t="s">
        <v>44</v>
      </c>
      <c r="H17" s="50" t="s">
        <v>44</v>
      </c>
      <c r="I17" s="13" t="s">
        <v>125</v>
      </c>
    </row>
    <row r="18" ht="24">
      <c r="A18" s="1"/>
      <c r="B18" s="57" t="s">
        <v>180</v>
      </c>
      <c r="C18" s="11" t="s">
        <v>44</v>
      </c>
      <c r="D18" s="11" t="s">
        <v>44</v>
      </c>
      <c r="E18" s="11" t="s">
        <v>44</v>
      </c>
      <c r="F18" s="11" t="s">
        <v>44</v>
      </c>
      <c r="G18" s="11" t="s">
        <v>44</v>
      </c>
      <c r="H18" s="50" t="s">
        <v>44</v>
      </c>
      <c r="I18" s="13" t="s">
        <v>126</v>
      </c>
    </row>
    <row r="19">
      <c r="A19" s="1"/>
      <c r="B19" s="1" t="s">
        <v>152</v>
      </c>
      <c r="C19" s="9">
        <v>1008</v>
      </c>
      <c r="D19" s="9">
        <v>1200</v>
      </c>
      <c r="E19" s="9">
        <v>1206</v>
      </c>
      <c r="F19" s="9">
        <v>1259</v>
      </c>
      <c r="G19" s="22">
        <f>E104+F104+C19+D19</f>
        <v>3564</v>
      </c>
      <c r="H19" s="37">
        <f>F19*(1+H20)</f>
        <v>1303.0649999999998</v>
      </c>
      <c r="I19" s="13"/>
    </row>
    <row r="20" ht="24">
      <c r="A20" s="1"/>
      <c r="B20" s="57" t="s">
        <v>175</v>
      </c>
      <c r="C20" s="11">
        <f>IFERROR(C19/F104-1,"n/a")</f>
        <v>0.47153284671532836</v>
      </c>
      <c r="D20" s="11">
        <f>IFERROR(D19/C19-1,"n/a")</f>
        <v>0.19047619047619047</v>
      </c>
      <c r="E20" s="11">
        <f>IFERROR(E19/D19-1,"n/a")</f>
        <v>0.004999999999999893</v>
      </c>
      <c r="F20" s="11">
        <f>IFERROR(F19/E19-1,"n/a")</f>
        <v>0.043946932006633466</v>
      </c>
      <c r="G20" s="11" t="s">
        <v>44</v>
      </c>
      <c r="H20" s="66">
        <v>0.035</v>
      </c>
      <c r="I20" s="13" t="s">
        <v>274</v>
      </c>
    </row>
    <row r="21">
      <c r="A21" s="1"/>
      <c r="B21" s="15" t="s">
        <v>177</v>
      </c>
      <c r="C21" s="11">
        <f>IFERROR(C19/C104-1,"n/a")</f>
        <v>0.5342465753424657</v>
      </c>
      <c r="D21" s="11">
        <f>IFERROR(D19/D104-1,"n/a")</f>
        <v>0.8575851393188854</v>
      </c>
      <c r="E21" s="11">
        <f>IFERROR(E19/E104-1,"n/a")</f>
        <v>0.7973174366616989</v>
      </c>
      <c r="F21" s="11">
        <f>IFERROR(F19/F104-1,"n/a")</f>
        <v>0.8379562043795621</v>
      </c>
      <c r="G21" s="11" t="s">
        <v>44</v>
      </c>
      <c r="H21" s="50">
        <f>IFERROR(H19/H104-1,"n/a")</f>
        <v>0.29272321428571413</v>
      </c>
      <c r="I21" s="13" t="s">
        <v>204</v>
      </c>
    </row>
    <row r="22">
      <c r="A22" s="1"/>
      <c r="B22" s="15" t="s">
        <v>131</v>
      </c>
      <c r="C22" s="5">
        <f>C19-F104</f>
        <v>323</v>
      </c>
      <c r="D22" s="5">
        <f>D19-C19</f>
        <v>192</v>
      </c>
      <c r="E22" s="5">
        <f>E19-D19</f>
        <v>6</v>
      </c>
      <c r="F22" s="5">
        <f>F19-E19</f>
        <v>53</v>
      </c>
      <c r="G22" s="5" t="s">
        <v>44</v>
      </c>
      <c r="H22" s="21">
        <f>H19-F19</f>
        <v>44.06499999999983</v>
      </c>
      <c r="I22" s="13"/>
    </row>
    <row r="23">
      <c r="A23" s="1"/>
      <c r="B23" s="15" t="s">
        <v>178</v>
      </c>
      <c r="C23" s="11" t="s">
        <v>44</v>
      </c>
      <c r="D23" s="11" t="s">
        <v>44</v>
      </c>
      <c r="E23" s="11" t="s">
        <v>44</v>
      </c>
      <c r="F23" s="11" t="s">
        <v>44</v>
      </c>
      <c r="G23" s="11" t="s">
        <v>44</v>
      </c>
      <c r="H23" s="50" t="s">
        <v>44</v>
      </c>
      <c r="I23" s="13" t="s">
        <v>124</v>
      </c>
    </row>
    <row r="24">
      <c r="A24" s="1"/>
      <c r="B24" s="15" t="s">
        <v>179</v>
      </c>
      <c r="C24" s="11" t="s">
        <v>44</v>
      </c>
      <c r="D24" s="11" t="s">
        <v>44</v>
      </c>
      <c r="E24" s="11" t="s">
        <v>44</v>
      </c>
      <c r="F24" s="11" t="s">
        <v>44</v>
      </c>
      <c r="G24" s="11" t="s">
        <v>44</v>
      </c>
      <c r="H24" s="50" t="s">
        <v>44</v>
      </c>
      <c r="I24" s="13" t="s">
        <v>125</v>
      </c>
    </row>
    <row r="25" ht="24">
      <c r="A25" s="1"/>
      <c r="B25" s="57" t="s">
        <v>180</v>
      </c>
      <c r="C25" s="11" t="s">
        <v>44</v>
      </c>
      <c r="D25" s="11" t="s">
        <v>44</v>
      </c>
      <c r="E25" s="11" t="s">
        <v>44</v>
      </c>
      <c r="F25" s="11" t="s">
        <v>44</v>
      </c>
      <c r="G25" s="11" t="s">
        <v>44</v>
      </c>
      <c r="H25" s="50" t="s">
        <v>44</v>
      </c>
      <c r="I25" s="13" t="s">
        <v>126</v>
      </c>
    </row>
    <row r="26">
      <c r="A26" s="1"/>
      <c r="B26" s="1" t="s">
        <v>205</v>
      </c>
      <c r="C26" s="9">
        <v>26</v>
      </c>
      <c r="D26" s="9">
        <v>25</v>
      </c>
      <c r="E26" s="9">
        <v>30</v>
      </c>
      <c r="F26" s="9">
        <v>34</v>
      </c>
      <c r="G26" s="22">
        <f>E105+F105+C26+D26</f>
        <v>59</v>
      </c>
      <c r="H26" s="8">
        <v>34</v>
      </c>
      <c r="I26" s="13" t="s">
        <v>275</v>
      </c>
    </row>
    <row r="27">
      <c r="A27" s="1"/>
      <c r="B27" s="15" t="s">
        <v>177</v>
      </c>
      <c r="C27" s="11" t="s">
        <v>44</v>
      </c>
      <c r="D27" s="11" t="s">
        <v>44</v>
      </c>
      <c r="E27" s="11" t="s">
        <v>44</v>
      </c>
      <c r="F27" s="11" t="s">
        <v>44</v>
      </c>
      <c r="G27" s="11" t="s">
        <v>44</v>
      </c>
      <c r="H27" s="50" t="s">
        <v>44</v>
      </c>
      <c r="I27" s="13" t="s">
        <v>121</v>
      </c>
    </row>
    <row r="28">
      <c r="A28" s="1"/>
      <c r="B28" s="15" t="s">
        <v>131</v>
      </c>
      <c r="C28" s="5">
        <f>C26-F105</f>
        <v>22</v>
      </c>
      <c r="D28" s="5">
        <f>D26-C26</f>
        <v>-1</v>
      </c>
      <c r="E28" s="5">
        <f>E26-D26</f>
        <v>5</v>
      </c>
      <c r="F28" s="5">
        <f>F26-E26</f>
        <v>4</v>
      </c>
      <c r="G28" s="5" t="s">
        <v>44</v>
      </c>
      <c r="H28" s="21">
        <f>H26-F26</f>
        <v>0</v>
      </c>
      <c r="I28" s="13"/>
    </row>
    <row r="29">
      <c r="A29" s="1"/>
      <c r="B29" s="15" t="s">
        <v>178</v>
      </c>
      <c r="C29" s="11" t="s">
        <v>44</v>
      </c>
      <c r="D29" s="11" t="s">
        <v>44</v>
      </c>
      <c r="E29" s="11" t="s">
        <v>44</v>
      </c>
      <c r="F29" s="11" t="s">
        <v>44</v>
      </c>
      <c r="G29" s="11" t="s">
        <v>44</v>
      </c>
      <c r="H29" s="50" t="s">
        <v>44</v>
      </c>
      <c r="I29" s="13" t="s">
        <v>124</v>
      </c>
    </row>
    <row r="30">
      <c r="A30" s="1"/>
      <c r="B30" s="15" t="s">
        <v>179</v>
      </c>
      <c r="C30" s="11" t="s">
        <v>44</v>
      </c>
      <c r="D30" s="11" t="s">
        <v>44</v>
      </c>
      <c r="E30" s="11" t="s">
        <v>44</v>
      </c>
      <c r="F30" s="11" t="s">
        <v>44</v>
      </c>
      <c r="G30" s="11" t="s">
        <v>44</v>
      </c>
      <c r="H30" s="50" t="s">
        <v>44</v>
      </c>
      <c r="I30" s="13" t="s">
        <v>125</v>
      </c>
    </row>
    <row r="31" ht="24">
      <c r="A31" s="1"/>
      <c r="B31" s="57" t="s">
        <v>180</v>
      </c>
      <c r="C31" s="11" t="s">
        <v>44</v>
      </c>
      <c r="D31" s="11" t="s">
        <v>44</v>
      </c>
      <c r="E31" s="11" t="s">
        <v>44</v>
      </c>
      <c r="F31" s="11" t="s">
        <v>44</v>
      </c>
      <c r="G31" s="11" t="s">
        <v>44</v>
      </c>
      <c r="H31" s="50" t="s">
        <v>44</v>
      </c>
      <c r="I31" s="13" t="s">
        <v>126</v>
      </c>
    </row>
    <row r="32">
      <c r="A32" s="1"/>
      <c r="B32" s="45" t="s">
        <v>256</v>
      </c>
      <c r="C32" s="29">
        <f>C12+C19+C26</f>
        <v>3474</v>
      </c>
      <c r="D32" s="29">
        <f>D12+D19+D26</f>
        <v>4078</v>
      </c>
      <c r="E32" s="29">
        <f>E12+E19+E26</f>
        <v>3508</v>
      </c>
      <c r="F32" s="29">
        <f>F12+F19+F26</f>
        <v>3771</v>
      </c>
      <c r="G32" s="29">
        <f>G12+G19+G26</f>
        <v>13325</v>
      </c>
      <c r="H32" s="47">
        <f>H12+H19+H26</f>
        <v>3901.795</v>
      </c>
      <c r="I32" s="13"/>
    </row>
    <row r="33">
      <c r="A33" s="1"/>
      <c r="B33" s="15" t="s">
        <v>102</v>
      </c>
      <c r="C33" s="11">
        <f>IFERROR(C32/C106-1,"n/a")</f>
        <v>0.1438919986829108</v>
      </c>
      <c r="D33" s="11">
        <f>IFERROR(D32/D106-1,"n/a")</f>
        <v>0.3041253597697473</v>
      </c>
      <c r="E33" s="11">
        <f>IFERROR(E32/E106-1,"n/a")</f>
        <v>0.23477648715241117</v>
      </c>
      <c r="F33" s="11">
        <f>IFERROR(F32/F106-1,"n/a")</f>
        <v>0.2861527967257844</v>
      </c>
      <c r="G33" s="11">
        <f>IFERROR(G32/G106-1,"n/a")</f>
        <v>0.11646418098030997</v>
      </c>
      <c r="H33" s="50">
        <f>IFERROR(H32/H106-1,"n/a")</f>
        <v>0.12314191134139318</v>
      </c>
      <c r="I33" s="13"/>
    </row>
    <row r="34">
      <c r="A34" s="1"/>
      <c r="B34" s="15" t="s">
        <v>123</v>
      </c>
      <c r="C34" s="5">
        <f>C32-F106</f>
        <v>542</v>
      </c>
      <c r="D34" s="5">
        <f>D32-C32</f>
        <v>604</v>
      </c>
      <c r="E34" s="5">
        <f>E32-D32</f>
        <v>-570</v>
      </c>
      <c r="F34" s="5">
        <f>F32-E32</f>
        <v>263</v>
      </c>
      <c r="G34" s="5" t="s">
        <v>44</v>
      </c>
      <c r="H34" s="21">
        <f>H32-F32</f>
        <v>130.79500000000007</v>
      </c>
      <c r="I34" s="13"/>
    </row>
    <row r="35">
      <c r="A35" s="1"/>
      <c r="B35" s="15" t="s">
        <v>103</v>
      </c>
      <c r="C35" s="11">
        <f>IFERROR(C32/F106-1,"n/a")</f>
        <v>0.18485675306957705</v>
      </c>
      <c r="D35" s="11">
        <f>IFERROR(D32/C32-1,"n/a")</f>
        <v>0.17386298215313767</v>
      </c>
      <c r="E35" s="11">
        <f>IFERROR(E32/D32-1,"n/a")</f>
        <v>-0.13977439921530166</v>
      </c>
      <c r="F35" s="11">
        <f>IFERROR(F32/E32-1,"n/a")</f>
        <v>0.07497149372862033</v>
      </c>
      <c r="G35" s="11" t="s">
        <v>44</v>
      </c>
      <c r="H35" s="50">
        <f>IFERROR(H32/F32-1,"n/a")</f>
        <v>0.03468443383717856</v>
      </c>
      <c r="I35" s="13"/>
    </row>
    <row r="36">
      <c r="A36" s="1"/>
      <c r="B36" s="1" t="s">
        <v>257</v>
      </c>
      <c r="C36" s="9">
        <v>575</v>
      </c>
      <c r="D36" s="9">
        <v>874</v>
      </c>
      <c r="E36" s="9">
        <v>833</v>
      </c>
      <c r="F36" s="9">
        <v>865</v>
      </c>
      <c r="G36" s="22">
        <f>E107+F107+C36+D36</f>
        <v>1449</v>
      </c>
      <c r="H36" s="8">
        <v>880</v>
      </c>
      <c r="I36" s="13" t="s">
        <v>276</v>
      </c>
    </row>
    <row r="37">
      <c r="A37" s="1"/>
      <c r="B37" s="15" t="s">
        <v>130</v>
      </c>
      <c r="C37" s="5">
        <f>C36-C107</f>
        <v>575</v>
      </c>
      <c r="D37" s="5">
        <f>D36-D107</f>
        <v>874</v>
      </c>
      <c r="E37" s="5">
        <f>E36-E107</f>
        <v>833</v>
      </c>
      <c r="F37" s="5">
        <f>F36-F107</f>
        <v>865</v>
      </c>
      <c r="G37" s="5">
        <f>G36-G107</f>
        <v>1449</v>
      </c>
      <c r="H37" s="21">
        <f>H36-H107</f>
        <v>305</v>
      </c>
      <c r="I37" s="13"/>
    </row>
    <row r="38">
      <c r="A38" s="1"/>
      <c r="B38" s="15" t="s">
        <v>131</v>
      </c>
      <c r="C38" s="5">
        <f>C36-F107</f>
        <v>575</v>
      </c>
      <c r="D38" s="5">
        <f>D36-C36</f>
        <v>299</v>
      </c>
      <c r="E38" s="5">
        <f>E36-D36</f>
        <v>-41</v>
      </c>
      <c r="F38" s="5">
        <f>F36-E36</f>
        <v>32</v>
      </c>
      <c r="G38" s="5" t="s">
        <v>44</v>
      </c>
      <c r="H38" s="21">
        <f>H36-F36</f>
        <v>15</v>
      </c>
      <c r="I38" s="13"/>
    </row>
    <row r="39" ht="34.5">
      <c r="A39" s="1"/>
      <c r="B39" s="57" t="s">
        <v>133</v>
      </c>
      <c r="C39" s="11">
        <f>IFERROR((C32-C36)/(C106-C107)-1,"n/a")</f>
        <v>-0.045439578531445535</v>
      </c>
      <c r="D39" s="11">
        <f>IFERROR((D32-D36)/(D106-D107)-1,"n/a")</f>
        <v>0.0246242404860888</v>
      </c>
      <c r="E39" s="11">
        <f>IFERROR((E32-E36)/(E106-E107)-1,"n/a")</f>
        <v>-0.058430130235832434</v>
      </c>
      <c r="F39" s="11">
        <f>IFERROR((F32-F36)/(F106-F107)-1,"n/a")</f>
        <v>-0.008867667121418843</v>
      </c>
      <c r="G39" s="11">
        <f>IFERROR((G32-G36)/(G106-G107)-1,"n/a")</f>
        <v>-0.004943443653121049</v>
      </c>
      <c r="H39" s="50">
        <f>IFERROR((H32-H36)/(H106-H107)-1,"n/a")</f>
        <v>0.04235770955501894</v>
      </c>
      <c r="I39" s="13" t="s">
        <v>134</v>
      </c>
    </row>
    <row r="40" ht="24">
      <c r="A40" s="1"/>
      <c r="B40" s="57" t="s">
        <v>135</v>
      </c>
      <c r="C40" s="11">
        <f>IFERROR((1+C33)/(1+C39)-1,"n/a")</f>
        <v>0.19834425664022093</v>
      </c>
      <c r="D40" s="11">
        <f>IFERROR((1+D33)/(1+D39)-1,"n/a")</f>
        <v>0.2727840199750313</v>
      </c>
      <c r="E40" s="11">
        <f>IFERROR((1+E33)/(1+E39)-1,"n/a")</f>
        <v>0.31140186915887846</v>
      </c>
      <c r="F40" s="11">
        <f>IFERROR((1+F33)/(1+F39)-1,"n/a")</f>
        <v>0.2976600137646248</v>
      </c>
      <c r="G40" s="11">
        <f>IFERROR((1+G33)/(1+G39)-1,"n/a")</f>
        <v>0.12201077803974392</v>
      </c>
      <c r="H40" s="50">
        <f>IFERROR((1+H33)/(1+H39)-1,"n/a")</f>
        <v>0.0775014191825385</v>
      </c>
      <c r="I40" s="13" t="s">
        <v>136</v>
      </c>
    </row>
    <row r="41">
      <c r="A41" s="1"/>
      <c r="B41" s="15" t="s">
        <v>107</v>
      </c>
      <c r="C41" s="11" t="s">
        <v>44</v>
      </c>
      <c r="D41" s="11" t="s">
        <v>44</v>
      </c>
      <c r="E41" s="11" t="s">
        <v>44</v>
      </c>
      <c r="F41" s="11" t="s">
        <v>44</v>
      </c>
      <c r="G41" s="11" t="s">
        <v>44</v>
      </c>
      <c r="H41" s="50" t="s">
        <v>44</v>
      </c>
      <c r="I41" s="13" t="s">
        <v>125</v>
      </c>
    </row>
    <row r="42" ht="34.5">
      <c r="A42" s="1"/>
      <c r="B42" s="57" t="s">
        <v>137</v>
      </c>
      <c r="C42" s="11" t="s">
        <v>44</v>
      </c>
      <c r="D42" s="11" t="s">
        <v>44</v>
      </c>
      <c r="E42" s="11" t="s">
        <v>44</v>
      </c>
      <c r="F42" s="11" t="s">
        <v>44</v>
      </c>
      <c r="G42" s="11" t="s">
        <v>44</v>
      </c>
      <c r="H42" s="50" t="s">
        <v>44</v>
      </c>
      <c r="I42" s="13" t="s">
        <v>138</v>
      </c>
    </row>
    <row r="43" ht="24">
      <c r="A43" s="1"/>
      <c r="B43" s="4" t="s">
        <v>259</v>
      </c>
      <c r="C43" s="22">
        <f>C12-F103</f>
        <v>197</v>
      </c>
      <c r="D43" s="22">
        <f>D12-C12</f>
        <v>413</v>
      </c>
      <c r="E43" s="22">
        <f>E12-D12</f>
        <v>-581</v>
      </c>
      <c r="F43" s="22">
        <f>F12-E12</f>
        <v>206</v>
      </c>
      <c r="G43" s="22" t="s">
        <v>44</v>
      </c>
      <c r="H43" s="37">
        <f>H12-F12</f>
        <v>86.73000000000002</v>
      </c>
      <c r="I43" s="13"/>
    </row>
    <row r="44" ht="24">
      <c r="A44" s="1"/>
      <c r="B44" s="4" t="s">
        <v>260</v>
      </c>
      <c r="C44" s="22">
        <f>C19-F104</f>
        <v>323</v>
      </c>
      <c r="D44" s="22">
        <f>D19-C19</f>
        <v>192</v>
      </c>
      <c r="E44" s="22">
        <f>E19-D19</f>
        <v>6</v>
      </c>
      <c r="F44" s="22">
        <f>F19-E19</f>
        <v>53</v>
      </c>
      <c r="G44" s="22" t="s">
        <v>44</v>
      </c>
      <c r="H44" s="37">
        <f>H19-F19</f>
        <v>44.06499999999983</v>
      </c>
      <c r="I44" s="13"/>
    </row>
    <row r="45">
      <c r="A45" s="1"/>
      <c r="B45" s="1" t="s">
        <v>261</v>
      </c>
      <c r="C45" s="22">
        <f>C26-F105</f>
        <v>22</v>
      </c>
      <c r="D45" s="22">
        <f>D26-C26</f>
        <v>-1</v>
      </c>
      <c r="E45" s="22">
        <f>E26-D26</f>
        <v>5</v>
      </c>
      <c r="F45" s="22">
        <f>F26-E26</f>
        <v>4</v>
      </c>
      <c r="G45" s="22" t="s">
        <v>44</v>
      </c>
      <c r="H45" s="37">
        <f>H26-F26</f>
        <v>0</v>
      </c>
      <c r="I45" s="13"/>
    </row>
    <row r="46" ht="24">
      <c r="A46" s="1"/>
      <c r="B46" s="26" t="s">
        <v>194</v>
      </c>
      <c r="C46" s="29">
        <f>C11+C43+C44+C45</f>
        <v>3474</v>
      </c>
      <c r="D46" s="29">
        <f>D11+D43+D44+D45</f>
        <v>4078</v>
      </c>
      <c r="E46" s="29">
        <f>E11+E43+E44+E45</f>
        <v>3508</v>
      </c>
      <c r="F46" s="29">
        <f>F11+F43+F44+F45</f>
        <v>3771</v>
      </c>
      <c r="G46" s="29" t="s">
        <v>44</v>
      </c>
      <c r="H46" s="47">
        <f>H11+H43+H44+H45</f>
        <v>3901.795</v>
      </c>
      <c r="I46" s="13"/>
    </row>
    <row r="47" ht="24">
      <c r="A47" s="1"/>
      <c r="B47" s="4" t="s">
        <v>195</v>
      </c>
      <c r="C47" s="38" t="b">
        <f>ROUND(C46-C32,6)=0</f>
        <v>1</v>
      </c>
      <c r="D47" s="38" t="b">
        <f>ROUND(D46-D32,6)=0</f>
        <v>1</v>
      </c>
      <c r="E47" s="38" t="b">
        <f>ROUND(E46-E32,6)=0</f>
        <v>1</v>
      </c>
      <c r="F47" s="38" t="b">
        <f>ROUND(F46-F32,6)=0</f>
        <v>1</v>
      </c>
      <c r="G47" s="38" t="s">
        <v>44</v>
      </c>
      <c r="H47" s="68" t="b">
        <f>ROUND(H46-H32,6)=0</f>
        <v>1</v>
      </c>
      <c r="I47" s="13"/>
    </row>
    <row r="48" ht="24">
      <c r="A48" s="1"/>
      <c r="B48" s="4" t="s">
        <v>262</v>
      </c>
      <c r="C48" s="9">
        <v>3474</v>
      </c>
      <c r="D48" s="9">
        <v>4078</v>
      </c>
      <c r="E48" s="9">
        <v>3508</v>
      </c>
      <c r="F48" s="9">
        <v>3771</v>
      </c>
      <c r="G48" s="9">
        <v>13325</v>
      </c>
      <c r="H48" s="37" t="s">
        <v>44</v>
      </c>
      <c r="I48" s="13" t="s">
        <v>143</v>
      </c>
    </row>
    <row r="49">
      <c r="A49" s="1"/>
      <c r="B49" s="15" t="s">
        <v>144</v>
      </c>
      <c r="C49" s="5">
        <f>C32-C48</f>
        <v>0</v>
      </c>
      <c r="D49" s="5">
        <f>D32-D48</f>
        <v>0</v>
      </c>
      <c r="E49" s="5">
        <f>E32-E48</f>
        <v>0</v>
      </c>
      <c r="F49" s="5">
        <f>F32-F48</f>
        <v>0</v>
      </c>
      <c r="G49" s="5">
        <f>G32-G48</f>
        <v>0</v>
      </c>
      <c r="H49" s="21" t="s">
        <v>44</v>
      </c>
      <c r="I49" s="13"/>
    </row>
    <row r="50">
      <c r="A50" s="1"/>
      <c r="B50" s="15" t="s">
        <v>197</v>
      </c>
      <c r="C50" s="60">
        <f>C32/'Revenue summary'!C63</f>
        <v>0.38911290322580644</v>
      </c>
      <c r="D50" s="60">
        <f>D32/'Revenue summary'!D63</f>
        <v>0.4184710107747563</v>
      </c>
      <c r="E50" s="60">
        <f>E32/'Revenue summary'!E63</f>
        <v>0.4022474486870772</v>
      </c>
      <c r="F50" s="60">
        <f>F32/'Revenue summary'!F63</f>
        <v>0.4203076237182345</v>
      </c>
      <c r="G50" s="60">
        <f>G32/'Revenue summary'!G63</f>
        <v>0.3731552269735921</v>
      </c>
      <c r="H50" s="70">
        <f>H32/'Revenue summary'!H63</f>
        <v>0.42099614346473047</v>
      </c>
      <c r="I50" s="13"/>
    </row>
    <row r="51">
      <c r="A51" s="1"/>
      <c r="B51" s="41" t="s">
        <v>220</v>
      </c>
      <c r="C51" s="1"/>
      <c r="D51" s="1"/>
      <c r="E51" s="1"/>
      <c r="F51" s="1"/>
      <c r="G51" s="1"/>
      <c r="H51" s="53"/>
      <c r="I51" s="13"/>
    </row>
    <row r="52">
      <c r="A52" s="1"/>
      <c r="B52" s="45" t="s">
        <v>221</v>
      </c>
      <c r="C52" s="62">
        <v>559</v>
      </c>
      <c r="D52" s="62">
        <v>664</v>
      </c>
      <c r="E52" s="62">
        <v>497</v>
      </c>
      <c r="F52" s="62">
        <v>586</v>
      </c>
      <c r="G52" s="29">
        <f>E108+F108+C52+D52</f>
        <v>2185</v>
      </c>
      <c r="H52" s="47">
        <f>H32*H53</f>
        <v>624.2872</v>
      </c>
      <c r="I52" s="13"/>
    </row>
    <row r="53" ht="24">
      <c r="A53" s="1"/>
      <c r="B53" s="57" t="s">
        <v>222</v>
      </c>
      <c r="C53" s="11">
        <f>IFERROR(C52/C32,"n/a")</f>
        <v>0.16090961427748993</v>
      </c>
      <c r="D53" s="11">
        <f>IFERROR(D52/D32,"n/a")</f>
        <v>0.16282491417361453</v>
      </c>
      <c r="E53" s="11">
        <f>IFERROR(E52/E32,"n/a")</f>
        <v>0.14167616875712657</v>
      </c>
      <c r="F53" s="11">
        <f>IFERROR(F52/F32,"n/a")</f>
        <v>0.15539644656589763</v>
      </c>
      <c r="G53" s="11">
        <f>IFERROR(G52/G32,"n/a")</f>
        <v>0.16397748592870545</v>
      </c>
      <c r="H53" s="66">
        <v>0.16</v>
      </c>
      <c r="I53" s="13" t="s">
        <v>277</v>
      </c>
    </row>
    <row r="54">
      <c r="A54" s="1"/>
      <c r="B54" s="15" t="s">
        <v>119</v>
      </c>
      <c r="C54" s="40">
        <f>IFERROR((C53-C109)*10000,"n/a")</f>
        <v>-96.5344136953017</v>
      </c>
      <c r="D54" s="40">
        <f>IFERROR((D53-D109)*10000,"n/a")</f>
        <v>0.490907006372443</v>
      </c>
      <c r="E54" s="40">
        <f>IFERROR((E53-E109)*10000,"n/a")</f>
        <v>-241.10526068639004</v>
      </c>
      <c r="F54" s="40">
        <f>IFERROR((F53-F109)*10000,"n/a")</f>
        <v>-120.66036380896372</v>
      </c>
      <c r="G54" s="40">
        <f>IFERROR((G53-G109)*10000,"n/a")</f>
        <v>47.81842862094654</v>
      </c>
      <c r="H54" s="56">
        <f>IFERROR((H53-H109)*10000,"n/a")</f>
        <v>-9.09614277489923</v>
      </c>
      <c r="I54" s="13"/>
    </row>
    <row r="55">
      <c r="A55" s="1"/>
      <c r="B55" s="15" t="s">
        <v>120</v>
      </c>
      <c r="C55" s="40">
        <f>IFERROR((C53-F109)*10000,"n/a")</f>
        <v>-65.52868669304074</v>
      </c>
      <c r="D55" s="40">
        <f>IFERROR((D53-C53)*10000,"n/a")</f>
        <v>19.152998961246006</v>
      </c>
      <c r="E55" s="40">
        <f>IFERROR((E53-D53)*10000,"n/a")</f>
        <v>-211.48745416487952</v>
      </c>
      <c r="F55" s="40">
        <f>IFERROR((F53-E53)*10000,"n/a")</f>
        <v>137.20277808771053</v>
      </c>
      <c r="G55" s="40" t="s">
        <v>44</v>
      </c>
      <c r="H55" s="56">
        <f>IFERROR((H53-F53)*10000,"n/a")</f>
        <v>46.035534341023755</v>
      </c>
      <c r="I55" s="13"/>
    </row>
    <row r="56">
      <c r="A56" s="1"/>
      <c r="B56" s="15" t="s">
        <v>102</v>
      </c>
      <c r="C56" s="11">
        <f>IFERROR(C52/C108-1,"n/a")</f>
        <v>0.0791505791505791</v>
      </c>
      <c r="D56" s="11">
        <f>IFERROR(D52/D108-1,"n/a")</f>
        <v>0.30451866404715133</v>
      </c>
      <c r="E56" s="11">
        <f>IFERROR(E52/E108-1,"n/a")</f>
        <v>0.05520169851380041</v>
      </c>
      <c r="F56" s="11">
        <f>IFERROR(F52/F108-1,"n/a")</f>
        <v>0.19348268839103877</v>
      </c>
      <c r="G56" s="11">
        <f>IFERROR(G52/G108-1,"n/a")</f>
        <v>0.1499999999999999</v>
      </c>
      <c r="H56" s="50">
        <f>IFERROR(H52/H108-1,"n/a")</f>
        <v>0.11679284436493731</v>
      </c>
      <c r="I56" s="13"/>
    </row>
    <row r="57">
      <c r="A57" s="1"/>
      <c r="B57" s="15" t="s">
        <v>123</v>
      </c>
      <c r="C57" s="5">
        <f>C52-F108</f>
        <v>68</v>
      </c>
      <c r="D57" s="5">
        <f>D52-C52</f>
        <v>105</v>
      </c>
      <c r="E57" s="5">
        <f>E52-D52</f>
        <v>-167</v>
      </c>
      <c r="F57" s="5">
        <f>F52-E52</f>
        <v>89</v>
      </c>
      <c r="G57" s="5" t="s">
        <v>44</v>
      </c>
      <c r="H57" s="21">
        <f>H52-F52</f>
        <v>38.287199999999984</v>
      </c>
      <c r="I57" s="13"/>
    </row>
    <row r="58" ht="24">
      <c r="A58" s="1"/>
      <c r="B58" s="57" t="s">
        <v>224</v>
      </c>
      <c r="C58" s="11">
        <f>IFERROR((C52-F108)/(C32-F106),"n/a")</f>
        <v>0.12546125461254612</v>
      </c>
      <c r="D58" s="11">
        <f>IFERROR((D52-C52)/(D32-C32),"n/a")</f>
        <v>0.173841059602649</v>
      </c>
      <c r="E58" s="11">
        <f>IFERROR((E52-D52)/(E32-D32),"n/a")</f>
        <v>0.2929824561403509</v>
      </c>
      <c r="F58" s="11">
        <f>IFERROR((F52-E52)/(F32-E32),"n/a")</f>
        <v>0.33840304182509506</v>
      </c>
      <c r="G58" s="11" t="s">
        <v>44</v>
      </c>
      <c r="H58" s="50">
        <f>IFERROR((H52-F52)/(H32-F32),"n/a")</f>
        <v>0.29272678619213244</v>
      </c>
      <c r="I58" s="13"/>
    </row>
    <row r="59">
      <c r="A59" s="1"/>
      <c r="B59" s="1" t="s">
        <v>225</v>
      </c>
      <c r="C59" s="9">
        <v>131</v>
      </c>
      <c r="D59" s="9">
        <v>151</v>
      </c>
      <c r="E59" s="9">
        <v>152</v>
      </c>
      <c r="F59" s="9">
        <v>152</v>
      </c>
      <c r="G59" s="22">
        <f>E110+F110+C59+D59</f>
        <v>463</v>
      </c>
      <c r="H59" s="8">
        <v>153</v>
      </c>
      <c r="I59" s="13" t="s">
        <v>278</v>
      </c>
    </row>
    <row r="60">
      <c r="A60" s="1"/>
      <c r="B60" s="15" t="s">
        <v>102</v>
      </c>
      <c r="C60" s="11">
        <f>IFERROR(C59/C110-1,"n/a")</f>
        <v>0.423913043478261</v>
      </c>
      <c r="D60" s="11" t="s">
        <v>44</v>
      </c>
      <c r="E60" s="11">
        <f>IFERROR(E59/E110-1,"n/a")</f>
        <v>0.6888888888888889</v>
      </c>
      <c r="F60" s="11">
        <f>IFERROR(F59/F110-1,"n/a")</f>
        <v>0.6703296703296704</v>
      </c>
      <c r="G60" s="11">
        <f>IFERROR(G59/G110-1,"n/a")</f>
        <v>0.33429394812680124</v>
      </c>
      <c r="H60" s="50">
        <f>IFERROR(H59/H110-1,"n/a")</f>
        <v>0.16793893129770998</v>
      </c>
      <c r="I60" s="13" t="s">
        <v>204</v>
      </c>
    </row>
    <row r="61">
      <c r="A61" s="1"/>
      <c r="B61" s="15" t="s">
        <v>123</v>
      </c>
      <c r="C61" s="5">
        <f>C59-F110</f>
        <v>40</v>
      </c>
      <c r="D61" s="5">
        <f>D59-C59</f>
        <v>20</v>
      </c>
      <c r="E61" s="5">
        <f>E59-D59</f>
        <v>1</v>
      </c>
      <c r="F61" s="5">
        <f>F59-E59</f>
        <v>0</v>
      </c>
      <c r="G61" s="5" t="s">
        <v>44</v>
      </c>
      <c r="H61" s="21">
        <f>H59-F59</f>
        <v>1</v>
      </c>
      <c r="I61" s="13"/>
    </row>
    <row r="62">
      <c r="A62" s="1"/>
      <c r="B62" s="15" t="s">
        <v>227</v>
      </c>
      <c r="C62" s="11">
        <f>IFERROR(C59/C32,"n/a")</f>
        <v>0.03770869314910766</v>
      </c>
      <c r="D62" s="11">
        <f>IFERROR(D59/D32,"n/a")</f>
        <v>0.03702795487984306</v>
      </c>
      <c r="E62" s="11">
        <f>IFERROR(E59/E32,"n/a")</f>
        <v>0.043329532497149374</v>
      </c>
      <c r="F62" s="11">
        <f>IFERROR(F59/F32,"n/a")</f>
        <v>0.04030761071333864</v>
      </c>
      <c r="G62" s="11">
        <f>IFERROR(G59/G32,"n/a")</f>
        <v>0.03474671669793621</v>
      </c>
      <c r="H62" s="50">
        <f>IFERROR(H59/H32,"n/a")</f>
        <v>0.03921272132441607</v>
      </c>
      <c r="I62" s="13"/>
    </row>
    <row r="63">
      <c r="A63" s="1"/>
      <c r="B63" s="15" t="s">
        <v>119</v>
      </c>
      <c r="C63" s="40">
        <f>IFERROR((C62-C111)*10000,"n/a")</f>
        <v>74.15640794810656</v>
      </c>
      <c r="D63" s="40" t="s">
        <v>44</v>
      </c>
      <c r="E63" s="40">
        <f>IFERROR((E62-E111)*10000,"n/a")</f>
        <v>116.50546224710095</v>
      </c>
      <c r="F63" s="40">
        <f>IFERROR((F62-F111)*10000,"n/a")</f>
        <v>92.70775788372744</v>
      </c>
      <c r="G63" s="40">
        <f>IFERROR((G62-G111)*10000,"n/a")</f>
        <v>56.72565043139396</v>
      </c>
      <c r="H63" s="56">
        <f>IFERROR((H62-H111)*10000,"n/a")</f>
        <v>15.04028175308411</v>
      </c>
      <c r="I63" s="13"/>
    </row>
    <row r="64">
      <c r="A64" s="1"/>
      <c r="B64" s="15" t="s">
        <v>120</v>
      </c>
      <c r="C64" s="40">
        <f>IFERROR((C62-F111)*10000,"n/a")</f>
        <v>66.71858224141764</v>
      </c>
      <c r="D64" s="40">
        <f>IFERROR((D62-C62)*10000,"n/a")</f>
        <v>-6.8073826926459695</v>
      </c>
      <c r="E64" s="40">
        <f>IFERROR((E62-D62)*10000,"n/a")</f>
        <v>63.01577617306313</v>
      </c>
      <c r="F64" s="40">
        <f>IFERROR((F62-E62)*10000,"n/a")</f>
        <v>-30.219217838107355</v>
      </c>
      <c r="G64" s="40" t="s">
        <v>44</v>
      </c>
      <c r="H64" s="56">
        <f>IFERROR((H62-F62)*10000,"n/a")</f>
        <v>-10.948893889225694</v>
      </c>
      <c r="I64" s="13"/>
    </row>
    <row r="65" ht="24">
      <c r="A65" s="1"/>
      <c r="B65" s="4" t="s">
        <v>228</v>
      </c>
      <c r="C65" s="9">
        <v>0</v>
      </c>
      <c r="D65" s="9">
        <v>0</v>
      </c>
      <c r="E65" s="9">
        <v>-1</v>
      </c>
      <c r="F65" s="9">
        <v>0</v>
      </c>
      <c r="G65" s="22">
        <f>E112+F112+C65+D65</f>
        <v>0</v>
      </c>
      <c r="H65" s="8">
        <v>0</v>
      </c>
      <c r="I65" s="13" t="s">
        <v>229</v>
      </c>
    </row>
    <row r="66">
      <c r="A66" s="1"/>
      <c r="B66" s="15" t="s">
        <v>122</v>
      </c>
      <c r="C66" s="5">
        <f>C65-C112</f>
        <v>1</v>
      </c>
      <c r="D66" s="5" t="s">
        <v>44</v>
      </c>
      <c r="E66" s="5">
        <f>E65-E112</f>
        <v>-1</v>
      </c>
      <c r="F66" s="5">
        <f>F65-F112</f>
        <v>0</v>
      </c>
      <c r="G66" s="5">
        <f>G65-G112</f>
        <v>4</v>
      </c>
      <c r="H66" s="21">
        <f>H65-H112</f>
        <v>0</v>
      </c>
      <c r="I66" s="13" t="s">
        <v>204</v>
      </c>
    </row>
    <row r="67">
      <c r="A67" s="1"/>
      <c r="B67" s="15" t="s">
        <v>123</v>
      </c>
      <c r="C67" s="5">
        <f>C65-F112</f>
        <v>0</v>
      </c>
      <c r="D67" s="5">
        <f>D65-C65</f>
        <v>0</v>
      </c>
      <c r="E67" s="5">
        <f>E65-D65</f>
        <v>-1</v>
      </c>
      <c r="F67" s="5">
        <f>F65-E65</f>
        <v>1</v>
      </c>
      <c r="G67" s="5" t="s">
        <v>44</v>
      </c>
      <c r="H67" s="21">
        <f>H65-F65</f>
        <v>0</v>
      </c>
      <c r="I67" s="13"/>
    </row>
    <row r="68">
      <c r="A68" s="1"/>
      <c r="B68" s="45" t="s">
        <v>230</v>
      </c>
      <c r="C68" s="29">
        <f>C52+C59+C65</f>
        <v>690</v>
      </c>
      <c r="D68" s="29">
        <f>D52+D59+D65</f>
        <v>815</v>
      </c>
      <c r="E68" s="29">
        <f>E52+E59+E65</f>
        <v>648</v>
      </c>
      <c r="F68" s="29">
        <f>F52+F59+F65</f>
        <v>738</v>
      </c>
      <c r="G68" s="29">
        <f>G52+G59+G65</f>
        <v>2648</v>
      </c>
      <c r="H68" s="47">
        <f>H52+H59+H65</f>
        <v>777.2872</v>
      </c>
      <c r="I68" s="13"/>
    </row>
    <row r="69">
      <c r="A69" s="1"/>
      <c r="B69" s="15" t="s">
        <v>102</v>
      </c>
      <c r="C69" s="11">
        <f>IFERROR(C68/C113-1,"n/a")</f>
        <v>0.13300492610837433</v>
      </c>
      <c r="D69" s="11">
        <f>IFERROR(D68/D113-1,"n/a")</f>
        <v>0.3628762541806021</v>
      </c>
      <c r="E69" s="11">
        <f>IFERROR(E68/E113-1,"n/a")</f>
        <v>0.15508021390374327</v>
      </c>
      <c r="F69" s="11">
        <f>IFERROR(F68/F113-1,"n/a")</f>
        <v>0.268041237113402</v>
      </c>
      <c r="G69" s="11">
        <f>IFERROR(G68/G113-1,"n/a")</f>
        <v>0.18056174765938482</v>
      </c>
      <c r="H69" s="50">
        <f>IFERROR(H68/H113-1,"n/a")</f>
        <v>0.126503188405797</v>
      </c>
      <c r="I69" s="13"/>
    </row>
    <row r="70">
      <c r="A70" s="1"/>
      <c r="B70" s="15" t="s">
        <v>123</v>
      </c>
      <c r="C70" s="5">
        <f>C68-F113</f>
        <v>108</v>
      </c>
      <c r="D70" s="5">
        <f>D68-C68</f>
        <v>125</v>
      </c>
      <c r="E70" s="5">
        <f>E68-D68</f>
        <v>-167</v>
      </c>
      <c r="F70" s="5">
        <f>F68-E68</f>
        <v>90</v>
      </c>
      <c r="G70" s="5" t="s">
        <v>44</v>
      </c>
      <c r="H70" s="21">
        <f>H68-F68</f>
        <v>39.287199999999984</v>
      </c>
      <c r="I70" s="13"/>
    </row>
    <row r="71">
      <c r="A71" s="1"/>
      <c r="B71" s="15" t="s">
        <v>231</v>
      </c>
      <c r="C71" s="11">
        <f>IFERROR(C68/C32,"n/a")</f>
        <v>0.19861830742659758</v>
      </c>
      <c r="D71" s="11">
        <f>IFERROR(D68/D32,"n/a")</f>
        <v>0.1998528690534576</v>
      </c>
      <c r="E71" s="11">
        <f>IFERROR(E68/E32,"n/a")</f>
        <v>0.1847206385404789</v>
      </c>
      <c r="F71" s="11">
        <f>IFERROR(F68/F32,"n/a")</f>
        <v>0.1957040572792363</v>
      </c>
      <c r="G71" s="11">
        <f>IFERROR(G68/G32,"n/a")</f>
        <v>0.19872420262664164</v>
      </c>
      <c r="H71" s="50">
        <f>IFERROR(H68/H32,"n/a")</f>
        <v>0.19921272132441606</v>
      </c>
      <c r="I71" s="13"/>
    </row>
    <row r="72">
      <c r="A72" s="1"/>
      <c r="B72" s="15" t="s">
        <v>119</v>
      </c>
      <c r="C72" s="40">
        <f>IFERROR((C71-C114)*10000,"n/a")</f>
        <v>-19.085282665206314</v>
      </c>
      <c r="D72" s="40">
        <f>IFERROR((D71-D114)*10000,"n/a")</f>
        <v>86.15261122533386</v>
      </c>
      <c r="E72" s="40">
        <f>IFERROR((E71-E114)*10000,"n/a")</f>
        <v>-127.45042557725961</v>
      </c>
      <c r="F72" s="40">
        <f>IFERROR((F71-F114)*10000,"n/a")</f>
        <v>-27.952605925236075</v>
      </c>
      <c r="G72" s="40">
        <f>IFERROR((G71-G114)*10000,"n/a")</f>
        <v>107.89556627479519</v>
      </c>
      <c r="H72" s="56">
        <f>IFERROR((H71-H114)*10000,"n/a")</f>
        <v>5.944138978184743</v>
      </c>
      <c r="I72" s="13"/>
    </row>
    <row r="73">
      <c r="A73" s="1"/>
      <c r="B73" s="15" t="s">
        <v>120</v>
      </c>
      <c r="C73" s="40">
        <f>IFERROR((C71-F114)*10000,"n/a")</f>
        <v>1.1898955483768958</v>
      </c>
      <c r="D73" s="40">
        <f>IFERROR((D71-C71)*10000,"n/a")</f>
        <v>12.345616268600034</v>
      </c>
      <c r="E73" s="40">
        <f>IFERROR((E71-D71)*10000,"n/a")</f>
        <v>-151.32230512978683</v>
      </c>
      <c r="F73" s="40">
        <f>IFERROR((F71-E71)*10000,"n/a")</f>
        <v>109.83418738757383</v>
      </c>
      <c r="G73" s="40" t="s">
        <v>44</v>
      </c>
      <c r="H73" s="56">
        <f>IFERROR((H71-F71)*10000,"n/a")</f>
        <v>35.08664045179771</v>
      </c>
      <c r="I73" s="13"/>
    </row>
    <row r="74" ht="24">
      <c r="A74" s="1"/>
      <c r="B74" s="4" t="s">
        <v>232</v>
      </c>
      <c r="C74" s="9">
        <v>690</v>
      </c>
      <c r="D74" s="9">
        <v>815</v>
      </c>
      <c r="E74" s="9">
        <v>648</v>
      </c>
      <c r="F74" s="9">
        <v>738</v>
      </c>
      <c r="G74" s="9">
        <v>2648</v>
      </c>
      <c r="H74" s="37" t="s">
        <v>44</v>
      </c>
      <c r="I74" s="13" t="s">
        <v>143</v>
      </c>
    </row>
    <row r="75">
      <c r="A75" s="1"/>
      <c r="B75" s="15" t="s">
        <v>144</v>
      </c>
      <c r="C75" s="5">
        <f>C68-C74</f>
        <v>0</v>
      </c>
      <c r="D75" s="5">
        <f>D68-D74</f>
        <v>0</v>
      </c>
      <c r="E75" s="5">
        <f>E68-E74</f>
        <v>0</v>
      </c>
      <c r="F75" s="5">
        <f>F68-F74</f>
        <v>0</v>
      </c>
      <c r="G75" s="5">
        <f>G68-G74</f>
        <v>0</v>
      </c>
      <c r="H75" s="21" t="s">
        <v>44</v>
      </c>
      <c r="I75" s="13"/>
    </row>
    <row r="76">
      <c r="A76" s="1"/>
      <c r="B76" s="41" t="s">
        <v>279</v>
      </c>
      <c r="C76" s="1"/>
      <c r="D76" s="1"/>
      <c r="E76" s="1"/>
      <c r="F76" s="1"/>
      <c r="G76" s="1"/>
      <c r="H76" s="53"/>
      <c r="I76" s="13"/>
    </row>
    <row r="77" ht="24">
      <c r="A77" s="1"/>
      <c r="B77" s="4" t="s">
        <v>280</v>
      </c>
      <c r="C77" s="9">
        <v>106</v>
      </c>
      <c r="D77" s="9">
        <v>153</v>
      </c>
      <c r="E77" s="9">
        <v>148</v>
      </c>
      <c r="F77" s="9">
        <v>155</v>
      </c>
      <c r="G77" s="22">
        <f>E115+F115+C77+D77</f>
        <v>259</v>
      </c>
      <c r="H77" s="37">
        <f>H36*H80</f>
        <v>156.64</v>
      </c>
      <c r="I77" s="13"/>
    </row>
    <row r="78">
      <c r="A78" s="1"/>
      <c r="B78" s="15" t="s">
        <v>130</v>
      </c>
      <c r="C78" s="5">
        <f>C77-C115</f>
        <v>106</v>
      </c>
      <c r="D78" s="5">
        <f>D77-D115</f>
        <v>153</v>
      </c>
      <c r="E78" s="5">
        <f>E77-E115</f>
        <v>148</v>
      </c>
      <c r="F78" s="5">
        <f>F77-F115</f>
        <v>155</v>
      </c>
      <c r="G78" s="5">
        <f>G77-G115</f>
        <v>259</v>
      </c>
      <c r="H78" s="21">
        <f>H77-H115</f>
        <v>50.639999999999986</v>
      </c>
      <c r="I78" s="13"/>
    </row>
    <row r="79">
      <c r="A79" s="1"/>
      <c r="B79" s="15" t="s">
        <v>131</v>
      </c>
      <c r="C79" s="5">
        <f>C77-F115</f>
        <v>106</v>
      </c>
      <c r="D79" s="5">
        <f>D77-C77</f>
        <v>47</v>
      </c>
      <c r="E79" s="5">
        <f>E77-D77</f>
        <v>-5</v>
      </c>
      <c r="F79" s="5">
        <f>F77-E77</f>
        <v>7</v>
      </c>
      <c r="G79" s="5" t="s">
        <v>44</v>
      </c>
      <c r="H79" s="21">
        <f>H77-F77</f>
        <v>1.6399999999999864</v>
      </c>
      <c r="I79" s="13"/>
    </row>
    <row r="80">
      <c r="A80" s="1"/>
      <c r="B80" s="15" t="s">
        <v>281</v>
      </c>
      <c r="C80" s="11">
        <f>IFERROR(C77/C36,"n/a")</f>
        <v>0.18434782608695652</v>
      </c>
      <c r="D80" s="11">
        <f>IFERROR(D77/D36,"n/a")</f>
        <v>0.17505720823798626</v>
      </c>
      <c r="E80" s="11">
        <f>IFERROR(E77/E36,"n/a")</f>
        <v>0.17767106842737096</v>
      </c>
      <c r="F80" s="11">
        <f>IFERROR(F77/F36,"n/a")</f>
        <v>0.1791907514450867</v>
      </c>
      <c r="G80" s="11">
        <f>IFERROR(G77/G36,"n/a")</f>
        <v>0.178743961352657</v>
      </c>
      <c r="H80" s="66">
        <v>0.178</v>
      </c>
      <c r="I80" s="13" t="s">
        <v>282</v>
      </c>
    </row>
    <row r="81">
      <c r="A81" s="1"/>
      <c r="B81" s="15" t="s">
        <v>119</v>
      </c>
      <c r="C81" s="40" t="s">
        <v>44</v>
      </c>
      <c r="D81" s="40" t="s">
        <v>44</v>
      </c>
      <c r="E81" s="40" t="s">
        <v>44</v>
      </c>
      <c r="F81" s="40" t="s">
        <v>44</v>
      </c>
      <c r="G81" s="40" t="s">
        <v>44</v>
      </c>
      <c r="H81" s="56" t="s">
        <v>44</v>
      </c>
      <c r="I81" s="13"/>
    </row>
    <row r="82">
      <c r="A82" s="1"/>
      <c r="B82" s="15" t="s">
        <v>120</v>
      </c>
      <c r="C82" s="40" t="s">
        <v>44</v>
      </c>
      <c r="D82" s="40">
        <f>IFERROR((D80-C80)*10000,"n/a")</f>
        <v>-92.90617848970257</v>
      </c>
      <c r="E82" s="40">
        <f>IFERROR((E80-D80)*10000,"n/a")</f>
        <v>26.13860189384698</v>
      </c>
      <c r="F82" s="40">
        <f>IFERROR((F80-E80)*10000,"n/a")</f>
        <v>15.196830177157395</v>
      </c>
      <c r="G82" s="40" t="s">
        <v>44</v>
      </c>
      <c r="H82" s="56">
        <f>IFERROR((H80-F80)*10000,"n/a")</f>
        <v>-11.907514450867074</v>
      </c>
      <c r="I82" s="13"/>
    </row>
    <row r="83" ht="24">
      <c r="A83" s="1"/>
      <c r="B83" s="4" t="s">
        <v>283</v>
      </c>
      <c r="C83" s="22">
        <f>C32-C36</f>
        <v>2899</v>
      </c>
      <c r="D83" s="22">
        <f>D32-D36</f>
        <v>3204</v>
      </c>
      <c r="E83" s="22">
        <f>E32-E36</f>
        <v>2675</v>
      </c>
      <c r="F83" s="22">
        <f>F32-F36</f>
        <v>2906</v>
      </c>
      <c r="G83" s="22">
        <f>G32-G36</f>
        <v>11876</v>
      </c>
      <c r="H83" s="37">
        <f>H32-H36</f>
        <v>3021.795</v>
      </c>
      <c r="I83" s="13"/>
    </row>
    <row r="84">
      <c r="A84" s="1"/>
      <c r="B84" s="15" t="s">
        <v>177</v>
      </c>
      <c r="C84" s="11">
        <f>IFERROR(C83/C116-1,"n/a")</f>
        <v>-0.045439578531445535</v>
      </c>
      <c r="D84" s="11">
        <f>IFERROR(D83/D116-1,"n/a")</f>
        <v>0.0246242404860888</v>
      </c>
      <c r="E84" s="11">
        <f>IFERROR(E83/E116-1,"n/a")</f>
        <v>-0.058430130235832434</v>
      </c>
      <c r="F84" s="11">
        <f>IFERROR(F83/F116-1,"n/a")</f>
        <v>-0.008867667121418843</v>
      </c>
      <c r="G84" s="11">
        <f>IFERROR(G83/G116-1,"n/a")</f>
        <v>-0.004943443653121049</v>
      </c>
      <c r="H84" s="50">
        <f>IFERROR(H83/H116-1,"n/a")</f>
        <v>0.04235770955501894</v>
      </c>
      <c r="I84" s="13"/>
    </row>
    <row r="85">
      <c r="A85" s="1"/>
      <c r="B85" s="15" t="s">
        <v>131</v>
      </c>
      <c r="C85" s="5">
        <f>C83-F116</f>
        <v>-33</v>
      </c>
      <c r="D85" s="5">
        <f>D83-C83</f>
        <v>305</v>
      </c>
      <c r="E85" s="5">
        <f>E83-D83</f>
        <v>-529</v>
      </c>
      <c r="F85" s="5">
        <f>F83-E83</f>
        <v>231</v>
      </c>
      <c r="G85" s="5" t="s">
        <v>44</v>
      </c>
      <c r="H85" s="21">
        <f>H83-F83</f>
        <v>115.79500000000007</v>
      </c>
      <c r="I85" s="13"/>
    </row>
    <row r="86">
      <c r="A86" s="1"/>
      <c r="B86" s="15" t="s">
        <v>178</v>
      </c>
      <c r="C86" s="11" t="s">
        <v>44</v>
      </c>
      <c r="D86" s="11" t="s">
        <v>44</v>
      </c>
      <c r="E86" s="11" t="s">
        <v>44</v>
      </c>
      <c r="F86" s="11" t="s">
        <v>44</v>
      </c>
      <c r="G86" s="11" t="s">
        <v>44</v>
      </c>
      <c r="H86" s="50" t="s">
        <v>44</v>
      </c>
      <c r="I86" s="13" t="s">
        <v>124</v>
      </c>
    </row>
    <row r="87">
      <c r="A87" s="1"/>
      <c r="B87" s="15" t="s">
        <v>179</v>
      </c>
      <c r="C87" s="11" t="s">
        <v>44</v>
      </c>
      <c r="D87" s="11" t="s">
        <v>44</v>
      </c>
      <c r="E87" s="11" t="s">
        <v>44</v>
      </c>
      <c r="F87" s="11" t="s">
        <v>44</v>
      </c>
      <c r="G87" s="11" t="s">
        <v>44</v>
      </c>
      <c r="H87" s="50" t="s">
        <v>44</v>
      </c>
      <c r="I87" s="13" t="s">
        <v>125</v>
      </c>
    </row>
    <row r="88" ht="24">
      <c r="A88" s="1"/>
      <c r="B88" s="57" t="s">
        <v>180</v>
      </c>
      <c r="C88" s="11" t="s">
        <v>44</v>
      </c>
      <c r="D88" s="11" t="s">
        <v>44</v>
      </c>
      <c r="E88" s="11" t="s">
        <v>44</v>
      </c>
      <c r="F88" s="11" t="s">
        <v>44</v>
      </c>
      <c r="G88" s="11" t="s">
        <v>44</v>
      </c>
      <c r="H88" s="50" t="s">
        <v>44</v>
      </c>
      <c r="I88" s="13" t="s">
        <v>126</v>
      </c>
    </row>
    <row r="89" ht="24">
      <c r="A89" s="1"/>
      <c r="B89" s="4" t="s">
        <v>284</v>
      </c>
      <c r="C89" s="22">
        <f>C52-C77</f>
        <v>453</v>
      </c>
      <c r="D89" s="22">
        <f>D52-D77</f>
        <v>511</v>
      </c>
      <c r="E89" s="22">
        <f>E52-E77</f>
        <v>349</v>
      </c>
      <c r="F89" s="22">
        <f>F52-F77</f>
        <v>431</v>
      </c>
      <c r="G89" s="22">
        <f>G52-G77</f>
        <v>1926</v>
      </c>
      <c r="H89" s="37">
        <f>H52-H77</f>
        <v>467.6472</v>
      </c>
      <c r="I89" s="13"/>
    </row>
    <row r="90">
      <c r="A90" s="1"/>
      <c r="B90" s="15" t="s">
        <v>177</v>
      </c>
      <c r="C90" s="11">
        <f>IFERROR(C89/C117-1,"n/a")</f>
        <v>-0.12548262548262545</v>
      </c>
      <c r="D90" s="11">
        <f>IFERROR(D89/D117-1,"n/a")</f>
        <v>0.003929273084479323</v>
      </c>
      <c r="E90" s="11">
        <f>IFERROR(E89/E117-1,"n/a")</f>
        <v>-0.2590233545647559</v>
      </c>
      <c r="F90" s="11">
        <f>IFERROR(F89/F117-1,"n/a")</f>
        <v>-0.12219959266802449</v>
      </c>
      <c r="G90" s="11">
        <f>IFERROR(G89/G117-1,"n/a")</f>
        <v>0.013684210526315743</v>
      </c>
      <c r="H90" s="50">
        <f>IFERROR(H89/H117-1,"n/a")</f>
        <v>0.032333774834437</v>
      </c>
      <c r="I90" s="13"/>
    </row>
    <row r="91">
      <c r="A91" s="1"/>
      <c r="B91" s="15" t="s">
        <v>131</v>
      </c>
      <c r="C91" s="5">
        <f>C89-F117</f>
        <v>-38</v>
      </c>
      <c r="D91" s="5">
        <f>D89-C89</f>
        <v>58</v>
      </c>
      <c r="E91" s="5">
        <f>E89-D89</f>
        <v>-162</v>
      </c>
      <c r="F91" s="5">
        <f>F89-E89</f>
        <v>82</v>
      </c>
      <c r="G91" s="5" t="s">
        <v>44</v>
      </c>
      <c r="H91" s="21">
        <f>H89-F89</f>
        <v>36.6472</v>
      </c>
      <c r="I91" s="13"/>
    </row>
    <row r="92">
      <c r="A92" s="1"/>
      <c r="B92" s="15" t="s">
        <v>285</v>
      </c>
      <c r="C92" s="11">
        <f>IFERROR(C89/C83,"n/a")</f>
        <v>0.15626077957916523</v>
      </c>
      <c r="D92" s="11">
        <f>IFERROR(D89/D83,"n/a")</f>
        <v>0.15948813982521848</v>
      </c>
      <c r="E92" s="11">
        <f>IFERROR(E89/E83,"n/a")</f>
        <v>0.13046728971962618</v>
      </c>
      <c r="F92" s="11">
        <f>IFERROR(F89/F83,"n/a")</f>
        <v>0.14831383344803853</v>
      </c>
      <c r="G92" s="11">
        <f>IFERROR(G89/G83,"n/a")</f>
        <v>0.16217581677332435</v>
      </c>
      <c r="H92" s="50">
        <f>IFERROR(H89/H83,"n/a")</f>
        <v>0.1547580825304165</v>
      </c>
      <c r="I92" s="13"/>
    </row>
    <row r="93">
      <c r="A93" s="1"/>
      <c r="B93" s="15" t="s">
        <v>119</v>
      </c>
      <c r="C93" s="40">
        <f>IFERROR((C92-C118)*10000,"n/a")</f>
        <v>-143.02276067854862</v>
      </c>
      <c r="D93" s="40">
        <f>IFERROR((D92-D118)*10000,"n/a")</f>
        <v>-32.87683647758804</v>
      </c>
      <c r="E93" s="40">
        <f>IFERROR((E92-E118)*10000,"n/a")</f>
        <v>-353.194051061394</v>
      </c>
      <c r="F93" s="40">
        <f>IFERROR((F92-F118)*10000,"n/a")</f>
        <v>-191.48649498755472</v>
      </c>
      <c r="G93" s="40">
        <f>IFERROR((G92-G118)*10000,"n/a")</f>
        <v>29.801737067135512</v>
      </c>
      <c r="H93" s="56">
        <f>IFERROR((H92-H118)*10000,"n/a")</f>
        <v>-15.026970487487246</v>
      </c>
      <c r="I93" s="13"/>
    </row>
    <row r="94">
      <c r="A94" s="1"/>
      <c r="B94" s="15" t="s">
        <v>120</v>
      </c>
      <c r="C94" s="40">
        <f>IFERROR((C92-F118)*10000,"n/a")</f>
        <v>-112.01703367628768</v>
      </c>
      <c r="D94" s="40">
        <f>IFERROR((D92-C92)*10000,"n/a")</f>
        <v>32.27360246053246</v>
      </c>
      <c r="E94" s="40">
        <f>IFERROR((E92-D92)*10000,"n/a")</f>
        <v>-290.208501055923</v>
      </c>
      <c r="F94" s="40">
        <f>IFERROR((F92-E92)*10000,"n/a")</f>
        <v>178.4654372841235</v>
      </c>
      <c r="G94" s="40" t="s">
        <v>44</v>
      </c>
      <c r="H94" s="56">
        <f>IFERROR((H92-F92)*10000,"n/a")</f>
        <v>64.44249082377979</v>
      </c>
      <c r="I94" s="13"/>
    </row>
    <row r="95" ht="24">
      <c r="A95" s="1"/>
      <c r="B95" s="4" t="s">
        <v>286</v>
      </c>
      <c r="C95" s="9">
        <v>3774</v>
      </c>
      <c r="D95" s="22">
        <f>D32</f>
        <v>4078</v>
      </c>
      <c r="E95" s="22">
        <f>E32</f>
        <v>3508</v>
      </c>
      <c r="F95" s="22">
        <f>F32</f>
        <v>3771</v>
      </c>
      <c r="G95" s="22">
        <f>E119+F119+C95+D95</f>
        <v>15282</v>
      </c>
      <c r="H95" s="37">
        <f>H32</f>
        <v>3901.795</v>
      </c>
      <c r="I95" s="13" t="s">
        <v>287</v>
      </c>
    </row>
    <row r="96" ht="24">
      <c r="A96" s="1"/>
      <c r="B96" s="57" t="s">
        <v>288</v>
      </c>
      <c r="C96" s="11">
        <f>IFERROR(C95/C119-1,"n/a")</f>
        <v>-0.02907126318497555</v>
      </c>
      <c r="D96" s="11">
        <f>IFERROR(D95/D119-1,"n/a")</f>
        <v>0.023851368315340293</v>
      </c>
      <c r="E96" s="11">
        <f>IFERROR(E95/E119-1,"n/a")</f>
        <v>-0.038904109589041114</v>
      </c>
      <c r="F96" s="11">
        <f>IFERROR(F95/F119-1,"n/a")</f>
        <v>-0.0023809523809523725</v>
      </c>
      <c r="G96" s="11" t="s">
        <v>44</v>
      </c>
      <c r="H96" s="50">
        <f>IFERROR(H95/H119-1,"n/a")</f>
        <v>0.03386195018547955</v>
      </c>
      <c r="I96" s="13" t="s">
        <v>204</v>
      </c>
    </row>
    <row r="97">
      <c r="A97" s="1"/>
      <c r="B97" s="15" t="s">
        <v>131</v>
      </c>
      <c r="C97" s="5">
        <f>C95-F119</f>
        <v>-6</v>
      </c>
      <c r="D97" s="5">
        <f>D95-C95</f>
        <v>304</v>
      </c>
      <c r="E97" s="5">
        <f>E95-D95</f>
        <v>-570</v>
      </c>
      <c r="F97" s="5">
        <f>F95-E95</f>
        <v>263</v>
      </c>
      <c r="G97" s="5" t="s">
        <v>44</v>
      </c>
      <c r="H97" s="21">
        <f>H95-F95</f>
        <v>130.79500000000007</v>
      </c>
      <c r="I97" s="13"/>
    </row>
    <row r="98">
      <c r="A98" s="1"/>
      <c r="B98" s="15" t="s">
        <v>178</v>
      </c>
      <c r="C98" s="11" t="s">
        <v>44</v>
      </c>
      <c r="D98" s="11" t="s">
        <v>44</v>
      </c>
      <c r="E98" s="11" t="s">
        <v>44</v>
      </c>
      <c r="F98" s="11" t="s">
        <v>44</v>
      </c>
      <c r="G98" s="11" t="s">
        <v>44</v>
      </c>
      <c r="H98" s="50" t="s">
        <v>44</v>
      </c>
      <c r="I98" s="13" t="s">
        <v>124</v>
      </c>
    </row>
    <row r="99">
      <c r="A99" s="1"/>
      <c r="B99" s="15" t="s">
        <v>179</v>
      </c>
      <c r="C99" s="11" t="s">
        <v>44</v>
      </c>
      <c r="D99" s="11" t="s">
        <v>44</v>
      </c>
      <c r="E99" s="11" t="s">
        <v>44</v>
      </c>
      <c r="F99" s="11" t="s">
        <v>44</v>
      </c>
      <c r="G99" s="11" t="s">
        <v>44</v>
      </c>
      <c r="H99" s="50" t="s">
        <v>44</v>
      </c>
      <c r="I99" s="13" t="s">
        <v>125</v>
      </c>
    </row>
    <row r="100" ht="24">
      <c r="A100" s="1"/>
      <c r="B100" s="57" t="s">
        <v>180</v>
      </c>
      <c r="C100" s="11" t="s">
        <v>44</v>
      </c>
      <c r="D100" s="11" t="s">
        <v>44</v>
      </c>
      <c r="E100" s="11" t="s">
        <v>44</v>
      </c>
      <c r="F100" s="11" t="s">
        <v>44</v>
      </c>
      <c r="G100" s="11" t="s">
        <v>44</v>
      </c>
      <c r="H100" s="50" t="s">
        <v>44</v>
      </c>
      <c r="I100" s="13" t="s">
        <v>126</v>
      </c>
    </row>
    <row r="101">
      <c r="A101" s="1"/>
      <c r="B101" s="1"/>
      <c r="C101" s="1"/>
      <c r="D101" s="1"/>
      <c r="E101" s="1"/>
      <c r="F101" s="1"/>
      <c r="G101" s="1"/>
      <c r="H101" s="53"/>
      <c r="I101" s="13"/>
    </row>
    <row r="102">
      <c r="A102" s="1"/>
      <c r="B102" s="41" t="s">
        <v>155</v>
      </c>
      <c r="C102" s="1"/>
      <c r="D102" s="1"/>
      <c r="E102" s="1"/>
      <c r="F102" s="1"/>
      <c r="G102" s="1"/>
      <c r="H102" s="53"/>
      <c r="I102" s="13" t="s">
        <v>156</v>
      </c>
    </row>
    <row r="103">
      <c r="A103" s="1"/>
      <c r="B103" s="1" t="s">
        <v>241</v>
      </c>
      <c r="C103" s="9">
        <v>2373</v>
      </c>
      <c r="D103" s="9">
        <v>2471</v>
      </c>
      <c r="E103" s="9">
        <v>2166</v>
      </c>
      <c r="F103" s="9">
        <v>2243</v>
      </c>
      <c r="G103" s="22"/>
      <c r="H103" s="37">
        <f>C12</f>
        <v>2440</v>
      </c>
      <c r="I103" s="13"/>
    </row>
    <row r="104">
      <c r="A104" s="1"/>
      <c r="B104" s="1" t="s">
        <v>239</v>
      </c>
      <c r="C104" s="9">
        <v>657</v>
      </c>
      <c r="D104" s="9">
        <v>646</v>
      </c>
      <c r="E104" s="9">
        <v>671</v>
      </c>
      <c r="F104" s="9">
        <v>685</v>
      </c>
      <c r="G104" s="22"/>
      <c r="H104" s="37">
        <f>C19</f>
        <v>1008</v>
      </c>
      <c r="I104" s="13"/>
    </row>
    <row r="105">
      <c r="A105" s="1"/>
      <c r="B105" s="1" t="s">
        <v>240</v>
      </c>
      <c r="C105" s="9">
        <v>7</v>
      </c>
      <c r="D105" s="9">
        <v>10</v>
      </c>
      <c r="E105" s="9">
        <v>4</v>
      </c>
      <c r="F105" s="9">
        <v>4</v>
      </c>
      <c r="G105" s="22"/>
      <c r="H105" s="37">
        <f>C26</f>
        <v>26</v>
      </c>
      <c r="I105" s="13"/>
    </row>
    <row r="106" ht="24">
      <c r="A106" s="1"/>
      <c r="B106" s="4" t="s">
        <v>265</v>
      </c>
      <c r="C106" s="22">
        <f>C103+C104+C105</f>
        <v>3037</v>
      </c>
      <c r="D106" s="22">
        <f>D103+D104+D105</f>
        <v>3127</v>
      </c>
      <c r="E106" s="22">
        <f>E103+E104+E105</f>
        <v>2841</v>
      </c>
      <c r="F106" s="22">
        <f>F103+F104+F105</f>
        <v>2932</v>
      </c>
      <c r="G106" s="9">
        <v>11935</v>
      </c>
      <c r="H106" s="37">
        <f>C32</f>
        <v>3474</v>
      </c>
      <c r="I106" s="13"/>
    </row>
    <row r="107" ht="24">
      <c r="A107" s="1"/>
      <c r="B107" s="4" t="s">
        <v>266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37">
        <f>C36</f>
        <v>575</v>
      </c>
      <c r="I107" s="13"/>
    </row>
    <row r="108" ht="24">
      <c r="A108" s="1"/>
      <c r="B108" s="4" t="s">
        <v>243</v>
      </c>
      <c r="C108" s="9">
        <v>518</v>
      </c>
      <c r="D108" s="9">
        <v>509</v>
      </c>
      <c r="E108" s="9">
        <v>471</v>
      </c>
      <c r="F108" s="9">
        <v>491</v>
      </c>
      <c r="G108" s="9">
        <v>1900</v>
      </c>
      <c r="H108" s="37">
        <f>C52</f>
        <v>559</v>
      </c>
      <c r="I108" s="13"/>
    </row>
    <row r="109" ht="24">
      <c r="A109" s="1"/>
      <c r="B109" s="57" t="s">
        <v>244</v>
      </c>
      <c r="C109" s="11">
        <f>IFERROR(C108/C106,"n/a")</f>
        <v>0.1705630556470201</v>
      </c>
      <c r="D109" s="11">
        <f>IFERROR(D108/D106,"n/a")</f>
        <v>0.16277582347297728</v>
      </c>
      <c r="E109" s="11">
        <f>IFERROR(E108/E106,"n/a")</f>
        <v>0.16578669482576558</v>
      </c>
      <c r="F109" s="11">
        <f>IFERROR(F108/F106,"n/a")</f>
        <v>0.167462482946794</v>
      </c>
      <c r="G109" s="11">
        <f>IFERROR(G108/G106,"n/a")</f>
        <v>0.1591956430666108</v>
      </c>
      <c r="H109" s="50">
        <f>C53</f>
        <v>0.16090961427748993</v>
      </c>
      <c r="I109" s="13"/>
    </row>
    <row r="110" ht="24">
      <c r="A110" s="1"/>
      <c r="B110" s="4" t="s">
        <v>245</v>
      </c>
      <c r="C110" s="9">
        <v>92</v>
      </c>
      <c r="D110" s="22"/>
      <c r="E110" s="9">
        <v>90</v>
      </c>
      <c r="F110" s="9">
        <v>91</v>
      </c>
      <c r="G110" s="9">
        <v>347</v>
      </c>
      <c r="H110" s="37">
        <f>C59</f>
        <v>131</v>
      </c>
      <c r="I110" s="13"/>
    </row>
    <row r="111">
      <c r="A111" s="1"/>
      <c r="B111" s="15" t="s">
        <v>246</v>
      </c>
      <c r="C111" s="11">
        <f>IFERROR(C110/C106,"n/a")</f>
        <v>0.030293052354297002</v>
      </c>
      <c r="D111" s="11"/>
      <c r="E111" s="11">
        <f>IFERROR(E110/E106,"n/a")</f>
        <v>0.03167898627243928</v>
      </c>
      <c r="F111" s="11">
        <f>IFERROR(F110/F106,"n/a")</f>
        <v>0.031036834924965895</v>
      </c>
      <c r="G111" s="11">
        <f>IFERROR(G110/G106,"n/a")</f>
        <v>0.029074151654796817</v>
      </c>
      <c r="H111" s="50">
        <f>C62</f>
        <v>0.03770869314910766</v>
      </c>
      <c r="I111" s="13"/>
    </row>
    <row r="112" ht="34.5">
      <c r="A112" s="1"/>
      <c r="B112" s="4" t="s">
        <v>247</v>
      </c>
      <c r="C112" s="9">
        <v>-1</v>
      </c>
      <c r="D112" s="22"/>
      <c r="E112" s="9">
        <v>0</v>
      </c>
      <c r="F112" s="9">
        <v>0</v>
      </c>
      <c r="G112" s="9">
        <v>-4</v>
      </c>
      <c r="H112" s="37">
        <f>C65</f>
        <v>0</v>
      </c>
      <c r="I112" s="13"/>
    </row>
    <row r="113">
      <c r="A113" s="1"/>
      <c r="B113" s="1" t="s">
        <v>248</v>
      </c>
      <c r="C113" s="22">
        <f>C108+C110+C112</f>
        <v>609</v>
      </c>
      <c r="D113" s="9">
        <v>598</v>
      </c>
      <c r="E113" s="22">
        <f>E108+E110+E112</f>
        <v>561</v>
      </c>
      <c r="F113" s="22">
        <f>F108+F110+F112</f>
        <v>582</v>
      </c>
      <c r="G113" s="22">
        <f>G108+G110+G112</f>
        <v>2243</v>
      </c>
      <c r="H113" s="37">
        <f>C68</f>
        <v>690</v>
      </c>
      <c r="I113" s="13"/>
    </row>
    <row r="114" ht="24">
      <c r="A114" s="1"/>
      <c r="B114" s="57" t="s">
        <v>249</v>
      </c>
      <c r="C114" s="11">
        <f>IFERROR(C113/C106,"n/a")</f>
        <v>0.20052683569311822</v>
      </c>
      <c r="D114" s="11">
        <f>IFERROR(D113/D106,"n/a")</f>
        <v>0.1912376079309242</v>
      </c>
      <c r="E114" s="11">
        <f>IFERROR(E113/E106,"n/a")</f>
        <v>0.19746568109820486</v>
      </c>
      <c r="F114" s="11">
        <f>IFERROR(F113/F106,"n/a")</f>
        <v>0.1984993178717599</v>
      </c>
      <c r="G114" s="11">
        <f>IFERROR(G113/G106,"n/a")</f>
        <v>0.18793464599916213</v>
      </c>
      <c r="H114" s="50">
        <f>C71</f>
        <v>0.19861830742659758</v>
      </c>
      <c r="I114" s="13"/>
    </row>
    <row r="115" ht="34.5">
      <c r="A115" s="1"/>
      <c r="B115" s="4" t="s">
        <v>289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37">
        <f>C77</f>
        <v>106</v>
      </c>
      <c r="I115" s="13"/>
    </row>
    <row r="116" ht="34.5">
      <c r="A116" s="1"/>
      <c r="B116" s="4" t="s">
        <v>290</v>
      </c>
      <c r="C116" s="22">
        <f>C106-C107</f>
        <v>3037</v>
      </c>
      <c r="D116" s="22">
        <f>D106-D107</f>
        <v>3127</v>
      </c>
      <c r="E116" s="22">
        <f>E106-E107</f>
        <v>2841</v>
      </c>
      <c r="F116" s="22">
        <f>F106-F107</f>
        <v>2932</v>
      </c>
      <c r="G116" s="22">
        <f>G106-G107</f>
        <v>11935</v>
      </c>
      <c r="H116" s="37">
        <f>C83</f>
        <v>2899</v>
      </c>
      <c r="I116" s="13"/>
    </row>
    <row r="117" ht="24">
      <c r="A117" s="1"/>
      <c r="B117" s="4" t="s">
        <v>291</v>
      </c>
      <c r="C117" s="22">
        <f>C108-C115</f>
        <v>518</v>
      </c>
      <c r="D117" s="22">
        <f>D108-D115</f>
        <v>509</v>
      </c>
      <c r="E117" s="22">
        <f>E108-E115</f>
        <v>471</v>
      </c>
      <c r="F117" s="22">
        <f>F108-F115</f>
        <v>491</v>
      </c>
      <c r="G117" s="22">
        <f>G108-G115</f>
        <v>1900</v>
      </c>
      <c r="H117" s="37">
        <f>C89</f>
        <v>453</v>
      </c>
      <c r="I117" s="13"/>
    </row>
    <row r="118" ht="24">
      <c r="A118" s="1"/>
      <c r="B118" s="57" t="s">
        <v>292</v>
      </c>
      <c r="C118" s="11">
        <f>IFERROR(C117/C116,"n/a")</f>
        <v>0.1705630556470201</v>
      </c>
      <c r="D118" s="11">
        <f>IFERROR(D117/D116,"n/a")</f>
        <v>0.16277582347297728</v>
      </c>
      <c r="E118" s="11">
        <f>IFERROR(E117/E116,"n/a")</f>
        <v>0.16578669482576558</v>
      </c>
      <c r="F118" s="11">
        <f>IFERROR(F117/F116,"n/a")</f>
        <v>0.167462482946794</v>
      </c>
      <c r="G118" s="11">
        <f>IFERROR(G117/G116,"n/a")</f>
        <v>0.1591956430666108</v>
      </c>
      <c r="H118" s="50">
        <f>C92</f>
        <v>0.15626077957916523</v>
      </c>
      <c r="I118" s="13"/>
    </row>
    <row r="119" ht="34.5">
      <c r="A119" s="1"/>
      <c r="B119" s="4" t="s">
        <v>293</v>
      </c>
      <c r="C119" s="9">
        <v>3887</v>
      </c>
      <c r="D119" s="9">
        <v>3983</v>
      </c>
      <c r="E119" s="9">
        <v>3650</v>
      </c>
      <c r="F119" s="9">
        <v>3780</v>
      </c>
      <c r="G119" s="22"/>
      <c r="H119" s="37">
        <f>C95</f>
        <v>3774</v>
      </c>
      <c r="I119" s="13"/>
    </row>
    <row r="120">
      <c r="A120" s="1"/>
      <c r="B120" s="1"/>
      <c r="C120" s="1"/>
      <c r="D120" s="1"/>
      <c r="E120" s="1"/>
      <c r="F120" s="1"/>
      <c r="G120" s="1"/>
      <c r="H120" s="1"/>
      <c r="I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4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51" t="s">
        <v>1</v>
      </c>
      <c r="C2" s="1"/>
      <c r="D2" s="1"/>
      <c r="E2" s="1"/>
      <c r="F2" s="1"/>
      <c r="G2" s="1"/>
      <c r="H2" s="1"/>
      <c r="I2" s="1"/>
    </row>
    <row r="3">
      <c r="A3" s="1"/>
      <c r="B3" s="33" t="s">
        <v>294</v>
      </c>
      <c r="C3" s="1"/>
      <c r="D3" s="1"/>
      <c r="E3" s="1"/>
      <c r="F3" s="1"/>
      <c r="G3" s="1"/>
      <c r="H3" s="1"/>
      <c r="I3" s="1"/>
    </row>
    <row r="4">
      <c r="A4" s="1"/>
      <c r="B4" s="15" t="s">
        <v>3</v>
      </c>
      <c r="C4" s="1"/>
      <c r="D4" s="1"/>
      <c r="E4" s="1"/>
      <c r="F4" s="1"/>
      <c r="G4" s="1"/>
      <c r="H4" s="1"/>
      <c r="I4" s="1"/>
    </row>
    <row r="5">
      <c r="A5" s="1"/>
      <c r="B5" s="4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58" t="s">
        <v>10</v>
      </c>
      <c r="I5" s="46" t="s">
        <v>99</v>
      </c>
    </row>
    <row r="6">
      <c r="A6" s="1"/>
      <c r="B6" s="34" t="s">
        <v>11</v>
      </c>
      <c r="C6" s="18">
        <f>DATE(2025,9,30)</f>
        <v>45930</v>
      </c>
      <c r="D6" s="18">
        <f>DATE(2025,12,31)</f>
        <v>46022</v>
      </c>
      <c r="E6" s="18">
        <f>DATE(2026,3,31)</f>
        <v>46112</v>
      </c>
      <c r="F6" s="18">
        <f>DATE(2026,6,30)</f>
        <v>46203</v>
      </c>
      <c r="G6" s="18">
        <f>DATE(2025,12,31)</f>
        <v>46022</v>
      </c>
      <c r="H6" s="55">
        <f>DATE(2026,9,30)</f>
        <v>46295</v>
      </c>
      <c r="I6" s="34"/>
    </row>
    <row r="7">
      <c r="A7" s="1"/>
      <c r="B7" s="12" t="s">
        <v>12</v>
      </c>
      <c r="C7" s="6">
        <f>C6-EOMONTH(C6,-3)</f>
        <v>92</v>
      </c>
      <c r="D7" s="6">
        <f>D6-EOMONTH(D6,-3)</f>
        <v>92</v>
      </c>
      <c r="E7" s="6">
        <f>E6-EOMONTH(E6,-3)</f>
        <v>90</v>
      </c>
      <c r="F7" s="6">
        <f>F6-EOMONTH(F6,-3)</f>
        <v>91</v>
      </c>
      <c r="G7" s="6">
        <f>G6-EOMONTH(G6,-12)</f>
        <v>365</v>
      </c>
      <c r="H7" s="17">
        <f>H6-EOMONTH(H6,-3)</f>
        <v>92</v>
      </c>
      <c r="I7" s="12"/>
    </row>
    <row r="8">
      <c r="A8" s="1"/>
      <c r="B8" s="1"/>
      <c r="C8" s="1"/>
      <c r="D8" s="1"/>
      <c r="E8" s="1"/>
      <c r="F8" s="1"/>
      <c r="G8" s="1"/>
      <c r="H8" s="53"/>
      <c r="I8" s="1"/>
    </row>
    <row r="9">
      <c r="A9" s="1"/>
      <c r="B9" s="41" t="s">
        <v>295</v>
      </c>
      <c r="C9" s="1"/>
      <c r="D9" s="1"/>
      <c r="E9" s="1"/>
      <c r="F9" s="1"/>
      <c r="G9" s="1"/>
      <c r="H9" s="53"/>
      <c r="I9" s="13"/>
    </row>
    <row r="10" ht="24">
      <c r="A10" s="1"/>
      <c r="B10" s="4" t="s">
        <v>172</v>
      </c>
      <c r="C10" s="22">
        <f>F74</f>
        <v>583</v>
      </c>
      <c r="D10" s="22">
        <f>C29</f>
        <v>397</v>
      </c>
      <c r="E10" s="22">
        <f>D29</f>
        <v>445</v>
      </c>
      <c r="F10" s="22">
        <f>E29</f>
        <v>443</v>
      </c>
      <c r="G10" s="22" t="s">
        <v>44</v>
      </c>
      <c r="H10" s="37">
        <f>F29</f>
        <v>505</v>
      </c>
      <c r="I10" s="13" t="s">
        <v>173</v>
      </c>
    </row>
    <row r="11" ht="34.5">
      <c r="A11" s="1"/>
      <c r="B11" s="4" t="s">
        <v>296</v>
      </c>
      <c r="C11" s="9">
        <v>331</v>
      </c>
      <c r="D11" s="22"/>
      <c r="E11" s="22"/>
      <c r="F11" s="22"/>
      <c r="G11" s="22"/>
      <c r="H11" s="37"/>
      <c r="I11" s="13" t="s">
        <v>297</v>
      </c>
    </row>
    <row r="12" ht="24">
      <c r="A12" s="1"/>
      <c r="B12" s="4" t="s">
        <v>298</v>
      </c>
      <c r="C12" s="22">
        <f>C11-E72-F72</f>
        <v>130</v>
      </c>
      <c r="D12" s="9">
        <v>128</v>
      </c>
      <c r="E12" s="9">
        <v>141</v>
      </c>
      <c r="F12" s="9">
        <v>186</v>
      </c>
      <c r="G12" s="22">
        <f>E72+F72+C12+D12</f>
        <v>459</v>
      </c>
      <c r="H12" s="37">
        <f>F12*(1+H13)</f>
        <v>215.76</v>
      </c>
      <c r="I12" s="13" t="s">
        <v>299</v>
      </c>
    </row>
    <row r="13" ht="24">
      <c r="A13" s="1"/>
      <c r="B13" s="57" t="s">
        <v>175</v>
      </c>
      <c r="C13" s="11">
        <f>IFERROR(C12/F72-1,"n/a")</f>
        <v>0.25</v>
      </c>
      <c r="D13" s="11">
        <f>IFERROR(D12/C12-1,"n/a")</f>
        <v>-0.01538461538461533</v>
      </c>
      <c r="E13" s="11">
        <f>IFERROR(E12/D12-1,"n/a")</f>
        <v>0.1015625</v>
      </c>
      <c r="F13" s="11">
        <f>IFERROR(F12/E12-1,"n/a")</f>
        <v>0.31914893617021267</v>
      </c>
      <c r="G13" s="11" t="s">
        <v>44</v>
      </c>
      <c r="H13" s="66">
        <v>0.16</v>
      </c>
      <c r="I13" s="13" t="s">
        <v>300</v>
      </c>
    </row>
    <row r="14">
      <c r="A14" s="1"/>
      <c r="B14" s="15" t="s">
        <v>177</v>
      </c>
      <c r="C14" s="11" t="s">
        <v>44</v>
      </c>
      <c r="D14" s="11">
        <f>IFERROR(D12/D72-1,"n/a")</f>
        <v>0.8285714285714285</v>
      </c>
      <c r="E14" s="11">
        <f>IFERROR(E12/E72-1,"n/a")</f>
        <v>0.45360824742268036</v>
      </c>
      <c r="F14" s="11">
        <f>IFERROR(F12/F72-1,"n/a")</f>
        <v>0.7884615384615385</v>
      </c>
      <c r="G14" s="11">
        <f>IFERROR(G12/G72-1,"n/a")</f>
        <v>1.2067307692307692</v>
      </c>
      <c r="H14" s="50">
        <f>IFERROR(H12/H72-1,"n/a")</f>
        <v>0.6596923076923076</v>
      </c>
      <c r="I14" s="13" t="s">
        <v>204</v>
      </c>
    </row>
    <row r="15">
      <c r="A15" s="1"/>
      <c r="B15" s="15" t="s">
        <v>131</v>
      </c>
      <c r="C15" s="5">
        <f>C12-F72</f>
        <v>26</v>
      </c>
      <c r="D15" s="5">
        <f>D12-C12</f>
        <v>-2</v>
      </c>
      <c r="E15" s="5">
        <f>E12-D12</f>
        <v>13</v>
      </c>
      <c r="F15" s="5">
        <f>F12-E12</f>
        <v>45</v>
      </c>
      <c r="G15" s="5" t="s">
        <v>44</v>
      </c>
      <c r="H15" s="21">
        <f>H12-F12</f>
        <v>29.75999999999999</v>
      </c>
      <c r="I15" s="13"/>
    </row>
    <row r="16">
      <c r="A16" s="1"/>
      <c r="B16" s="15" t="s">
        <v>178</v>
      </c>
      <c r="C16" s="11" t="s">
        <v>44</v>
      </c>
      <c r="D16" s="11" t="s">
        <v>44</v>
      </c>
      <c r="E16" s="11" t="s">
        <v>44</v>
      </c>
      <c r="F16" s="11" t="s">
        <v>44</v>
      </c>
      <c r="G16" s="11" t="s">
        <v>44</v>
      </c>
      <c r="H16" s="50" t="s">
        <v>44</v>
      </c>
      <c r="I16" s="13" t="s">
        <v>124</v>
      </c>
    </row>
    <row r="17">
      <c r="A17" s="1"/>
      <c r="B17" s="15" t="s">
        <v>179</v>
      </c>
      <c r="C17" s="11" t="s">
        <v>44</v>
      </c>
      <c r="D17" s="11" t="s">
        <v>44</v>
      </c>
      <c r="E17" s="11" t="s">
        <v>44</v>
      </c>
      <c r="F17" s="11" t="s">
        <v>44</v>
      </c>
      <c r="G17" s="11" t="s">
        <v>44</v>
      </c>
      <c r="H17" s="50" t="s">
        <v>44</v>
      </c>
      <c r="I17" s="13" t="s">
        <v>125</v>
      </c>
    </row>
    <row r="18" ht="24">
      <c r="A18" s="1"/>
      <c r="B18" s="57" t="s">
        <v>180</v>
      </c>
      <c r="C18" s="11" t="s">
        <v>44</v>
      </c>
      <c r="D18" s="11" t="s">
        <v>44</v>
      </c>
      <c r="E18" s="11" t="s">
        <v>44</v>
      </c>
      <c r="F18" s="11" t="s">
        <v>44</v>
      </c>
      <c r="G18" s="11" t="s">
        <v>44</v>
      </c>
      <c r="H18" s="50" t="s">
        <v>44</v>
      </c>
      <c r="I18" s="13" t="s">
        <v>126</v>
      </c>
    </row>
    <row r="19" ht="24">
      <c r="A19" s="1"/>
      <c r="B19" s="57" t="s">
        <v>301</v>
      </c>
      <c r="C19" s="5">
        <f>C12*4</f>
        <v>520</v>
      </c>
      <c r="D19" s="5">
        <f>D12*4</f>
        <v>512</v>
      </c>
      <c r="E19" s="5">
        <f>E12*4</f>
        <v>564</v>
      </c>
      <c r="F19" s="5">
        <f>F12*4</f>
        <v>744</v>
      </c>
      <c r="G19" s="5" t="s">
        <v>44</v>
      </c>
      <c r="H19" s="21">
        <f>H12*4</f>
        <v>863.04</v>
      </c>
      <c r="I19" s="13"/>
    </row>
    <row r="20" ht="34.5">
      <c r="A20" s="1"/>
      <c r="B20" s="57" t="s">
        <v>302</v>
      </c>
      <c r="C20" s="60">
        <f>C19/Guidance!$G$34</f>
        <v>0.52</v>
      </c>
      <c r="D20" s="60">
        <f>D19/Guidance!$G$34</f>
        <v>0.512</v>
      </c>
      <c r="E20" s="60">
        <f>E19/Guidance!$G$34</f>
        <v>0.564</v>
      </c>
      <c r="F20" s="60">
        <f>F19/Guidance!$G$34</f>
        <v>0.744</v>
      </c>
      <c r="G20" s="11" t="s">
        <v>44</v>
      </c>
      <c r="H20" s="70">
        <f>H19/Guidance!$G$34</f>
        <v>0.8630399999999999</v>
      </c>
      <c r="I20" s="13"/>
    </row>
    <row r="21" ht="24">
      <c r="A21" s="1"/>
      <c r="B21" s="4" t="s">
        <v>303</v>
      </c>
      <c r="C21" s="9">
        <v>397</v>
      </c>
      <c r="D21" s="9">
        <v>445</v>
      </c>
      <c r="E21" s="9">
        <v>443</v>
      </c>
      <c r="F21" s="9">
        <v>505</v>
      </c>
      <c r="G21" s="9">
        <v>1987</v>
      </c>
      <c r="H21" s="37" t="s">
        <v>44</v>
      </c>
      <c r="I21" s="13"/>
    </row>
    <row r="22" ht="24">
      <c r="A22" s="1"/>
      <c r="B22" s="4" t="s">
        <v>304</v>
      </c>
      <c r="C22" s="22">
        <f>C21-C12</f>
        <v>267</v>
      </c>
      <c r="D22" s="22">
        <f>D21-D12</f>
        <v>317</v>
      </c>
      <c r="E22" s="22">
        <f>E21-E12</f>
        <v>302</v>
      </c>
      <c r="F22" s="22">
        <f>F21-F12</f>
        <v>319</v>
      </c>
      <c r="G22" s="22">
        <f>E73+F73+C22+D22</f>
        <v>1528</v>
      </c>
      <c r="H22" s="37">
        <f>F22*(1+H23)</f>
        <v>315.81</v>
      </c>
      <c r="I22" s="13" t="s">
        <v>305</v>
      </c>
    </row>
    <row r="23" ht="24">
      <c r="A23" s="1"/>
      <c r="B23" s="57" t="s">
        <v>175</v>
      </c>
      <c r="C23" s="11">
        <f>IFERROR(C22/F73-1,"n/a")</f>
        <v>-0.44258872651356995</v>
      </c>
      <c r="D23" s="11">
        <f>IFERROR(D22/C22-1,"n/a")</f>
        <v>0.18726591760299627</v>
      </c>
      <c r="E23" s="11">
        <f>IFERROR(E22/D22-1,"n/a")</f>
        <v>-0.04731861198738174</v>
      </c>
      <c r="F23" s="11">
        <f>IFERROR(F22/E22-1,"n/a")</f>
        <v>0.056291390728476776</v>
      </c>
      <c r="G23" s="11" t="s">
        <v>44</v>
      </c>
      <c r="H23" s="66">
        <v>-0.01</v>
      </c>
      <c r="I23" s="13" t="s">
        <v>306</v>
      </c>
    </row>
    <row r="24">
      <c r="A24" s="1"/>
      <c r="B24" s="15" t="s">
        <v>177</v>
      </c>
      <c r="C24" s="11" t="s">
        <v>44</v>
      </c>
      <c r="D24" s="11">
        <f>IFERROR(D22/D73-1,"n/a")</f>
        <v>-0.380859375</v>
      </c>
      <c r="E24" s="11">
        <f>IFERROR(E22/E73-1,"n/a")</f>
        <v>-0.3505376344086022</v>
      </c>
      <c r="F24" s="11">
        <f>IFERROR(F22/F73-1,"n/a")</f>
        <v>-0.33402922755741127</v>
      </c>
      <c r="G24" s="11">
        <f>IFERROR(G22/G73-1,"n/a")</f>
        <v>-0.19958093242535357</v>
      </c>
      <c r="H24" s="50">
        <f>IFERROR(H22/H73-1,"n/a")</f>
        <v>0.18280898876404494</v>
      </c>
      <c r="I24" s="13" t="s">
        <v>204</v>
      </c>
    </row>
    <row r="25">
      <c r="A25" s="1"/>
      <c r="B25" s="15" t="s">
        <v>131</v>
      </c>
      <c r="C25" s="5">
        <f>C22-F73</f>
        <v>-212</v>
      </c>
      <c r="D25" s="5">
        <f>D22-C22</f>
        <v>50</v>
      </c>
      <c r="E25" s="5">
        <f>E22-D22</f>
        <v>-15</v>
      </c>
      <c r="F25" s="5">
        <f>F22-E22</f>
        <v>17</v>
      </c>
      <c r="G25" s="5" t="s">
        <v>44</v>
      </c>
      <c r="H25" s="21">
        <f>H22-F22</f>
        <v>-3.1899999999999977</v>
      </c>
      <c r="I25" s="13"/>
    </row>
    <row r="26">
      <c r="A26" s="1"/>
      <c r="B26" s="15" t="s">
        <v>178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50" t="s">
        <v>44</v>
      </c>
      <c r="I26" s="13" t="s">
        <v>124</v>
      </c>
    </row>
    <row r="27">
      <c r="A27" s="1"/>
      <c r="B27" s="15" t="s">
        <v>179</v>
      </c>
      <c r="C27" s="11" t="s">
        <v>44</v>
      </c>
      <c r="D27" s="11" t="s">
        <v>44</v>
      </c>
      <c r="E27" s="11" t="s">
        <v>44</v>
      </c>
      <c r="F27" s="11" t="s">
        <v>44</v>
      </c>
      <c r="G27" s="11" t="s">
        <v>44</v>
      </c>
      <c r="H27" s="50" t="s">
        <v>44</v>
      </c>
      <c r="I27" s="13" t="s">
        <v>125</v>
      </c>
    </row>
    <row r="28" ht="24">
      <c r="A28" s="1"/>
      <c r="B28" s="57" t="s">
        <v>180</v>
      </c>
      <c r="C28" s="11" t="s">
        <v>44</v>
      </c>
      <c r="D28" s="11" t="s">
        <v>44</v>
      </c>
      <c r="E28" s="11" t="s">
        <v>44</v>
      </c>
      <c r="F28" s="11" t="s">
        <v>44</v>
      </c>
      <c r="G28" s="11" t="s">
        <v>44</v>
      </c>
      <c r="H28" s="50" t="s">
        <v>44</v>
      </c>
      <c r="I28" s="13" t="s">
        <v>126</v>
      </c>
    </row>
    <row r="29">
      <c r="A29" s="1"/>
      <c r="B29" s="45" t="s">
        <v>307</v>
      </c>
      <c r="C29" s="29">
        <f>C12+C22</f>
        <v>397</v>
      </c>
      <c r="D29" s="29">
        <f>D12+D22</f>
        <v>445</v>
      </c>
      <c r="E29" s="29">
        <f>E12+E22</f>
        <v>443</v>
      </c>
      <c r="F29" s="29">
        <f>F12+F22</f>
        <v>505</v>
      </c>
      <c r="G29" s="29">
        <f>G12+G22</f>
        <v>1987</v>
      </c>
      <c r="H29" s="47">
        <f>H12+H22</f>
        <v>531.5699999999999</v>
      </c>
      <c r="I29" s="13"/>
    </row>
    <row r="30">
      <c r="A30" s="1"/>
      <c r="B30" s="15" t="s">
        <v>102</v>
      </c>
      <c r="C30" s="11">
        <f>IFERROR(C29/C74-1,"n/a")</f>
        <v>-0.2833935018050542</v>
      </c>
      <c r="D30" s="11">
        <f>IFERROR(D29/D74-1,"n/a")</f>
        <v>-0.23539518900343648</v>
      </c>
      <c r="E30" s="11">
        <f>IFERROR(E29/E74-1,"n/a")</f>
        <v>-0.21174377224199292</v>
      </c>
      <c r="F30" s="11">
        <f>IFERROR(F29/F74-1,"n/a")</f>
        <v>-0.13379073756432247</v>
      </c>
      <c r="G30" s="11">
        <f>IFERROR(G29/G74-1,"n/a")</f>
        <v>-0.061407652338214436</v>
      </c>
      <c r="H30" s="50">
        <f>IFERROR(H29/H74-1,"n/a")</f>
        <v>0.3389672544080602</v>
      </c>
      <c r="I30" s="13"/>
    </row>
    <row r="31">
      <c r="A31" s="1"/>
      <c r="B31" s="15" t="s">
        <v>123</v>
      </c>
      <c r="C31" s="5">
        <f>C29-F74</f>
        <v>-186</v>
      </c>
      <c r="D31" s="5">
        <f>D29-C29</f>
        <v>48</v>
      </c>
      <c r="E31" s="5">
        <f>E29-D29</f>
        <v>-2</v>
      </c>
      <c r="F31" s="5">
        <f>F29-E29</f>
        <v>62</v>
      </c>
      <c r="G31" s="5" t="s">
        <v>44</v>
      </c>
      <c r="H31" s="21">
        <f>H29-F29</f>
        <v>26.569999999999936</v>
      </c>
      <c r="I31" s="13"/>
    </row>
    <row r="32">
      <c r="A32" s="1"/>
      <c r="B32" s="15" t="s">
        <v>103</v>
      </c>
      <c r="C32" s="11">
        <f>IFERROR(C29/F74-1,"n/a")</f>
        <v>-0.3190394511149228</v>
      </c>
      <c r="D32" s="11">
        <f>IFERROR(D29/C29-1,"n/a")</f>
        <v>0.12090680100755669</v>
      </c>
      <c r="E32" s="11">
        <f>IFERROR(E29/D29-1,"n/a")</f>
        <v>-0.004494382022471877</v>
      </c>
      <c r="F32" s="11">
        <f>IFERROR(F29/E29-1,"n/a")</f>
        <v>0.1399548532731376</v>
      </c>
      <c r="G32" s="11" t="s">
        <v>44</v>
      </c>
      <c r="H32" s="50">
        <f>IFERROR(H29/F29-1,"n/a")</f>
        <v>0.05261386138613844</v>
      </c>
      <c r="I32" s="13"/>
    </row>
    <row r="33" ht="24">
      <c r="A33" s="1"/>
      <c r="B33" s="4" t="s">
        <v>308</v>
      </c>
      <c r="C33" s="9">
        <v>0</v>
      </c>
      <c r="D33" s="9">
        <v>0</v>
      </c>
      <c r="E33" s="9">
        <v>0</v>
      </c>
      <c r="F33" s="9">
        <v>0</v>
      </c>
      <c r="G33" s="22">
        <f>E75+F75+C33+D33</f>
        <v>0</v>
      </c>
      <c r="H33" s="8">
        <v>0</v>
      </c>
      <c r="I33" s="13" t="s">
        <v>309</v>
      </c>
    </row>
    <row r="34" ht="34.5">
      <c r="A34" s="1"/>
      <c r="B34" s="57" t="s">
        <v>133</v>
      </c>
      <c r="C34" s="11">
        <f>IFERROR((C29-C33)/(C74-C75)-1,"n/a")</f>
        <v>-0.2833935018050542</v>
      </c>
      <c r="D34" s="11">
        <f>IFERROR((D29-D33)/(D74-D75)-1,"n/a")</f>
        <v>-0.23539518900343648</v>
      </c>
      <c r="E34" s="11">
        <f>IFERROR((E29-E33)/(E74-E75)-1,"n/a")</f>
        <v>-0.21174377224199292</v>
      </c>
      <c r="F34" s="11">
        <f>IFERROR((F29-F33)/(F74-F75)-1,"n/a")</f>
        <v>-0.13379073756432247</v>
      </c>
      <c r="G34" s="11">
        <f>IFERROR((G29-G33)/(G74-G75)-1,"n/a")</f>
        <v>-0.061407652338214436</v>
      </c>
      <c r="H34" s="50">
        <f>IFERROR((H29-H33)/(H74-H75)-1,"n/a")</f>
        <v>0.3389672544080602</v>
      </c>
      <c r="I34" s="13" t="s">
        <v>134</v>
      </c>
    </row>
    <row r="35" ht="24">
      <c r="A35" s="1"/>
      <c r="B35" s="57" t="s">
        <v>135</v>
      </c>
      <c r="C35" s="11">
        <f>IFERROR((1+C30)/(1+C34)-1,"n/a")</f>
        <v>0</v>
      </c>
      <c r="D35" s="11">
        <f>IFERROR((1+D30)/(1+D34)-1,"n/a")</f>
        <v>0</v>
      </c>
      <c r="E35" s="11">
        <f>IFERROR((1+E30)/(1+E34)-1,"n/a")</f>
        <v>0</v>
      </c>
      <c r="F35" s="11">
        <f>IFERROR((1+F30)/(1+F34)-1,"n/a")</f>
        <v>0</v>
      </c>
      <c r="G35" s="11">
        <f>IFERROR((1+G30)/(1+G34)-1,"n/a")</f>
        <v>0</v>
      </c>
      <c r="H35" s="50">
        <f>IFERROR((1+H30)/(1+H34)-1,"n/a")</f>
        <v>0</v>
      </c>
      <c r="I35" s="13" t="s">
        <v>136</v>
      </c>
    </row>
    <row r="36">
      <c r="A36" s="1"/>
      <c r="B36" s="15" t="s">
        <v>107</v>
      </c>
      <c r="C36" s="11" t="s">
        <v>44</v>
      </c>
      <c r="D36" s="11" t="s">
        <v>44</v>
      </c>
      <c r="E36" s="11" t="s">
        <v>44</v>
      </c>
      <c r="F36" s="11" t="s">
        <v>44</v>
      </c>
      <c r="G36" s="11" t="s">
        <v>44</v>
      </c>
      <c r="H36" s="50" t="s">
        <v>44</v>
      </c>
      <c r="I36" s="13" t="s">
        <v>125</v>
      </c>
    </row>
    <row r="37" ht="34.5">
      <c r="A37" s="1"/>
      <c r="B37" s="57" t="s">
        <v>137</v>
      </c>
      <c r="C37" s="11" t="s">
        <v>44</v>
      </c>
      <c r="D37" s="11" t="s">
        <v>44</v>
      </c>
      <c r="E37" s="11" t="s">
        <v>44</v>
      </c>
      <c r="F37" s="11" t="s">
        <v>44</v>
      </c>
      <c r="G37" s="11" t="s">
        <v>44</v>
      </c>
      <c r="H37" s="50" t="s">
        <v>44</v>
      </c>
      <c r="I37" s="13" t="s">
        <v>138</v>
      </c>
    </row>
    <row r="38" ht="24">
      <c r="A38" s="1"/>
      <c r="B38" s="4" t="s">
        <v>310</v>
      </c>
      <c r="C38" s="22">
        <f>C12-F72</f>
        <v>26</v>
      </c>
      <c r="D38" s="22">
        <f>D12-C12</f>
        <v>-2</v>
      </c>
      <c r="E38" s="22">
        <f>E12-D12</f>
        <v>13</v>
      </c>
      <c r="F38" s="22">
        <f>F12-E12</f>
        <v>45</v>
      </c>
      <c r="G38" s="22" t="s">
        <v>44</v>
      </c>
      <c r="H38" s="37">
        <f>H12-F12</f>
        <v>29.75999999999999</v>
      </c>
      <c r="I38" s="13"/>
    </row>
    <row r="39" ht="24">
      <c r="A39" s="1"/>
      <c r="B39" s="4" t="s">
        <v>311</v>
      </c>
      <c r="C39" s="22">
        <f>C22-F73</f>
        <v>-212</v>
      </c>
      <c r="D39" s="22">
        <f>D22-C22</f>
        <v>50</v>
      </c>
      <c r="E39" s="22">
        <f>E22-D22</f>
        <v>-15</v>
      </c>
      <c r="F39" s="22">
        <f>F22-E22</f>
        <v>17</v>
      </c>
      <c r="G39" s="22" t="s">
        <v>44</v>
      </c>
      <c r="H39" s="37">
        <f>H22-F22</f>
        <v>-3.1899999999999977</v>
      </c>
      <c r="I39" s="13"/>
    </row>
    <row r="40" ht="24">
      <c r="A40" s="1"/>
      <c r="B40" s="26" t="s">
        <v>194</v>
      </c>
      <c r="C40" s="29">
        <f>C10+C38+C39</f>
        <v>397</v>
      </c>
      <c r="D40" s="29">
        <f>D10+D38+D39</f>
        <v>445</v>
      </c>
      <c r="E40" s="29">
        <f>E10+E38+E39</f>
        <v>443</v>
      </c>
      <c r="F40" s="29">
        <f>F10+F38+F39</f>
        <v>505</v>
      </c>
      <c r="G40" s="29" t="s">
        <v>44</v>
      </c>
      <c r="H40" s="47">
        <f>H10+H38+H39</f>
        <v>531.5699999999999</v>
      </c>
      <c r="I40" s="13"/>
    </row>
    <row r="41" ht="24">
      <c r="A41" s="1"/>
      <c r="B41" s="4" t="s">
        <v>195</v>
      </c>
      <c r="C41" s="38" t="b">
        <f>ROUND(C40-C29,6)=0</f>
        <v>1</v>
      </c>
      <c r="D41" s="38" t="b">
        <f>ROUND(D40-D29,6)=0</f>
        <v>1</v>
      </c>
      <c r="E41" s="38" t="b">
        <f>ROUND(E40-E29,6)=0</f>
        <v>1</v>
      </c>
      <c r="F41" s="38" t="b">
        <f>ROUND(F40-F29,6)=0</f>
        <v>1</v>
      </c>
      <c r="G41" s="38" t="s">
        <v>44</v>
      </c>
      <c r="H41" s="68" t="b">
        <f>ROUND(H40-H29,6)=0</f>
        <v>1</v>
      </c>
      <c r="I41" s="13"/>
    </row>
    <row r="42">
      <c r="A42" s="1"/>
      <c r="B42" s="15" t="s">
        <v>312</v>
      </c>
      <c r="C42" s="11">
        <f>C12/C29</f>
        <v>0.327455919395466</v>
      </c>
      <c r="D42" s="11">
        <f>D12/D29</f>
        <v>0.2876404494382023</v>
      </c>
      <c r="E42" s="11">
        <f>E12/E29</f>
        <v>0.3182844243792325</v>
      </c>
      <c r="F42" s="11">
        <f>F12/F29</f>
        <v>0.3683168316831683</v>
      </c>
      <c r="G42" s="11">
        <f>G12/G29</f>
        <v>0.23100150981378964</v>
      </c>
      <c r="H42" s="50">
        <f>H12/H29</f>
        <v>0.4058919803600655</v>
      </c>
      <c r="I42" s="13"/>
    </row>
    <row r="43">
      <c r="A43" s="1"/>
      <c r="B43" s="15" t="s">
        <v>197</v>
      </c>
      <c r="C43" s="60">
        <f>C29/'Revenue summary'!C63</f>
        <v>0.0444668458781362</v>
      </c>
      <c r="D43" s="60">
        <f>D29/'Revenue summary'!D63</f>
        <v>0.045664443304258596</v>
      </c>
      <c r="E43" s="60">
        <f>E29/'Revenue summary'!E63</f>
        <v>0.05079692695791767</v>
      </c>
      <c r="F43" s="60">
        <f>F29/'Revenue summary'!F63</f>
        <v>0.0562862238074008</v>
      </c>
      <c r="G43" s="60">
        <f>G29/'Revenue summary'!G63</f>
        <v>0.05564423534683133</v>
      </c>
      <c r="H43" s="70">
        <f>H29/'Revenue summary'!H63</f>
        <v>0.05735537617469568</v>
      </c>
      <c r="I43" s="13"/>
    </row>
    <row r="44">
      <c r="A44" s="1"/>
      <c r="B44" s="1" t="s">
        <v>313</v>
      </c>
      <c r="C44" s="59" t="s">
        <v>44</v>
      </c>
      <c r="D44" s="59" t="s">
        <v>44</v>
      </c>
      <c r="E44" s="59" t="s">
        <v>44</v>
      </c>
      <c r="F44" s="59" t="s">
        <v>44</v>
      </c>
      <c r="G44" s="59" t="s">
        <v>44</v>
      </c>
      <c r="H44" s="78" t="s">
        <v>44</v>
      </c>
      <c r="I44" s="13" t="s">
        <v>314</v>
      </c>
    </row>
    <row r="45">
      <c r="A45" s="1"/>
      <c r="B45" s="41" t="s">
        <v>220</v>
      </c>
      <c r="C45" s="1"/>
      <c r="D45" s="1"/>
      <c r="E45" s="1"/>
      <c r="F45" s="1"/>
      <c r="G45" s="1"/>
      <c r="H45" s="53"/>
      <c r="I45" s="13"/>
    </row>
    <row r="46">
      <c r="A46" s="1"/>
      <c r="B46" s="45" t="s">
        <v>221</v>
      </c>
      <c r="C46" s="62">
        <v>96</v>
      </c>
      <c r="D46" s="62">
        <v>85</v>
      </c>
      <c r="E46" s="62">
        <v>113</v>
      </c>
      <c r="F46" s="62">
        <v>142</v>
      </c>
      <c r="G46" s="29">
        <f>E76+F76+C46+D46</f>
        <v>498</v>
      </c>
      <c r="H46" s="47">
        <f>H29*H47</f>
        <v>138.20819999999998</v>
      </c>
      <c r="I46" s="13"/>
    </row>
    <row r="47" ht="24">
      <c r="A47" s="1"/>
      <c r="B47" s="57" t="s">
        <v>222</v>
      </c>
      <c r="C47" s="11">
        <f>IFERROR(C46/C29,"n/a")</f>
        <v>0.24181360201511334</v>
      </c>
      <c r="D47" s="11">
        <f>IFERROR(D46/D29,"n/a")</f>
        <v>0.19101123595505617</v>
      </c>
      <c r="E47" s="11">
        <f>IFERROR(E46/E29,"n/a")</f>
        <v>0.255079006772009</v>
      </c>
      <c r="F47" s="11">
        <f>IFERROR(F46/F29,"n/a")</f>
        <v>0.2811881188118812</v>
      </c>
      <c r="G47" s="11">
        <f>IFERROR(G46/G29,"n/a")</f>
        <v>0.2506290890790136</v>
      </c>
      <c r="H47" s="66">
        <v>0.26</v>
      </c>
      <c r="I47" s="13" t="s">
        <v>315</v>
      </c>
    </row>
    <row r="48">
      <c r="A48" s="1"/>
      <c r="B48" s="15" t="s">
        <v>119</v>
      </c>
      <c r="C48" s="40">
        <f>IFERROR((C47-C77)*10000,"n/a")</f>
        <v>-975.3657849030182</v>
      </c>
      <c r="D48" s="40">
        <f>IFERROR((D47-D77)*10000,"n/a")</f>
        <v>-1302.9460596934248</v>
      </c>
      <c r="E48" s="40">
        <f>IFERROR((E47-E77)*10000,"n/a")</f>
        <v>-331.7722098599812</v>
      </c>
      <c r="F48" s="40">
        <f>IFERROR((F47-F77)*10000,"n/a")</f>
        <v>153.2190954944551</v>
      </c>
      <c r="G48" s="40">
        <f>IFERROR((G47-G77)*10000,"n/a")</f>
        <v>-1154.5499216803412</v>
      </c>
      <c r="H48" s="56">
        <f>IFERROR((H47-H77)*10000,"n/a")</f>
        <v>181.86397984886665</v>
      </c>
      <c r="I48" s="13"/>
    </row>
    <row r="49">
      <c r="A49" s="1"/>
      <c r="B49" s="15" t="s">
        <v>120</v>
      </c>
      <c r="C49" s="40">
        <f>IFERROR((C47-F77)*10000,"n/a")</f>
        <v>-240.5260724732236</v>
      </c>
      <c r="D49" s="40">
        <f>IFERROR((D47-C47)*10000,"n/a")</f>
        <v>-508.0236606005717</v>
      </c>
      <c r="E49" s="40">
        <f>IFERROR((E47-D47)*10000,"n/a")</f>
        <v>640.6777081695284</v>
      </c>
      <c r="F49" s="40">
        <f>IFERROR((F47-E47)*10000,"n/a")</f>
        <v>261.09112039872207</v>
      </c>
      <c r="G49" s="40" t="s">
        <v>44</v>
      </c>
      <c r="H49" s="56">
        <f>IFERROR((H47-F47)*10000,"n/a")</f>
        <v>-211.88118811881208</v>
      </c>
      <c r="I49" s="13"/>
    </row>
    <row r="50">
      <c r="A50" s="1"/>
      <c r="B50" s="15" t="s">
        <v>102</v>
      </c>
      <c r="C50" s="11">
        <f>IFERROR(C46/C76-1,"n/a")</f>
        <v>-0.4893617021276596</v>
      </c>
      <c r="D50" s="11">
        <f>IFERROR(D46/D76-1,"n/a")</f>
        <v>-0.5454545454545454</v>
      </c>
      <c r="E50" s="11">
        <f>IFERROR(E46/E76-1,"n/a")</f>
        <v>-0.30246913580246915</v>
      </c>
      <c r="F50" s="11">
        <f>IFERROR(F46/F76-1,"n/a")</f>
        <v>-0.08387096774193548</v>
      </c>
      <c r="G50" s="11">
        <f>IFERROR(G46/G76-1,"n/a")</f>
        <v>-0.3574193548387097</v>
      </c>
      <c r="H50" s="50">
        <f>IFERROR(H46/H76-1,"n/a")</f>
        <v>0.43966874999999983</v>
      </c>
      <c r="I50" s="13"/>
    </row>
    <row r="51">
      <c r="A51" s="1"/>
      <c r="B51" s="15" t="s">
        <v>123</v>
      </c>
      <c r="C51" s="5">
        <f>C46-F76</f>
        <v>-59</v>
      </c>
      <c r="D51" s="5">
        <f>D46-C46</f>
        <v>-11</v>
      </c>
      <c r="E51" s="5">
        <f>E46-D46</f>
        <v>28</v>
      </c>
      <c r="F51" s="5">
        <f>F46-E46</f>
        <v>29</v>
      </c>
      <c r="G51" s="5" t="s">
        <v>44</v>
      </c>
      <c r="H51" s="21">
        <f>H46-F46</f>
        <v>-3.7918000000000234</v>
      </c>
      <c r="I51" s="13"/>
    </row>
    <row r="52" ht="24">
      <c r="A52" s="1"/>
      <c r="B52" s="57" t="s">
        <v>224</v>
      </c>
      <c r="C52" s="11">
        <f>IFERROR((C46-F76)/(C29-F74),"n/a")</f>
        <v>0.3172043010752688</v>
      </c>
      <c r="D52" s="11">
        <f>IFERROR((D46-C46)/(D29-C29),"n/a")</f>
        <v>-0.22916666666666666</v>
      </c>
      <c r="E52" s="11">
        <f>IFERROR((E46-D46)/(E29-D29),"n/a")</f>
        <v>-14</v>
      </c>
      <c r="F52" s="11">
        <f>IFERROR((F46-E46)/(F29-E29),"n/a")</f>
        <v>0.46774193548387094</v>
      </c>
      <c r="G52" s="11" t="s">
        <v>44</v>
      </c>
      <c r="H52" s="50">
        <f>IFERROR((H46-F46)/(H29-F29),"n/a")</f>
        <v>-0.1427098231087705</v>
      </c>
      <c r="I52" s="13"/>
    </row>
    <row r="53">
      <c r="A53" s="1"/>
      <c r="B53" s="1" t="s">
        <v>225</v>
      </c>
      <c r="C53" s="22">
        <f>C68-C46-C59</f>
        <v>62</v>
      </c>
      <c r="D53" s="9">
        <v>85</v>
      </c>
      <c r="E53" s="9">
        <v>84</v>
      </c>
      <c r="F53" s="9">
        <v>85</v>
      </c>
      <c r="G53" s="22">
        <f>E78+F78+C53+D53</f>
        <v>375</v>
      </c>
      <c r="H53" s="8">
        <v>85</v>
      </c>
      <c r="I53" s="13" t="s">
        <v>316</v>
      </c>
    </row>
    <row r="54">
      <c r="A54" s="1"/>
      <c r="B54" s="15" t="s">
        <v>102</v>
      </c>
      <c r="C54" s="11" t="s">
        <v>44</v>
      </c>
      <c r="D54" s="11" t="s">
        <v>44</v>
      </c>
      <c r="E54" s="11">
        <f>IFERROR(E53/E78-1,"n/a")</f>
        <v>-0.2432432432432432</v>
      </c>
      <c r="F54" s="11">
        <f>IFERROR(F53/F78-1,"n/a")</f>
        <v>-0.27350427350427353</v>
      </c>
      <c r="G54" s="11">
        <f>IFERROR(G53/G78-1,"n/a")</f>
        <v>-0.22360248447204967</v>
      </c>
      <c r="H54" s="50">
        <f>IFERROR(H53/H78-1,"n/a")</f>
        <v>0.37096774193548376</v>
      </c>
      <c r="I54" s="13" t="s">
        <v>204</v>
      </c>
    </row>
    <row r="55">
      <c r="A55" s="1"/>
      <c r="B55" s="15" t="s">
        <v>123</v>
      </c>
      <c r="C55" s="5">
        <f>C53-F78</f>
        <v>-55</v>
      </c>
      <c r="D55" s="5">
        <f>D53-C53</f>
        <v>23</v>
      </c>
      <c r="E55" s="5">
        <f>E53-D53</f>
        <v>-1</v>
      </c>
      <c r="F55" s="5">
        <f>F53-E53</f>
        <v>1</v>
      </c>
      <c r="G55" s="5" t="s">
        <v>44</v>
      </c>
      <c r="H55" s="21">
        <f>H53-F53</f>
        <v>0</v>
      </c>
      <c r="I55" s="13"/>
    </row>
    <row r="56">
      <c r="A56" s="1"/>
      <c r="B56" s="15" t="s">
        <v>227</v>
      </c>
      <c r="C56" s="11">
        <f>IFERROR(C53/C29,"n/a")</f>
        <v>0.1561712846347607</v>
      </c>
      <c r="D56" s="11">
        <f>IFERROR(D53/D29,"n/a")</f>
        <v>0.19101123595505617</v>
      </c>
      <c r="E56" s="11">
        <f>IFERROR(E53/E29,"n/a")</f>
        <v>0.18961625282167044</v>
      </c>
      <c r="F56" s="11">
        <f>IFERROR(F53/F29,"n/a")</f>
        <v>0.16831683168316833</v>
      </c>
      <c r="G56" s="11">
        <f>IFERROR(G53/G29,"n/a")</f>
        <v>0.1887267237040765</v>
      </c>
      <c r="H56" s="50">
        <f>IFERROR(H53/H29,"n/a")</f>
        <v>0.15990368154711518</v>
      </c>
      <c r="I56" s="13"/>
    </row>
    <row r="57">
      <c r="A57" s="1"/>
      <c r="B57" s="15" t="s">
        <v>119</v>
      </c>
      <c r="C57" s="40" t="s">
        <v>44</v>
      </c>
      <c r="D57" s="40" t="s">
        <v>44</v>
      </c>
      <c r="E57" s="40">
        <f>IFERROR((E56-E79)*10000,"n/a")</f>
        <v>-78.92643975482588</v>
      </c>
      <c r="F57" s="40">
        <f>IFERROR((F56-F79)*10000,"n/a")</f>
        <v>-323.6927466331538</v>
      </c>
      <c r="G57" s="40">
        <f>IFERROR((G56-G79)*10000,"n/a")</f>
        <v>-394.2632306021257</v>
      </c>
      <c r="H57" s="56">
        <f>IFERROR((H56-H79)*10000,"n/a")</f>
        <v>37.323969123544686</v>
      </c>
      <c r="I57" s="13"/>
    </row>
    <row r="58">
      <c r="A58" s="1"/>
      <c r="B58" s="15" t="s">
        <v>120</v>
      </c>
      <c r="C58" s="40">
        <f>IFERROR((C56-F79)*10000,"n/a")</f>
        <v>-445.14821711722993</v>
      </c>
      <c r="D58" s="40">
        <f>IFERROR((D56-C56)*10000,"n/a")</f>
        <v>348.39951320295467</v>
      </c>
      <c r="E58" s="40">
        <f>IFERROR((E56-D56)*10000,"n/a")</f>
        <v>-13.949831333857354</v>
      </c>
      <c r="F58" s="40">
        <f>IFERROR((F56-E56)*10000,"n/a")</f>
        <v>-212.99421138502112</v>
      </c>
      <c r="G58" s="40" t="s">
        <v>44</v>
      </c>
      <c r="H58" s="56">
        <f>IFERROR((H56-F56)*10000,"n/a")</f>
        <v>-84.13150136053149</v>
      </c>
      <c r="I58" s="13"/>
    </row>
    <row r="59" ht="24">
      <c r="A59" s="1"/>
      <c r="B59" s="4" t="s">
        <v>228</v>
      </c>
      <c r="C59" s="9">
        <v>0</v>
      </c>
      <c r="D59" s="9">
        <v>0</v>
      </c>
      <c r="E59" s="9">
        <v>0</v>
      </c>
      <c r="F59" s="9">
        <v>0</v>
      </c>
      <c r="G59" s="22">
        <f>E80+F80+C59+D59</f>
        <v>6</v>
      </c>
      <c r="H59" s="8">
        <v>0</v>
      </c>
      <c r="I59" s="13" t="s">
        <v>229</v>
      </c>
    </row>
    <row r="60">
      <c r="A60" s="1"/>
      <c r="B60" s="15" t="s">
        <v>122</v>
      </c>
      <c r="C60" s="5" t="s">
        <v>44</v>
      </c>
      <c r="D60" s="5" t="s">
        <v>44</v>
      </c>
      <c r="E60" s="5">
        <f>E59-E80</f>
        <v>-3</v>
      </c>
      <c r="F60" s="5">
        <f>F59-F80</f>
        <v>-3</v>
      </c>
      <c r="G60" s="5">
        <f>G59-G80</f>
        <v>-7</v>
      </c>
      <c r="H60" s="21">
        <f>H59-H80</f>
        <v>0</v>
      </c>
      <c r="I60" s="13" t="s">
        <v>204</v>
      </c>
    </row>
    <row r="61">
      <c r="A61" s="1"/>
      <c r="B61" s="15" t="s">
        <v>123</v>
      </c>
      <c r="C61" s="5">
        <f>C59-F80</f>
        <v>-3</v>
      </c>
      <c r="D61" s="5">
        <f>D59-C59</f>
        <v>0</v>
      </c>
      <c r="E61" s="5">
        <f>E59-D59</f>
        <v>0</v>
      </c>
      <c r="F61" s="5">
        <f>F59-E59</f>
        <v>0</v>
      </c>
      <c r="G61" s="5" t="s">
        <v>44</v>
      </c>
      <c r="H61" s="21">
        <f>H59-F59</f>
        <v>0</v>
      </c>
      <c r="I61" s="13"/>
    </row>
    <row r="62">
      <c r="A62" s="1"/>
      <c r="B62" s="45" t="s">
        <v>230</v>
      </c>
      <c r="C62" s="29">
        <f>C46+C53+C59</f>
        <v>158</v>
      </c>
      <c r="D62" s="29">
        <f>D46+D53+D59</f>
        <v>170</v>
      </c>
      <c r="E62" s="29">
        <f>E46+E53+E59</f>
        <v>197</v>
      </c>
      <c r="F62" s="29">
        <f>F46+F53+F59</f>
        <v>227</v>
      </c>
      <c r="G62" s="29">
        <f>G46+G53+G59</f>
        <v>879</v>
      </c>
      <c r="H62" s="47">
        <f>H46+H53+H59</f>
        <v>223.20819999999998</v>
      </c>
      <c r="I62" s="13"/>
    </row>
    <row r="63">
      <c r="A63" s="1"/>
      <c r="B63" s="15" t="s">
        <v>102</v>
      </c>
      <c r="C63" s="11" t="s">
        <v>44</v>
      </c>
      <c r="D63" s="11">
        <f>IFERROR(D62/D81-1,"n/a")</f>
        <v>-0.4637223974763407</v>
      </c>
      <c r="E63" s="11">
        <f>IFERROR(E62/E81-1,"n/a")</f>
        <v>-0.28623188405797106</v>
      </c>
      <c r="F63" s="11">
        <f>IFERROR(F62/F81-1,"n/a")</f>
        <v>-0.17454545454545456</v>
      </c>
      <c r="G63" s="11">
        <f>IFERROR(G62/G81-1,"n/a")</f>
        <v>-0.30841856805664836</v>
      </c>
      <c r="H63" s="50">
        <f>IFERROR(H62/H81-1,"n/a")</f>
        <v>0.41271012658227835</v>
      </c>
      <c r="I63" s="13" t="s">
        <v>204</v>
      </c>
    </row>
    <row r="64">
      <c r="A64" s="1"/>
      <c r="B64" s="15" t="s">
        <v>123</v>
      </c>
      <c r="C64" s="5">
        <f>C62-F81</f>
        <v>-117</v>
      </c>
      <c r="D64" s="5">
        <f>D62-C62</f>
        <v>12</v>
      </c>
      <c r="E64" s="5">
        <f>E62-D62</f>
        <v>27</v>
      </c>
      <c r="F64" s="5">
        <f>F62-E62</f>
        <v>30</v>
      </c>
      <c r="G64" s="5" t="s">
        <v>44</v>
      </c>
      <c r="H64" s="21">
        <f>H62-F62</f>
        <v>-3.7918000000000234</v>
      </c>
      <c r="I64" s="13"/>
    </row>
    <row r="65">
      <c r="A65" s="1"/>
      <c r="B65" s="15" t="s">
        <v>231</v>
      </c>
      <c r="C65" s="11">
        <f>IFERROR(C62/C29,"n/a")</f>
        <v>0.3979848866498741</v>
      </c>
      <c r="D65" s="11">
        <f>IFERROR(D62/D29,"n/a")</f>
        <v>0.38202247191011235</v>
      </c>
      <c r="E65" s="11">
        <f>IFERROR(E62/E29,"n/a")</f>
        <v>0.44469525959367945</v>
      </c>
      <c r="F65" s="11">
        <f>IFERROR(F62/F29,"n/a")</f>
        <v>0.4495049504950495</v>
      </c>
      <c r="G65" s="11">
        <f>IFERROR(G62/G29,"n/a")</f>
        <v>0.4423754403623553</v>
      </c>
      <c r="H65" s="50">
        <f>IFERROR(H62/H29,"n/a")</f>
        <v>0.41990368154711516</v>
      </c>
      <c r="I65" s="13"/>
    </row>
    <row r="66">
      <c r="A66" s="1"/>
      <c r="B66" s="15" t="s">
        <v>119</v>
      </c>
      <c r="C66" s="40" t="s">
        <v>44</v>
      </c>
      <c r="D66" s="40">
        <f>IFERROR((D65-D82)*10000,"n/a")</f>
        <v>-1626.5106760878796</v>
      </c>
      <c r="E66" s="40">
        <f>IFERROR((E65-E82)*10000,"n/a")</f>
        <v>-464.07943253295616</v>
      </c>
      <c r="F66" s="40">
        <f>IFERROR((F65-F82)*10000,"n/a")</f>
        <v>-221.93162712497661</v>
      </c>
      <c r="G66" s="40">
        <f>IFERROR((G65-G82)*10000,"n/a")</f>
        <v>-1580.024528828029</v>
      </c>
      <c r="H66" s="56">
        <f>IFERROR((H65-H82)*10000,"n/a")</f>
        <v>219.1879489724108</v>
      </c>
      <c r="I66" s="13"/>
    </row>
    <row r="67">
      <c r="A67" s="1"/>
      <c r="B67" s="15" t="s">
        <v>120</v>
      </c>
      <c r="C67" s="40">
        <f>IFERROR((C65-F82)*10000,"n/a")</f>
        <v>-737.1322655767309</v>
      </c>
      <c r="D67" s="40">
        <f>IFERROR((D65-C65)*10000,"n/a")</f>
        <v>-159.62414739761732</v>
      </c>
      <c r="E67" s="40">
        <f>IFERROR((E65-D65)*10000,"n/a")</f>
        <v>626.7278768356709</v>
      </c>
      <c r="F67" s="40">
        <f>IFERROR((F65-E65)*10000,"n/a")</f>
        <v>48.096909013700675</v>
      </c>
      <c r="G67" s="40" t="s">
        <v>44</v>
      </c>
      <c r="H67" s="56">
        <f>IFERROR((H65-F65)*10000,"n/a")</f>
        <v>-296.0126894793436</v>
      </c>
      <c r="I67" s="13"/>
    </row>
    <row r="68" ht="24">
      <c r="A68" s="1"/>
      <c r="B68" s="4" t="s">
        <v>232</v>
      </c>
      <c r="C68" s="9">
        <v>158</v>
      </c>
      <c r="D68" s="9">
        <v>170</v>
      </c>
      <c r="E68" s="9">
        <v>197</v>
      </c>
      <c r="F68" s="9">
        <v>227</v>
      </c>
      <c r="G68" s="9">
        <v>880</v>
      </c>
      <c r="H68" s="37" t="s">
        <v>44</v>
      </c>
      <c r="I68" s="13" t="s">
        <v>143</v>
      </c>
    </row>
    <row r="69">
      <c r="A69" s="1"/>
      <c r="B69" s="15" t="s">
        <v>144</v>
      </c>
      <c r="C69" s="5">
        <f>C62-C68</f>
        <v>0</v>
      </c>
      <c r="D69" s="5">
        <f>D62-D68</f>
        <v>0</v>
      </c>
      <c r="E69" s="5">
        <f>E62-E68</f>
        <v>0</v>
      </c>
      <c r="F69" s="5">
        <f>F62-F68</f>
        <v>0</v>
      </c>
      <c r="G69" s="5">
        <f>G62-G68</f>
        <v>-1</v>
      </c>
      <c r="H69" s="21" t="s">
        <v>44</v>
      </c>
      <c r="I69" s="13"/>
    </row>
    <row r="70">
      <c r="A70" s="1"/>
      <c r="B70" s="1"/>
      <c r="C70" s="1"/>
      <c r="D70" s="1"/>
      <c r="E70" s="1"/>
      <c r="F70" s="1"/>
      <c r="G70" s="1"/>
      <c r="H70" s="53"/>
      <c r="I70" s="13"/>
    </row>
    <row r="71">
      <c r="A71" s="1"/>
      <c r="B71" s="41" t="s">
        <v>155</v>
      </c>
      <c r="C71" s="1"/>
      <c r="D71" s="1"/>
      <c r="E71" s="1"/>
      <c r="F71" s="1"/>
      <c r="G71" s="1"/>
      <c r="H71" s="53"/>
      <c r="I71" s="13" t="s">
        <v>156</v>
      </c>
    </row>
    <row r="72" ht="24">
      <c r="A72" s="1"/>
      <c r="B72" s="4" t="s">
        <v>317</v>
      </c>
      <c r="C72" s="22"/>
      <c r="D72" s="9">
        <v>70</v>
      </c>
      <c r="E72" s="9">
        <v>97</v>
      </c>
      <c r="F72" s="9">
        <v>104</v>
      </c>
      <c r="G72" s="9">
        <v>208</v>
      </c>
      <c r="H72" s="37">
        <f>C12</f>
        <v>130</v>
      </c>
      <c r="I72" s="13"/>
    </row>
    <row r="73" ht="24">
      <c r="A73" s="1"/>
      <c r="B73" s="4" t="s">
        <v>318</v>
      </c>
      <c r="C73" s="22"/>
      <c r="D73" s="22">
        <f>D74-D72</f>
        <v>512</v>
      </c>
      <c r="E73" s="22">
        <f>E74-E72</f>
        <v>465</v>
      </c>
      <c r="F73" s="22">
        <f>F74-F72</f>
        <v>479</v>
      </c>
      <c r="G73" s="22">
        <f>G74-G72</f>
        <v>1909</v>
      </c>
      <c r="H73" s="37">
        <f>C22</f>
        <v>267</v>
      </c>
      <c r="I73" s="13"/>
    </row>
    <row r="74" ht="24">
      <c r="A74" s="1"/>
      <c r="B74" s="4" t="s">
        <v>319</v>
      </c>
      <c r="C74" s="9">
        <v>554</v>
      </c>
      <c r="D74" s="9">
        <v>582</v>
      </c>
      <c r="E74" s="9">
        <v>562</v>
      </c>
      <c r="F74" s="9">
        <v>583</v>
      </c>
      <c r="G74" s="9">
        <v>2117</v>
      </c>
      <c r="H74" s="37">
        <f>C29</f>
        <v>397</v>
      </c>
      <c r="I74" s="13"/>
    </row>
    <row r="75" ht="24">
      <c r="A75" s="1"/>
      <c r="B75" s="4" t="s">
        <v>320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37">
        <f>C33</f>
        <v>0</v>
      </c>
      <c r="I75" s="13"/>
    </row>
    <row r="76" ht="24">
      <c r="A76" s="1"/>
      <c r="B76" s="4" t="s">
        <v>243</v>
      </c>
      <c r="C76" s="9">
        <v>188</v>
      </c>
      <c r="D76" s="9">
        <v>187</v>
      </c>
      <c r="E76" s="9">
        <v>162</v>
      </c>
      <c r="F76" s="9">
        <v>155</v>
      </c>
      <c r="G76" s="9">
        <v>775</v>
      </c>
      <c r="H76" s="37">
        <f>C46</f>
        <v>96</v>
      </c>
      <c r="I76" s="13"/>
    </row>
    <row r="77" ht="24">
      <c r="A77" s="1"/>
      <c r="B77" s="57" t="s">
        <v>244</v>
      </c>
      <c r="C77" s="11">
        <f>IFERROR(C76/C74,"n/a")</f>
        <v>0.33935018050541516</v>
      </c>
      <c r="D77" s="11">
        <f>IFERROR(D76/D74,"n/a")</f>
        <v>0.32130584192439865</v>
      </c>
      <c r="E77" s="11">
        <f>IFERROR(E76/E74,"n/a")</f>
        <v>0.28825622775800713</v>
      </c>
      <c r="F77" s="11">
        <f>IFERROR(F76/F74,"n/a")</f>
        <v>0.2658662092624357</v>
      </c>
      <c r="G77" s="11">
        <f>IFERROR(G76/G74,"n/a")</f>
        <v>0.3660840812470477</v>
      </c>
      <c r="H77" s="50">
        <f>C47</f>
        <v>0.24181360201511334</v>
      </c>
      <c r="I77" s="13"/>
    </row>
    <row r="78">
      <c r="A78" s="1"/>
      <c r="B78" s="1" t="s">
        <v>245</v>
      </c>
      <c r="C78" s="22"/>
      <c r="D78" s="22"/>
      <c r="E78" s="9">
        <v>111</v>
      </c>
      <c r="F78" s="9">
        <v>117</v>
      </c>
      <c r="G78" s="9">
        <v>483</v>
      </c>
      <c r="H78" s="37">
        <f>C53</f>
        <v>62</v>
      </c>
      <c r="I78" s="13"/>
    </row>
    <row r="79">
      <c r="A79" s="1"/>
      <c r="B79" s="15" t="s">
        <v>246</v>
      </c>
      <c r="C79" s="11"/>
      <c r="D79" s="11"/>
      <c r="E79" s="11">
        <f>IFERROR(E78/E74,"n/a")</f>
        <v>0.19750889679715303</v>
      </c>
      <c r="F79" s="11">
        <f>IFERROR(F78/F74,"n/a")</f>
        <v>0.2006861063464837</v>
      </c>
      <c r="G79" s="11">
        <f>IFERROR(G78/G74,"n/a")</f>
        <v>0.22815304676428907</v>
      </c>
      <c r="H79" s="50">
        <f>C56</f>
        <v>0.1561712846347607</v>
      </c>
      <c r="I79" s="13"/>
    </row>
    <row r="80" ht="34.5">
      <c r="A80" s="1"/>
      <c r="B80" s="4" t="s">
        <v>247</v>
      </c>
      <c r="C80" s="22"/>
      <c r="D80" s="22"/>
      <c r="E80" s="9">
        <v>3</v>
      </c>
      <c r="F80" s="9">
        <v>3</v>
      </c>
      <c r="G80" s="9">
        <v>13</v>
      </c>
      <c r="H80" s="37">
        <f>C59</f>
        <v>0</v>
      </c>
      <c r="I80" s="13"/>
    </row>
    <row r="81">
      <c r="A81" s="1"/>
      <c r="B81" s="1" t="s">
        <v>248</v>
      </c>
      <c r="C81" s="22"/>
      <c r="D81" s="9">
        <v>317</v>
      </c>
      <c r="E81" s="22">
        <f>E76+E78+E80</f>
        <v>276</v>
      </c>
      <c r="F81" s="22">
        <f>F76+F78+F80</f>
        <v>275</v>
      </c>
      <c r="G81" s="22">
        <f>G76+G78+G80</f>
        <v>1271</v>
      </c>
      <c r="H81" s="37">
        <f>C62</f>
        <v>158</v>
      </c>
      <c r="I81" s="13"/>
    </row>
    <row r="82">
      <c r="A82" s="1"/>
      <c r="B82" s="15" t="s">
        <v>249</v>
      </c>
      <c r="C82" s="11"/>
      <c r="D82" s="11">
        <f>IFERROR(D81/D74,"n/a")</f>
        <v>0.5446735395189003</v>
      </c>
      <c r="E82" s="11">
        <f>IFERROR(E81/E74,"n/a")</f>
        <v>0.49110320284697506</v>
      </c>
      <c r="F82" s="11">
        <f>IFERROR(F81/F74,"n/a")</f>
        <v>0.4716981132075472</v>
      </c>
      <c r="G82" s="11">
        <f>IFERROR(G81/G74,"n/a")</f>
        <v>0.6003778932451582</v>
      </c>
      <c r="H82" s="50">
        <f>C65</f>
        <v>0.3979848866498741</v>
      </c>
      <c r="I82" s="13"/>
    </row>
    <row r="83">
      <c r="A83" s="1"/>
      <c r="B83" s="1"/>
      <c r="C83" s="1"/>
      <c r="D83" s="1"/>
      <c r="E83" s="1"/>
      <c r="F83" s="1"/>
      <c r="G83" s="1"/>
      <c r="H83" s="1"/>
      <c r="I83" s="1"/>
    </row>
    <row r="84">
      <c r="A84" s="1"/>
      <c r="B84" s="1"/>
      <c r="C84" s="1"/>
      <c r="D84" s="1"/>
      <c r="E84" s="1"/>
      <c r="F84" s="1"/>
      <c r="G84" s="1"/>
      <c r="H84" s="1"/>
      <c r="I84" s="1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0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51" t="s">
        <v>1</v>
      </c>
      <c r="C2" s="1"/>
      <c r="D2" s="1"/>
      <c r="E2" s="1"/>
      <c r="F2" s="1"/>
      <c r="G2" s="1"/>
      <c r="H2" s="1"/>
      <c r="I2" s="1"/>
    </row>
    <row r="3">
      <c r="A3" s="1"/>
      <c r="B3" s="33" t="s">
        <v>321</v>
      </c>
      <c r="C3" s="1"/>
      <c r="D3" s="1"/>
      <c r="E3" s="1"/>
      <c r="F3" s="1"/>
      <c r="G3" s="1"/>
      <c r="H3" s="1"/>
      <c r="I3" s="1"/>
    </row>
    <row r="4">
      <c r="A4" s="1"/>
      <c r="B4" s="15" t="s">
        <v>3</v>
      </c>
      <c r="C4" s="1"/>
      <c r="D4" s="1"/>
      <c r="E4" s="1"/>
      <c r="F4" s="1"/>
      <c r="G4" s="1"/>
      <c r="H4" s="1"/>
      <c r="I4" s="1"/>
    </row>
    <row r="5">
      <c r="A5" s="1"/>
      <c r="B5" s="4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58" t="s">
        <v>10</v>
      </c>
      <c r="I5" s="46" t="s">
        <v>99</v>
      </c>
    </row>
    <row r="6">
      <c r="A6" s="1"/>
      <c r="B6" s="34" t="s">
        <v>11</v>
      </c>
      <c r="C6" s="18">
        <f>DATE(2025,9,30)</f>
        <v>45930</v>
      </c>
      <c r="D6" s="18">
        <f>DATE(2025,12,31)</f>
        <v>46022</v>
      </c>
      <c r="E6" s="18">
        <f>DATE(2026,3,31)</f>
        <v>46112</v>
      </c>
      <c r="F6" s="18">
        <f>DATE(2026,6,30)</f>
        <v>46203</v>
      </c>
      <c r="G6" s="18">
        <f>DATE(2025,12,31)</f>
        <v>46022</v>
      </c>
      <c r="H6" s="55">
        <f>DATE(2026,9,30)</f>
        <v>46295</v>
      </c>
      <c r="I6" s="34"/>
    </row>
    <row r="7">
      <c r="A7" s="1"/>
      <c r="B7" s="12" t="s">
        <v>12</v>
      </c>
      <c r="C7" s="6">
        <f>C6-EOMONTH(C6,-3)</f>
        <v>92</v>
      </c>
      <c r="D7" s="6">
        <f>D6-EOMONTH(D6,-3)</f>
        <v>92</v>
      </c>
      <c r="E7" s="6">
        <f>E6-EOMONTH(E6,-3)</f>
        <v>90</v>
      </c>
      <c r="F7" s="6">
        <f>F6-EOMONTH(F6,-3)</f>
        <v>91</v>
      </c>
      <c r="G7" s="6">
        <f>G6-EOMONTH(G6,-12)</f>
        <v>365</v>
      </c>
      <c r="H7" s="17">
        <f>H6-EOMONTH(H6,-3)</f>
        <v>92</v>
      </c>
      <c r="I7" s="12"/>
    </row>
    <row r="8">
      <c r="A8" s="1"/>
      <c r="B8" s="1"/>
      <c r="C8" s="1"/>
      <c r="D8" s="1"/>
      <c r="E8" s="1"/>
      <c r="F8" s="1"/>
      <c r="G8" s="1"/>
      <c r="H8" s="53"/>
      <c r="I8" s="1"/>
    </row>
    <row r="9">
      <c r="A9" s="1"/>
      <c r="B9" s="41" t="s">
        <v>322</v>
      </c>
      <c r="C9" s="1"/>
      <c r="D9" s="1"/>
      <c r="E9" s="1"/>
      <c r="F9" s="1"/>
      <c r="G9" s="1"/>
      <c r="H9" s="53"/>
      <c r="I9" s="13"/>
    </row>
    <row r="10">
      <c r="A10" s="1"/>
      <c r="B10" s="45" t="s">
        <v>323</v>
      </c>
      <c r="C10" s="86">
        <f>'Revenue summary'!C63</f>
        <v>8928</v>
      </c>
      <c r="D10" s="86">
        <f>'Revenue summary'!D63</f>
        <v>9745</v>
      </c>
      <c r="E10" s="86">
        <f>'Revenue summary'!E63</f>
        <v>8721</v>
      </c>
      <c r="F10" s="86">
        <f>'Revenue summary'!F63</f>
        <v>8972</v>
      </c>
      <c r="G10" s="86">
        <f>'Revenue summary'!G63</f>
        <v>35709</v>
      </c>
      <c r="H10" s="88">
        <f>'Revenue summary'!H63</f>
        <v>9268.006513999999</v>
      </c>
      <c r="I10" s="13"/>
    </row>
    <row r="11">
      <c r="A11" s="1"/>
      <c r="B11" s="15" t="s">
        <v>102</v>
      </c>
      <c r="C11" s="11">
        <f>IFERROR(C10/C235-1,"n/a")</f>
        <v>-0.025221094005895894</v>
      </c>
      <c r="D11" s="11">
        <f>IFERROR(D10/D235-1,"n/a")</f>
        <v>0.04965532098233516</v>
      </c>
      <c r="E11" s="11">
        <f>IFERROR(E10/E235-1,"n/a")</f>
        <v>0.02720848056537095</v>
      </c>
      <c r="F11" s="11">
        <f>IFERROR(F10/F235-1,"n/a")</f>
        <v>0.04984788205008184</v>
      </c>
      <c r="G11" s="11">
        <f>IFERROR(G10/G235-1,"n/a")</f>
        <v>-0.01598280470666047</v>
      </c>
      <c r="H11" s="50">
        <f>IFERROR(H10/H235-1,"n/a")</f>
        <v>0.03808316689068092</v>
      </c>
      <c r="I11" s="13"/>
    </row>
    <row r="12">
      <c r="A12" s="1"/>
      <c r="B12" s="15" t="s">
        <v>103</v>
      </c>
      <c r="C12" s="11">
        <f>IFERROR(C10/F235-1,"n/a")</f>
        <v>0.044699274514392595</v>
      </c>
      <c r="D12" s="11">
        <f>IFERROR(D10/C10-1,"n/a")</f>
        <v>0.09150985663082434</v>
      </c>
      <c r="E12" s="11">
        <f>IFERROR(E10/D10-1,"n/a")</f>
        <v>-0.10507952796305797</v>
      </c>
      <c r="F12" s="11">
        <f>IFERROR(F10/E10-1,"n/a")</f>
        <v>0.028781103084508652</v>
      </c>
      <c r="G12" s="11" t="s">
        <v>44</v>
      </c>
      <c r="H12" s="50">
        <f>IFERROR(H10/F10-1,"n/a")</f>
        <v>0.032992255238519785</v>
      </c>
      <c r="I12" s="13"/>
    </row>
    <row r="13" ht="24">
      <c r="A13" s="1"/>
      <c r="B13" s="57" t="s">
        <v>324</v>
      </c>
      <c r="C13" s="60">
        <f>'Revenue summary'!C74</f>
        <v>-0.08843760235833609</v>
      </c>
      <c r="D13" s="60">
        <f>'Revenue summary'!D74</f>
        <v>-0.04502369668246442</v>
      </c>
      <c r="E13" s="60">
        <f>'Revenue summary'!E74</f>
        <v>-0.07149587750294462</v>
      </c>
      <c r="F13" s="60">
        <f>'Revenue summary'!F74</f>
        <v>-0.051954130587409275</v>
      </c>
      <c r="G13" s="60">
        <f>'Revenue summary'!G74</f>
        <v>-0.056160268952024084</v>
      </c>
      <c r="H13" s="70">
        <f>'Revenue summary'!H74</f>
        <v>0.004073124206491752</v>
      </c>
      <c r="I13" s="13"/>
    </row>
    <row r="14" ht="24">
      <c r="A14" s="1"/>
      <c r="B14" s="57" t="s">
        <v>135</v>
      </c>
      <c r="C14" s="60">
        <f>'Revenue summary'!C75</f>
        <v>0.06934962270930645</v>
      </c>
      <c r="D14" s="60">
        <f>'Revenue summary'!D75</f>
        <v>0.09914279269117965</v>
      </c>
      <c r="E14" s="60">
        <f>'Revenue summary'!E75</f>
        <v>0.10630470633007727</v>
      </c>
      <c r="F14" s="60">
        <f>'Revenue summary'!F75</f>
        <v>0.10738089360651681</v>
      </c>
      <c r="G14" s="60">
        <f>'Revenue summary'!G75</f>
        <v>0.04256810020145396</v>
      </c>
      <c r="H14" s="70">
        <f>'Revenue summary'!H75</f>
        <v>0.033872077505377796</v>
      </c>
      <c r="I14" s="13"/>
    </row>
    <row r="15">
      <c r="A15" s="1"/>
      <c r="B15" s="15" t="s">
        <v>107</v>
      </c>
      <c r="C15" s="11" t="s">
        <v>44</v>
      </c>
      <c r="D15" s="11" t="s">
        <v>44</v>
      </c>
      <c r="E15" s="11" t="s">
        <v>44</v>
      </c>
      <c r="F15" s="11" t="s">
        <v>44</v>
      </c>
      <c r="G15" s="11" t="s">
        <v>44</v>
      </c>
      <c r="H15" s="50" t="s">
        <v>44</v>
      </c>
      <c r="I15" s="13" t="s">
        <v>108</v>
      </c>
    </row>
    <row r="16" ht="24">
      <c r="A16" s="1"/>
      <c r="B16" s="57" t="s">
        <v>109</v>
      </c>
      <c r="C16" s="11" t="s">
        <v>44</v>
      </c>
      <c r="D16" s="11" t="s">
        <v>44</v>
      </c>
      <c r="E16" s="11" t="s">
        <v>44</v>
      </c>
      <c r="F16" s="11" t="s">
        <v>44</v>
      </c>
      <c r="G16" s="11" t="s">
        <v>44</v>
      </c>
      <c r="H16" s="50" t="s">
        <v>44</v>
      </c>
      <c r="I16" s="13" t="s">
        <v>325</v>
      </c>
    </row>
    <row r="17">
      <c r="A17" s="1"/>
      <c r="B17" s="1" t="s">
        <v>326</v>
      </c>
      <c r="C17" s="9">
        <v>78</v>
      </c>
      <c r="D17" s="9">
        <v>73</v>
      </c>
      <c r="E17" s="9">
        <v>43</v>
      </c>
      <c r="F17" s="9">
        <v>76</v>
      </c>
      <c r="G17" s="22">
        <f>E236+F236+C17+D17</f>
        <v>481</v>
      </c>
      <c r="H17" s="37">
        <f>H20+H23</f>
        <v>73</v>
      </c>
      <c r="I17" s="13"/>
    </row>
    <row r="18">
      <c r="A18" s="1"/>
      <c r="B18" s="15" t="s">
        <v>102</v>
      </c>
      <c r="C18" s="11">
        <f>IFERROR(C17/C236-1,"n/a")</f>
        <v>-0.1875</v>
      </c>
      <c r="D18" s="11">
        <f>IFERROR(D17/D236-1,"n/a")</f>
        <v>-0.3652173913043478</v>
      </c>
      <c r="E18" s="11">
        <f>IFERROR(E17/E236-1,"n/a")</f>
        <v>-0.4487179487179487</v>
      </c>
      <c r="F18" s="11">
        <f>IFERROR(F17/F236-1,"n/a")</f>
        <v>-0.6984126984126984</v>
      </c>
      <c r="G18" s="11">
        <f>IFERROR(G17/G236-1,"n/a")</f>
        <v>0.2657894736842106</v>
      </c>
      <c r="H18" s="50">
        <f>IFERROR(H17/H236-1,"n/a")</f>
        <v>-0.0641025641025641</v>
      </c>
      <c r="I18" s="13"/>
    </row>
    <row r="19">
      <c r="A19" s="1"/>
      <c r="B19" s="15" t="s">
        <v>123</v>
      </c>
      <c r="C19" s="5">
        <f>C17-F236</f>
        <v>-174</v>
      </c>
      <c r="D19" s="5">
        <f>D17-C17</f>
        <v>-5</v>
      </c>
      <c r="E19" s="5">
        <f>E17-D17</f>
        <v>-30</v>
      </c>
      <c r="F19" s="5">
        <f>F17-E17</f>
        <v>33</v>
      </c>
      <c r="G19" s="5" t="s">
        <v>44</v>
      </c>
      <c r="H19" s="21">
        <f>H17-F17</f>
        <v>-3</v>
      </c>
      <c r="I19" s="13"/>
    </row>
    <row r="20" ht="24">
      <c r="A20" s="1"/>
      <c r="B20" s="4" t="s">
        <v>327</v>
      </c>
      <c r="C20" s="9">
        <v>37</v>
      </c>
      <c r="D20" s="9">
        <v>31</v>
      </c>
      <c r="E20" s="9">
        <v>25</v>
      </c>
      <c r="F20" s="9">
        <v>29</v>
      </c>
      <c r="G20" s="22">
        <f>E237+F237+C20+D20</f>
        <v>134</v>
      </c>
      <c r="H20" s="37">
        <f>H140+H162</f>
        <v>28</v>
      </c>
      <c r="I20" s="13"/>
    </row>
    <row r="21">
      <c r="A21" s="1"/>
      <c r="B21" s="15" t="s">
        <v>177</v>
      </c>
      <c r="C21" s="11">
        <f>IFERROR(C20/C237-1,"n/a")</f>
        <v>-0.28846153846153844</v>
      </c>
      <c r="D21" s="11">
        <f>IFERROR(D20/D237-1,"n/a")</f>
        <v>-0.32608695652173914</v>
      </c>
      <c r="E21" s="11">
        <f>IFERROR(E20/E237-1,"n/a")</f>
        <v>-0.3055555555555556</v>
      </c>
      <c r="F21" s="11">
        <f>IFERROR(F20/F237-1,"n/a")</f>
        <v>-0.033333333333333326</v>
      </c>
      <c r="G21" s="11">
        <f>IFERROR(G20/G237-1,"n/a")</f>
        <v>-0.22988505747126442</v>
      </c>
      <c r="H21" s="50">
        <f>IFERROR(H20/H237-1,"n/a")</f>
        <v>-0.2432432432432432</v>
      </c>
      <c r="I21" s="13"/>
    </row>
    <row r="22">
      <c r="A22" s="1"/>
      <c r="B22" s="15" t="s">
        <v>131</v>
      </c>
      <c r="C22" s="5">
        <f>C20-F237</f>
        <v>7</v>
      </c>
      <c r="D22" s="5">
        <f>D20-C20</f>
        <v>-6</v>
      </c>
      <c r="E22" s="5">
        <f>E20-D20</f>
        <v>-6</v>
      </c>
      <c r="F22" s="5">
        <f>F20-E20</f>
        <v>4</v>
      </c>
      <c r="G22" s="5" t="s">
        <v>44</v>
      </c>
      <c r="H22" s="21">
        <f>H20-F20</f>
        <v>-1</v>
      </c>
      <c r="I22" s="13"/>
    </row>
    <row r="23" ht="24">
      <c r="A23" s="1"/>
      <c r="B23" s="4" t="s">
        <v>328</v>
      </c>
      <c r="C23" s="22">
        <f>C17-C20</f>
        <v>41</v>
      </c>
      <c r="D23" s="22">
        <f>D17-D20</f>
        <v>42</v>
      </c>
      <c r="E23" s="22">
        <f>E17-E20</f>
        <v>18</v>
      </c>
      <c r="F23" s="22">
        <f>F17-F20</f>
        <v>47</v>
      </c>
      <c r="G23" s="22">
        <f>G17-G20</f>
        <v>347</v>
      </c>
      <c r="H23" s="8">
        <v>45</v>
      </c>
      <c r="I23" s="13" t="s">
        <v>329</v>
      </c>
    </row>
    <row r="24">
      <c r="A24" s="1"/>
      <c r="B24" s="15" t="s">
        <v>130</v>
      </c>
      <c r="C24" s="5">
        <f>C23-C238</f>
        <v>-3</v>
      </c>
      <c r="D24" s="5">
        <f>D23-D238</f>
        <v>-27</v>
      </c>
      <c r="E24" s="5">
        <f>E23-E238</f>
        <v>-24</v>
      </c>
      <c r="F24" s="5">
        <f>F23-F238</f>
        <v>-175</v>
      </c>
      <c r="G24" s="5">
        <f>G23-G238</f>
        <v>141</v>
      </c>
      <c r="H24" s="21">
        <f>H23-H238</f>
        <v>4</v>
      </c>
      <c r="I24" s="13"/>
    </row>
    <row r="25">
      <c r="A25" s="1"/>
      <c r="B25" s="15" t="s">
        <v>131</v>
      </c>
      <c r="C25" s="5">
        <f>C23-F238</f>
        <v>-181</v>
      </c>
      <c r="D25" s="5">
        <f>D23-C23</f>
        <v>1</v>
      </c>
      <c r="E25" s="5">
        <f>E23-D23</f>
        <v>-24</v>
      </c>
      <c r="F25" s="5">
        <f>F23-E23</f>
        <v>29</v>
      </c>
      <c r="G25" s="5" t="s">
        <v>44</v>
      </c>
      <c r="H25" s="21">
        <f>H23-F23</f>
        <v>-2</v>
      </c>
      <c r="I25" s="13"/>
    </row>
    <row r="26">
      <c r="A26" s="1"/>
      <c r="B26" s="41" t="s">
        <v>330</v>
      </c>
      <c r="C26" s="1"/>
      <c r="D26" s="1"/>
      <c r="E26" s="1"/>
      <c r="F26" s="1"/>
      <c r="G26" s="1"/>
      <c r="H26" s="53"/>
      <c r="I26" s="13"/>
    </row>
    <row r="27">
      <c r="A27" s="1"/>
      <c r="B27" s="1" t="s">
        <v>331</v>
      </c>
      <c r="C27" s="9">
        <v>7370</v>
      </c>
      <c r="D27" s="9">
        <v>8017</v>
      </c>
      <c r="E27" s="9">
        <v>7390</v>
      </c>
      <c r="F27" s="9">
        <v>7577</v>
      </c>
      <c r="G27" s="22">
        <f>E239+F239+C27+D27</f>
        <v>29205</v>
      </c>
      <c r="H27" s="37">
        <f>H10+H17-H39-H45-H51-H54-H57-H60-H64</f>
        <v>7751.920643999999</v>
      </c>
      <c r="I27" s="13" t="s">
        <v>332</v>
      </c>
    </row>
    <row r="28">
      <c r="A28" s="1"/>
      <c r="B28" s="15" t="s">
        <v>102</v>
      </c>
      <c r="C28" s="11">
        <f>IFERROR(C27/C239-1,"n/a")</f>
        <v>0.01837778084841779</v>
      </c>
      <c r="D28" s="11">
        <f>IFERROR(D27/D239-1,"n/a")</f>
        <v>0.09491942092324512</v>
      </c>
      <c r="E28" s="11">
        <f>IFERROR(E27/E239-1,"n/a")</f>
        <v>0.07350377687391041</v>
      </c>
      <c r="F28" s="11">
        <f>IFERROR(F27/F239-1,"n/a")</f>
        <v>0.09273146812806465</v>
      </c>
      <c r="G28" s="11">
        <f>IFERROR(G27/G239-1,"n/a")</f>
        <v>0.013042422560616052</v>
      </c>
      <c r="H28" s="50">
        <f>IFERROR(H27/H239-1,"n/a")</f>
        <v>0.051820982903663326</v>
      </c>
      <c r="I28" s="13"/>
    </row>
    <row r="29">
      <c r="A29" s="1"/>
      <c r="B29" s="15" t="s">
        <v>123</v>
      </c>
      <c r="C29" s="5">
        <f>C27-F239</f>
        <v>436</v>
      </c>
      <c r="D29" s="5">
        <f>D27-C27</f>
        <v>647</v>
      </c>
      <c r="E29" s="5">
        <f>E27-D27</f>
        <v>-627</v>
      </c>
      <c r="F29" s="5">
        <f>F27-E27</f>
        <v>187</v>
      </c>
      <c r="G29" s="5" t="s">
        <v>44</v>
      </c>
      <c r="H29" s="21">
        <f>H27-F27</f>
        <v>174.9206439999989</v>
      </c>
      <c r="I29" s="13"/>
    </row>
    <row r="30">
      <c r="A30" s="1"/>
      <c r="B30" s="15" t="s">
        <v>333</v>
      </c>
      <c r="C30" s="11">
        <f>IFERROR(C27/C10,"n/a")</f>
        <v>0.8254928315412187</v>
      </c>
      <c r="D30" s="11">
        <f>IFERROR(D27/D10,"n/a")</f>
        <v>0.8226782965623397</v>
      </c>
      <c r="E30" s="11">
        <f>IFERROR(E27/E10,"n/a")</f>
        <v>0.8473798876275657</v>
      </c>
      <c r="F30" s="11">
        <f>IFERROR(F27/F10,"n/a")</f>
        <v>0.8445162728488631</v>
      </c>
      <c r="G30" s="11">
        <f>IFERROR(G27/G10,"n/a")</f>
        <v>0.8178610434344283</v>
      </c>
      <c r="H30" s="50">
        <f>IFERROR(H27/H10,"n/a")</f>
        <v>0.836417263225933</v>
      </c>
      <c r="I30" s="13"/>
    </row>
    <row r="31">
      <c r="A31" s="1"/>
      <c r="B31" s="15" t="s">
        <v>119</v>
      </c>
      <c r="C31" s="40">
        <f>IFERROR((C30-C240)*10000,"n/a")</f>
        <v>353.4106824828276</v>
      </c>
      <c r="D31" s="40">
        <f>IFERROR((D30-D240)*10000,"n/a")</f>
        <v>340.0961926807</v>
      </c>
      <c r="E31" s="40">
        <f>IFERROR((E30-E240)*10000,"n/a")</f>
        <v>365.4360965347847</v>
      </c>
      <c r="F31" s="40">
        <f>IFERROR((F30-F240)*10000,"n/a")</f>
        <v>331.4253074729512</v>
      </c>
      <c r="G31" s="40">
        <f>IFERROR((G30-G240)*10000,"n/a")</f>
        <v>234.32979833888257</v>
      </c>
      <c r="H31" s="56">
        <f>IFERROR((H30-H240)*10000,"n/a")</f>
        <v>109.24431684714352</v>
      </c>
      <c r="I31" s="13"/>
    </row>
    <row r="32">
      <c r="A32" s="1"/>
      <c r="B32" s="15" t="s">
        <v>120</v>
      </c>
      <c r="C32" s="40">
        <f>IFERROR((C30-F240)*10000,"n/a")</f>
        <v>141.1908943965068</v>
      </c>
      <c r="D32" s="40">
        <f>IFERROR((D30-C30)*10000,"n/a")</f>
        <v>-28.145349788789574</v>
      </c>
      <c r="E32" s="40">
        <f>IFERROR((E30-D30)*10000,"n/a")</f>
        <v>247.01591065225958</v>
      </c>
      <c r="F32" s="40">
        <f>IFERROR((F30-E30)*10000,"n/a")</f>
        <v>-28.636147787025614</v>
      </c>
      <c r="G32" s="40" t="s">
        <v>44</v>
      </c>
      <c r="H32" s="56">
        <f>IFERROR((H30-F30)*10000,"n/a")</f>
        <v>-80.99009622930086</v>
      </c>
      <c r="I32" s="13"/>
    </row>
    <row r="33" ht="34.5">
      <c r="A33" s="1"/>
      <c r="B33" s="26" t="s">
        <v>334</v>
      </c>
      <c r="C33" s="29">
        <f>C10-C27</f>
        <v>1558</v>
      </c>
      <c r="D33" s="29">
        <f>D10-D27</f>
        <v>1728</v>
      </c>
      <c r="E33" s="29">
        <f>E10-E27</f>
        <v>1331</v>
      </c>
      <c r="F33" s="29">
        <f>F10-F27</f>
        <v>1395</v>
      </c>
      <c r="G33" s="29">
        <f>G10-G27</f>
        <v>6504</v>
      </c>
      <c r="H33" s="47">
        <f>H10-H27</f>
        <v>1516.0858699999999</v>
      </c>
      <c r="I33" s="13" t="s">
        <v>335</v>
      </c>
    </row>
    <row r="34">
      <c r="A34" s="1"/>
      <c r="B34" s="15" t="s">
        <v>102</v>
      </c>
      <c r="C34" s="11">
        <f>IFERROR(C33/C241-1,"n/a")</f>
        <v>-0.1893860561914672</v>
      </c>
      <c r="D34" s="11">
        <f>IFERROR(D33/D241-1,"n/a")</f>
        <v>-0.11926605504587151</v>
      </c>
      <c r="E34" s="11">
        <f>IFERROR(E33/E241-1,"n/a")</f>
        <v>-0.17123287671232879</v>
      </c>
      <c r="F34" s="11">
        <f>IFERROR(F33/F241-1,"n/a")</f>
        <v>-0.13461538461538458</v>
      </c>
      <c r="G34" s="11">
        <f>IFERROR(G33/G241-1,"n/a")</f>
        <v>-0.12815013404825737</v>
      </c>
      <c r="H34" s="50">
        <f>IFERROR(H33/H241-1,"n/a")</f>
        <v>-0.026902522464698375</v>
      </c>
      <c r="I34" s="13"/>
    </row>
    <row r="35">
      <c r="A35" s="1"/>
      <c r="B35" s="15" t="s">
        <v>123</v>
      </c>
      <c r="C35" s="5">
        <f>C33-F241</f>
        <v>-54</v>
      </c>
      <c r="D35" s="5">
        <f>D33-C33</f>
        <v>170</v>
      </c>
      <c r="E35" s="5">
        <f>E33-D33</f>
        <v>-397</v>
      </c>
      <c r="F35" s="5">
        <f>F33-E33</f>
        <v>64</v>
      </c>
      <c r="G35" s="5" t="s">
        <v>44</v>
      </c>
      <c r="H35" s="21">
        <f>H33-F33</f>
        <v>121.08586999999989</v>
      </c>
      <c r="I35" s="13"/>
    </row>
    <row r="36">
      <c r="A36" s="1"/>
      <c r="B36" s="15" t="s">
        <v>336</v>
      </c>
      <c r="C36" s="11">
        <f>IFERROR(C33/C10,"n/a")</f>
        <v>0.17450716845878136</v>
      </c>
      <c r="D36" s="11">
        <f>IFERROR(D33/D10,"n/a")</f>
        <v>0.17732170343766035</v>
      </c>
      <c r="E36" s="11">
        <f>IFERROR(E33/E10,"n/a")</f>
        <v>0.15262011237243436</v>
      </c>
      <c r="F36" s="11">
        <f>IFERROR(F33/F10,"n/a")</f>
        <v>0.15548372715113687</v>
      </c>
      <c r="G36" s="11">
        <f>IFERROR(G33/G10,"n/a")</f>
        <v>0.1821389565655717</v>
      </c>
      <c r="H36" s="50">
        <f>IFERROR(H33/H10,"n/a")</f>
        <v>0.16358273677406698</v>
      </c>
      <c r="I36" s="13"/>
    </row>
    <row r="37">
      <c r="A37" s="1"/>
      <c r="B37" s="15" t="s">
        <v>119</v>
      </c>
      <c r="C37" s="40">
        <f>IFERROR((C36-C242)*10000,"n/a")</f>
        <v>-353.4106824828273</v>
      </c>
      <c r="D37" s="40">
        <f>IFERROR((D36-D242)*10000,"n/a")</f>
        <v>-340.09619268069946</v>
      </c>
      <c r="E37" s="40">
        <f>IFERROR((E36-E242)*10000,"n/a")</f>
        <v>-365.4360965347847</v>
      </c>
      <c r="F37" s="40">
        <f>IFERROR((F36-F242)*10000,"n/a")</f>
        <v>-331.42530747295143</v>
      </c>
      <c r="G37" s="40">
        <f>IFERROR((G36-G242)*10000,"n/a")</f>
        <v>-234.329798338882</v>
      </c>
      <c r="H37" s="56">
        <f>IFERROR((H36-H242)*10000,"n/a")</f>
        <v>-109.2443168471438</v>
      </c>
      <c r="I37" s="13"/>
    </row>
    <row r="38">
      <c r="A38" s="1"/>
      <c r="B38" s="15" t="s">
        <v>120</v>
      </c>
      <c r="C38" s="40">
        <f>IFERROR((C36-F242)*10000,"n/a")</f>
        <v>-141.1908943965065</v>
      </c>
      <c r="D38" s="40">
        <f>IFERROR((D36-C36)*10000,"n/a")</f>
        <v>28.145349788789854</v>
      </c>
      <c r="E38" s="40">
        <f>IFERROR((E36-D36)*10000,"n/a")</f>
        <v>-247.01591065225986</v>
      </c>
      <c r="F38" s="40">
        <f>IFERROR((F36-E36)*10000,"n/a")</f>
        <v>28.636147787025056</v>
      </c>
      <c r="G38" s="40" t="s">
        <v>44</v>
      </c>
      <c r="H38" s="56">
        <f>IFERROR((H36-F36)*10000,"n/a")</f>
        <v>80.99009622930114</v>
      </c>
      <c r="I38" s="13"/>
    </row>
    <row r="39">
      <c r="A39" s="1"/>
      <c r="B39" s="1" t="s">
        <v>337</v>
      </c>
      <c r="C39" s="9">
        <v>170</v>
      </c>
      <c r="D39" s="9">
        <v>187</v>
      </c>
      <c r="E39" s="9">
        <v>164</v>
      </c>
      <c r="F39" s="9">
        <v>171</v>
      </c>
      <c r="G39" s="22">
        <f>E243+F243+C39+D39</f>
        <v>709</v>
      </c>
      <c r="H39" s="8">
        <v>172</v>
      </c>
      <c r="I39" s="13" t="s">
        <v>338</v>
      </c>
    </row>
    <row r="40">
      <c r="A40" s="1"/>
      <c r="B40" s="15" t="s">
        <v>102</v>
      </c>
      <c r="C40" s="11">
        <f>IFERROR(C39/C243-1,"n/a")</f>
        <v>-0.09090909090909094</v>
      </c>
      <c r="D40" s="11">
        <f>IFERROR(D39/D243-1,"n/a")</f>
        <v>-0.02604166666666663</v>
      </c>
      <c r="E40" s="11">
        <f>IFERROR(E39/E243-1,"n/a")</f>
        <v>-0.046511627906976716</v>
      </c>
      <c r="F40" s="11">
        <f>IFERROR(F39/F243-1,"n/a")</f>
        <v>-0.050000000000000044</v>
      </c>
      <c r="G40" s="11">
        <f>IFERROR(G39/G243-1,"n/a")</f>
        <v>-0.05340453938584777</v>
      </c>
      <c r="H40" s="50">
        <f>IFERROR(H39/H243-1,"n/a")</f>
        <v>0.0117647058823529</v>
      </c>
      <c r="I40" s="13"/>
    </row>
    <row r="41">
      <c r="A41" s="1"/>
      <c r="B41" s="15" t="s">
        <v>123</v>
      </c>
      <c r="C41" s="5">
        <f>C39-F243</f>
        <v>-10</v>
      </c>
      <c r="D41" s="5">
        <f>D39-C39</f>
        <v>17</v>
      </c>
      <c r="E41" s="5">
        <f>E39-D39</f>
        <v>-23</v>
      </c>
      <c r="F41" s="5">
        <f>F39-E39</f>
        <v>7</v>
      </c>
      <c r="G41" s="5" t="s">
        <v>44</v>
      </c>
      <c r="H41" s="21">
        <f>H39-F39</f>
        <v>1</v>
      </c>
      <c r="I41" s="13"/>
    </row>
    <row r="42">
      <c r="A42" s="1"/>
      <c r="B42" s="15" t="s">
        <v>339</v>
      </c>
      <c r="C42" s="11">
        <f>IFERROR(C39/C10,"n/a")</f>
        <v>0.01904121863799283</v>
      </c>
      <c r="D42" s="11">
        <f>IFERROR(D39/D10,"n/a")</f>
        <v>0.019189327860441252</v>
      </c>
      <c r="E42" s="11">
        <f>IFERROR(E39/E10,"n/a")</f>
        <v>0.0188051828918702</v>
      </c>
      <c r="F42" s="11">
        <f>IFERROR(F39/F10,"n/a")</f>
        <v>0.019059295586268392</v>
      </c>
      <c r="G42" s="11">
        <f>IFERROR(G39/G10,"n/a")</f>
        <v>0.019854938530902574</v>
      </c>
      <c r="H42" s="50">
        <f>IFERROR(H39/H10,"n/a")</f>
        <v>0.018558467750338918</v>
      </c>
      <c r="I42" s="13"/>
    </row>
    <row r="43">
      <c r="A43" s="1"/>
      <c r="B43" s="15" t="s">
        <v>119</v>
      </c>
      <c r="C43" s="40">
        <f>IFERROR((C42-C244)*10000,"n/a")</f>
        <v>-13.758574620180882</v>
      </c>
      <c r="D43" s="40">
        <f>IFERROR((D42-D244)*10000,"n/a")</f>
        <v>-14.914131994467269</v>
      </c>
      <c r="E43" s="40">
        <f>IFERROR((E42-E244)*10000,"n/a")</f>
        <v>-14.539454944666671</v>
      </c>
      <c r="F43" s="40">
        <f>IFERROR((F42-F244)*10000,"n/a")</f>
        <v>-20.03189787005654</v>
      </c>
      <c r="G43" s="40">
        <f>IFERROR((G42-G244)*10000,"n/a")</f>
        <v>-7.849247885606224</v>
      </c>
      <c r="H43" s="56">
        <f>IFERROR((H42-H244)*10000,"n/a")</f>
        <v>-4.827508876539127</v>
      </c>
      <c r="I43" s="13"/>
    </row>
    <row r="44">
      <c r="A44" s="1"/>
      <c r="B44" s="15" t="s">
        <v>120</v>
      </c>
      <c r="C44" s="40">
        <f>IFERROR((C42-F244)*10000,"n/a")</f>
        <v>-20.21266735281215</v>
      </c>
      <c r="D44" s="40">
        <f>IFERROR((D42-C42)*10000,"n/a")</f>
        <v>1.4810922244842124</v>
      </c>
      <c r="E44" s="40">
        <f>IFERROR((E42-D42)*10000,"n/a")</f>
        <v>-3.841449685710527</v>
      </c>
      <c r="F44" s="40">
        <f>IFERROR((F42-E42)*10000,"n/a")</f>
        <v>2.541126943981925</v>
      </c>
      <c r="G44" s="40" t="s">
        <v>44</v>
      </c>
      <c r="H44" s="56">
        <f>IFERROR((H42-F42)*10000,"n/a")</f>
        <v>-5.008278359294738</v>
      </c>
      <c r="I44" s="13"/>
    </row>
    <row r="45">
      <c r="A45" s="1"/>
      <c r="B45" s="1" t="s">
        <v>340</v>
      </c>
      <c r="C45" s="9">
        <v>72</v>
      </c>
      <c r="D45" s="9">
        <v>84</v>
      </c>
      <c r="E45" s="9">
        <v>97</v>
      </c>
      <c r="F45" s="9">
        <v>84</v>
      </c>
      <c r="G45" s="22">
        <f>E245+F245+C45+D45</f>
        <v>339</v>
      </c>
      <c r="H45" s="8">
        <v>88</v>
      </c>
      <c r="I45" s="13" t="s">
        <v>341</v>
      </c>
    </row>
    <row r="46">
      <c r="A46" s="1"/>
      <c r="B46" s="15" t="s">
        <v>102</v>
      </c>
      <c r="C46" s="11">
        <f>IFERROR(C45/C245-1,"n/a")</f>
        <v>-0.19999999999999996</v>
      </c>
      <c r="D46" s="11">
        <f>IFERROR(D45/D245-1,"n/a")</f>
        <v>0.03703703703703698</v>
      </c>
      <c r="E46" s="11">
        <f>IFERROR(E45/E245-1,"n/a")</f>
        <v>0.01041666666666674</v>
      </c>
      <c r="F46" s="11">
        <f>IFERROR(F45/F245-1,"n/a")</f>
        <v>-0.03448275862068961</v>
      </c>
      <c r="G46" s="11">
        <f>IFERROR(G45/G245-1,"n/a")</f>
        <v>-0.11948051948051952</v>
      </c>
      <c r="H46" s="50">
        <f>IFERROR(H45/H245-1,"n/a")</f>
        <v>0.22222222222222232</v>
      </c>
      <c r="I46" s="13"/>
    </row>
    <row r="47">
      <c r="A47" s="1"/>
      <c r="B47" s="15" t="s">
        <v>123</v>
      </c>
      <c r="C47" s="5">
        <f>C45-F245</f>
        <v>-15</v>
      </c>
      <c r="D47" s="5">
        <f>D45-C45</f>
        <v>12</v>
      </c>
      <c r="E47" s="5">
        <f>E45-D45</f>
        <v>13</v>
      </c>
      <c r="F47" s="5">
        <f>F45-E45</f>
        <v>-13</v>
      </c>
      <c r="G47" s="5" t="s">
        <v>44</v>
      </c>
      <c r="H47" s="21">
        <f>H45-F45</f>
        <v>4</v>
      </c>
      <c r="I47" s="13"/>
    </row>
    <row r="48">
      <c r="A48" s="1"/>
      <c r="B48" s="15" t="s">
        <v>342</v>
      </c>
      <c r="C48" s="11">
        <f>IFERROR(C45/C10,"n/a")</f>
        <v>0.008064516129032258</v>
      </c>
      <c r="D48" s="11">
        <f>IFERROR(D45/D10,"n/a")</f>
        <v>0.0086198050282196</v>
      </c>
      <c r="E48" s="11">
        <f>IFERROR(E45/E10,"n/a")</f>
        <v>0.011122577686045179</v>
      </c>
      <c r="F48" s="11">
        <f>IFERROR(F45/F10,"n/a")</f>
        <v>0.009362460989745877</v>
      </c>
      <c r="G48" s="11">
        <f>IFERROR(G45/G10,"n/a")</f>
        <v>0.009493405023943543</v>
      </c>
      <c r="H48" s="50">
        <f>IFERROR(H45/H10,"n/a")</f>
        <v>0.009495030011801308</v>
      </c>
      <c r="I48" s="13"/>
    </row>
    <row r="49">
      <c r="A49" s="1"/>
      <c r="B49" s="15" t="s">
        <v>119</v>
      </c>
      <c r="C49" s="40">
        <f>IFERROR((C48-C246)*10000,"n/a")</f>
        <v>-17.618841330050827</v>
      </c>
      <c r="D49" s="40">
        <f>IFERROR((D48-D246)*10000,"n/a")</f>
        <v>-1.048826064206417</v>
      </c>
      <c r="E49" s="40">
        <f>IFERROR((E48-E246)*10000,"n/a")</f>
        <v>-1.8484280865446734</v>
      </c>
      <c r="F49" s="40">
        <f>IFERROR((F48-F246)*10000,"n/a")</f>
        <v>-8.177402740032463</v>
      </c>
      <c r="G49" s="40">
        <f>IFERROR((G48-G246)*10000,"n/a")</f>
        <v>-11.15870514098288</v>
      </c>
      <c r="H49" s="56">
        <f>IFERROR((H48-H246)*10000,"n/a")</f>
        <v>14.305138827690502</v>
      </c>
      <c r="I49" s="13"/>
    </row>
    <row r="50">
      <c r="A50" s="1"/>
      <c r="B50" s="15" t="s">
        <v>120</v>
      </c>
      <c r="C50" s="40">
        <f>IFERROR((C48-F246)*10000,"n/a")</f>
        <v>-21.15685134716865</v>
      </c>
      <c r="D50" s="40">
        <f>IFERROR((D48-C48)*10000,"n/a")</f>
        <v>5.552888991873419</v>
      </c>
      <c r="E50" s="40">
        <f>IFERROR((E48-D48)*10000,"n/a")</f>
        <v>25.02772657825579</v>
      </c>
      <c r="F50" s="40">
        <f>IFERROR((F48-E48)*10000,"n/a")</f>
        <v>-17.60116696299302</v>
      </c>
      <c r="G50" s="40" t="s">
        <v>44</v>
      </c>
      <c r="H50" s="56">
        <f>IFERROR((H48-F48)*10000,"n/a")</f>
        <v>1.3256902205543117</v>
      </c>
      <c r="I50" s="13"/>
    </row>
    <row r="51">
      <c r="A51" s="1"/>
      <c r="B51" s="1" t="s">
        <v>343</v>
      </c>
      <c r="C51" s="22">
        <f>C173</f>
        <v>143</v>
      </c>
      <c r="D51" s="22">
        <f>D173</f>
        <v>75</v>
      </c>
      <c r="E51" s="22">
        <f>E173</f>
        <v>41</v>
      </c>
      <c r="F51" s="22">
        <f>F173</f>
        <v>69</v>
      </c>
      <c r="G51" s="22">
        <f>E247+F247+C51+D51</f>
        <v>301</v>
      </c>
      <c r="H51" s="37">
        <f>H173</f>
        <v>70</v>
      </c>
      <c r="I51" s="13" t="s">
        <v>344</v>
      </c>
    </row>
    <row r="52">
      <c r="A52" s="1"/>
      <c r="B52" s="15" t="s">
        <v>102</v>
      </c>
      <c r="C52" s="11">
        <f>IFERROR(C51/C247-1,"n/a")</f>
        <v>3.333333333333333</v>
      </c>
      <c r="D52" s="11">
        <f>IFERROR(D51/D247-1,"n/a")</f>
        <v>0.19047619047619047</v>
      </c>
      <c r="E52" s="11">
        <f>IFERROR(E51/E247-1,"n/a")</f>
        <v>-0.14583333333333337</v>
      </c>
      <c r="F52" s="11">
        <f>IFERROR(F51/F247-1,"n/a")</f>
        <v>0.9714285714285715</v>
      </c>
      <c r="G52" s="11">
        <f>IFERROR(G51/G247-1,"n/a")</f>
        <v>1.4471544715447155</v>
      </c>
      <c r="H52" s="50">
        <f>IFERROR(H51/H247-1,"n/a")</f>
        <v>-0.5104895104895104</v>
      </c>
      <c r="I52" s="13"/>
    </row>
    <row r="53">
      <c r="A53" s="1"/>
      <c r="B53" s="15" t="s">
        <v>123</v>
      </c>
      <c r="C53" s="5">
        <f>C51-F247</f>
        <v>108</v>
      </c>
      <c r="D53" s="5">
        <f>D51-C51</f>
        <v>-68</v>
      </c>
      <c r="E53" s="5">
        <f>E51-D51</f>
        <v>-34</v>
      </c>
      <c r="F53" s="5">
        <f>F51-E51</f>
        <v>28</v>
      </c>
      <c r="G53" s="5" t="s">
        <v>44</v>
      </c>
      <c r="H53" s="21">
        <f>H51-F51</f>
        <v>1</v>
      </c>
      <c r="I53" s="13"/>
    </row>
    <row r="54">
      <c r="A54" s="1"/>
      <c r="B54" s="1" t="s">
        <v>345</v>
      </c>
      <c r="C54" s="22">
        <f>C176+C179</f>
        <v>57</v>
      </c>
      <c r="D54" s="22">
        <f>D176+D179</f>
        <v>176</v>
      </c>
      <c r="E54" s="22">
        <f>E176+E179</f>
        <v>0</v>
      </c>
      <c r="F54" s="22">
        <f>F176+F179</f>
        <v>0</v>
      </c>
      <c r="G54" s="22">
        <f>E248+F248+C54+D54</f>
        <v>457</v>
      </c>
      <c r="H54" s="37">
        <f>H176+H179</f>
        <v>0</v>
      </c>
      <c r="I54" s="13" t="s">
        <v>346</v>
      </c>
    </row>
    <row r="55">
      <c r="A55" s="1"/>
      <c r="B55" s="15" t="s">
        <v>122</v>
      </c>
      <c r="C55" s="5">
        <f>C54-C248</f>
        <v>-8</v>
      </c>
      <c r="D55" s="5">
        <f>D54-D248</f>
        <v>115</v>
      </c>
      <c r="E55" s="5">
        <f>E54-E248</f>
        <v>-158</v>
      </c>
      <c r="F55" s="5">
        <f>F54-F248</f>
        <v>-66</v>
      </c>
      <c r="G55" s="5">
        <f>G54-G248</f>
        <v>220</v>
      </c>
      <c r="H55" s="21">
        <f>H54-H248</f>
        <v>-57</v>
      </c>
      <c r="I55" s="13"/>
    </row>
    <row r="56">
      <c r="A56" s="1"/>
      <c r="B56" s="15" t="s">
        <v>123</v>
      </c>
      <c r="C56" s="5">
        <f>C54-F248</f>
        <v>-9</v>
      </c>
      <c r="D56" s="5">
        <f>D54-C54</f>
        <v>119</v>
      </c>
      <c r="E56" s="5">
        <f>E54-D54</f>
        <v>-176</v>
      </c>
      <c r="F56" s="5">
        <f>F54-E54</f>
        <v>0</v>
      </c>
      <c r="G56" s="5" t="s">
        <v>44</v>
      </c>
      <c r="H56" s="21">
        <f>H54-F54</f>
        <v>0</v>
      </c>
      <c r="I56" s="13"/>
    </row>
    <row r="57">
      <c r="A57" s="1"/>
      <c r="B57" s="1" t="s">
        <v>347</v>
      </c>
      <c r="C57" s="22">
        <f>C182+C185</f>
        <v>52</v>
      </c>
      <c r="D57" s="22">
        <f>D182+D185</f>
        <v>210</v>
      </c>
      <c r="E57" s="22">
        <f>E182+E185</f>
        <v>0</v>
      </c>
      <c r="F57" s="22">
        <f>F182+F185</f>
        <v>0</v>
      </c>
      <c r="G57" s="22">
        <f>E249+F249+C57+D57</f>
        <v>331</v>
      </c>
      <c r="H57" s="37">
        <f>H182+H185</f>
        <v>0</v>
      </c>
      <c r="I57" s="13"/>
    </row>
    <row r="58">
      <c r="A58" s="1"/>
      <c r="B58" s="15" t="s">
        <v>122</v>
      </c>
      <c r="C58" s="5">
        <f>C57-C249</f>
        <v>52</v>
      </c>
      <c r="D58" s="5">
        <f>D57-D249</f>
        <v>48</v>
      </c>
      <c r="E58" s="5">
        <f>E57-E249</f>
        <v>0</v>
      </c>
      <c r="F58" s="5">
        <f>F57-F249</f>
        <v>-69</v>
      </c>
      <c r="G58" s="5">
        <f>G57-G249</f>
        <v>169</v>
      </c>
      <c r="H58" s="21">
        <f>H57-H249</f>
        <v>-52</v>
      </c>
      <c r="I58" s="13"/>
    </row>
    <row r="59">
      <c r="A59" s="1"/>
      <c r="B59" s="15" t="s">
        <v>123</v>
      </c>
      <c r="C59" s="5">
        <f>C57-F249</f>
        <v>-17</v>
      </c>
      <c r="D59" s="5">
        <f>D57-C57</f>
        <v>158</v>
      </c>
      <c r="E59" s="5">
        <f>E57-D57</f>
        <v>-210</v>
      </c>
      <c r="F59" s="5">
        <f>F57-E57</f>
        <v>0</v>
      </c>
      <c r="G59" s="5" t="s">
        <v>44</v>
      </c>
      <c r="H59" s="21">
        <f>H57-F57</f>
        <v>0</v>
      </c>
      <c r="I59" s="13"/>
    </row>
    <row r="60">
      <c r="A60" s="1"/>
      <c r="B60" s="1" t="s">
        <v>348</v>
      </c>
      <c r="C60" s="22">
        <f>C143</f>
        <v>142</v>
      </c>
      <c r="D60" s="22">
        <f>D143</f>
        <v>126</v>
      </c>
      <c r="E60" s="22">
        <f>E143</f>
        <v>116</v>
      </c>
      <c r="F60" s="22">
        <f>F143</f>
        <v>128</v>
      </c>
      <c r="G60" s="22">
        <f>E250+F250+C60+D60</f>
        <v>557</v>
      </c>
      <c r="H60" s="37">
        <f>H143</f>
        <v>130</v>
      </c>
      <c r="I60" s="13" t="s">
        <v>349</v>
      </c>
    </row>
    <row r="61">
      <c r="A61" s="1"/>
      <c r="B61" s="15" t="s">
        <v>102</v>
      </c>
      <c r="C61" s="11">
        <f>IFERROR(C60/C250-1,"n/a")</f>
        <v>0.044117647058823595</v>
      </c>
      <c r="D61" s="11">
        <f>IFERROR(D60/D250-1,"n/a")</f>
        <v>-0.03816793893129766</v>
      </c>
      <c r="E61" s="11">
        <f>IFERROR(E60/E250-1,"n/a")</f>
        <v>-0.2108843537414966</v>
      </c>
      <c r="F61" s="11">
        <f>IFERROR(F60/F250-1,"n/a")</f>
        <v>-0.09859154929577463</v>
      </c>
      <c r="G61" s="11">
        <f>IFERROR(G60/G250-1,"n/a")</f>
        <v>0.087890625</v>
      </c>
      <c r="H61" s="50">
        <f>IFERROR(H60/H250-1,"n/a")</f>
        <v>-0.08450704225352113</v>
      </c>
      <c r="I61" s="13"/>
    </row>
    <row r="62">
      <c r="A62" s="1"/>
      <c r="B62" s="15" t="s">
        <v>123</v>
      </c>
      <c r="C62" s="5">
        <f>C60-F250</f>
        <v>0</v>
      </c>
      <c r="D62" s="5">
        <f>D60-C60</f>
        <v>-16</v>
      </c>
      <c r="E62" s="5">
        <f>E60-D60</f>
        <v>-10</v>
      </c>
      <c r="F62" s="5">
        <f>F60-E60</f>
        <v>12</v>
      </c>
      <c r="G62" s="5" t="s">
        <v>44</v>
      </c>
      <c r="H62" s="21">
        <f>H60-F60</f>
        <v>2</v>
      </c>
      <c r="I62" s="13"/>
    </row>
    <row r="63">
      <c r="A63" s="1"/>
      <c r="B63" s="45" t="s">
        <v>350</v>
      </c>
      <c r="C63" s="29">
        <f>C27+C39+C45+C51+C54+C57+C60</f>
        <v>8006</v>
      </c>
      <c r="D63" s="29">
        <f>D27+D39+D45+D51+D54+D57+D60</f>
        <v>8875</v>
      </c>
      <c r="E63" s="29">
        <f>E27+E39+E45+E51+E54+E57+E60</f>
        <v>7808</v>
      </c>
      <c r="F63" s="29">
        <f>F27+F39+F45+F51+F54+F57+F60</f>
        <v>8029</v>
      </c>
      <c r="G63" s="29">
        <f>G27+G39+G45+G51+G54+G57+G60</f>
        <v>31899</v>
      </c>
      <c r="H63" s="47">
        <f>H27+H39+H45+H51+H54+H57+H60</f>
        <v>8211.920643999998</v>
      </c>
      <c r="I63" s="13"/>
    </row>
    <row r="64">
      <c r="A64" s="1"/>
      <c r="B64" s="45" t="s">
        <v>351</v>
      </c>
      <c r="C64" s="29">
        <f>C10+C17-C63</f>
        <v>1000</v>
      </c>
      <c r="D64" s="29">
        <f>D10+D17-D63</f>
        <v>943</v>
      </c>
      <c r="E64" s="29">
        <f>E10+E17-E63</f>
        <v>956</v>
      </c>
      <c r="F64" s="29">
        <f>F10+F17-F63</f>
        <v>1019</v>
      </c>
      <c r="G64" s="29">
        <f>G10+G17-G63</f>
        <v>4291</v>
      </c>
      <c r="H64" s="47">
        <f>H146-H194</f>
        <v>1129.0858699999999</v>
      </c>
      <c r="I64" s="13"/>
    </row>
    <row r="65">
      <c r="A65" s="1"/>
      <c r="B65" s="15" t="s">
        <v>102</v>
      </c>
      <c r="C65" s="11">
        <f>IFERROR(C64/C251-1,"n/a")</f>
        <v>-0.3364299933642999</v>
      </c>
      <c r="D65" s="11">
        <f>IFERROR(D64/D251-1,"n/a")</f>
        <v>-0.3201153568853641</v>
      </c>
      <c r="E65" s="11">
        <f>IFERROR(E64/E251-1,"n/a")</f>
        <v>-0.10065851364063971</v>
      </c>
      <c r="F65" s="11">
        <f>IFERROR(F64/F251-1,"n/a")</f>
        <v>-0.2070038910505837</v>
      </c>
      <c r="G65" s="11">
        <f>IFERROR(G64/G251-1,"n/a")</f>
        <v>-0.24347672778561358</v>
      </c>
      <c r="H65" s="50">
        <f>IFERROR(H64/H251-1,"n/a")</f>
        <v>0.12908586999999994</v>
      </c>
      <c r="I65" s="13"/>
    </row>
    <row r="66">
      <c r="A66" s="1"/>
      <c r="B66" s="15" t="s">
        <v>123</v>
      </c>
      <c r="C66" s="5">
        <f>C64-F251</f>
        <v>-285</v>
      </c>
      <c r="D66" s="5">
        <f>D64-C64</f>
        <v>-57</v>
      </c>
      <c r="E66" s="5">
        <f>E64-D64</f>
        <v>13</v>
      </c>
      <c r="F66" s="5">
        <f>F64-E64</f>
        <v>63</v>
      </c>
      <c r="G66" s="5" t="s">
        <v>44</v>
      </c>
      <c r="H66" s="21">
        <f>H64-F64</f>
        <v>110.08586999999989</v>
      </c>
      <c r="I66" s="13"/>
    </row>
    <row r="67">
      <c r="A67" s="1"/>
      <c r="B67" s="15" t="s">
        <v>352</v>
      </c>
      <c r="C67" s="11">
        <f>IFERROR(C64/C10,"n/a")</f>
        <v>0.11200716845878136</v>
      </c>
      <c r="D67" s="11">
        <f>IFERROR(D64/D10,"n/a")</f>
        <v>0.09676757311441765</v>
      </c>
      <c r="E67" s="11">
        <f>IFERROR(E64/E10,"n/a")</f>
        <v>0.10962045636968237</v>
      </c>
      <c r="F67" s="11">
        <f>IFERROR(F64/F10,"n/a")</f>
        <v>0.11357556843513152</v>
      </c>
      <c r="G67" s="11">
        <f>IFERROR(G64/G10,"n/a")</f>
        <v>0.12016578453611135</v>
      </c>
      <c r="H67" s="50">
        <f>IFERROR(H64/H10,"n/a")</f>
        <v>0.12182618433580442</v>
      </c>
      <c r="I67" s="13"/>
    </row>
    <row r="68">
      <c r="A68" s="1"/>
      <c r="B68" s="15" t="s">
        <v>119</v>
      </c>
      <c r="C68" s="40">
        <f>IFERROR((C67-C252)*10000,"n/a")</f>
        <v>-525.3044481777722</v>
      </c>
      <c r="D68" s="40">
        <f>IFERROR((D67-D252)*10000,"n/a")</f>
        <v>-526.2923860466897</v>
      </c>
      <c r="E68" s="40">
        <f>IFERROR((E67-E252)*10000,"n/a")</f>
        <v>-155.85668483085595</v>
      </c>
      <c r="F68" s="40">
        <f>IFERROR((F67-F252)*10000,"n/a")</f>
        <v>-367.87174368519317</v>
      </c>
      <c r="G68" s="40">
        <f>IFERROR((G67-G252)*10000,"n/a")</f>
        <v>-361.3502287109194</v>
      </c>
      <c r="H68" s="56">
        <f>IFERROR((H67-H252)*10000,"n/a")</f>
        <v>98.19015877023051</v>
      </c>
      <c r="I68" s="13"/>
    </row>
    <row r="69">
      <c r="A69" s="1"/>
      <c r="B69" s="15" t="s">
        <v>120</v>
      </c>
      <c r="C69" s="40">
        <f>IFERROR((C67-F252)*10000,"n/a")</f>
        <v>-383.55574344869467</v>
      </c>
      <c r="D69" s="40">
        <f>IFERROR((D67-C67)*10000,"n/a")</f>
        <v>-152.39595344363713</v>
      </c>
      <c r="E69" s="40">
        <f>IFERROR((E67-D67)*10000,"n/a")</f>
        <v>128.5288325526472</v>
      </c>
      <c r="F69" s="40">
        <f>IFERROR((F67-E67)*10000,"n/a")</f>
        <v>39.55112065449143</v>
      </c>
      <c r="G69" s="40" t="s">
        <v>44</v>
      </c>
      <c r="H69" s="56">
        <f>IFERROR((H67-F67)*10000,"n/a")</f>
        <v>82.506159006729</v>
      </c>
      <c r="I69" s="13"/>
    </row>
    <row r="70">
      <c r="A70" s="1"/>
      <c r="B70" s="1" t="s">
        <v>353</v>
      </c>
      <c r="C70" s="9">
        <v>226</v>
      </c>
      <c r="D70" s="9">
        <v>143</v>
      </c>
      <c r="E70" s="9">
        <v>195</v>
      </c>
      <c r="F70" s="9">
        <v>204</v>
      </c>
      <c r="G70" s="22">
        <f>E253+F253+C70+D70</f>
        <v>840</v>
      </c>
      <c r="H70" s="37">
        <f>H223-H197-H200</f>
        <v>228.41443160999998</v>
      </c>
      <c r="I70" s="13"/>
    </row>
    <row r="71">
      <c r="A71" s="1"/>
      <c r="B71" s="15" t="s">
        <v>102</v>
      </c>
      <c r="C71" s="11">
        <f>IFERROR(C70/C253-1,"n/a")</f>
        <v>-0.2179930795847751</v>
      </c>
      <c r="D71" s="11">
        <f>IFERROR(D70/D253-1,"n/a")</f>
        <v>-0.46840148698884754</v>
      </c>
      <c r="E71" s="11">
        <f>IFERROR(E70/E253-1,"n/a")</f>
        <v>-0.16666666666666663</v>
      </c>
      <c r="F71" s="11">
        <f>IFERROR(F70/F253-1,"n/a")</f>
        <v>-0.1392405063291139</v>
      </c>
      <c r="G71" s="11">
        <f>IFERROR(G70/G253-1,"n/a")</f>
        <v>-0.23147301006404386</v>
      </c>
      <c r="H71" s="50">
        <f>IFERROR(H70/H253-1,"n/a")</f>
        <v>0.010683325707964597</v>
      </c>
      <c r="I71" s="13"/>
    </row>
    <row r="72">
      <c r="A72" s="1"/>
      <c r="B72" s="15" t="s">
        <v>123</v>
      </c>
      <c r="C72" s="5">
        <f>C70-F253</f>
        <v>-11</v>
      </c>
      <c r="D72" s="5">
        <f>D70-C70</f>
        <v>-83</v>
      </c>
      <c r="E72" s="5">
        <f>E70-D70</f>
        <v>52</v>
      </c>
      <c r="F72" s="5">
        <f>F70-E70</f>
        <v>9</v>
      </c>
      <c r="G72" s="5" t="s">
        <v>44</v>
      </c>
      <c r="H72" s="21">
        <f>H70-F70</f>
        <v>24.41443160999998</v>
      </c>
      <c r="I72" s="13"/>
    </row>
    <row r="73">
      <c r="A73" s="1"/>
      <c r="B73" s="15" t="s">
        <v>354</v>
      </c>
      <c r="C73" s="11">
        <f>IFERROR(C70/C64,"n/a")</f>
        <v>0.226</v>
      </c>
      <c r="D73" s="11">
        <f>IFERROR(D70/D64,"n/a")</f>
        <v>0.15164369034994699</v>
      </c>
      <c r="E73" s="11">
        <f>IFERROR(E70/E64,"n/a")</f>
        <v>0.20397489539748953</v>
      </c>
      <c r="F73" s="11">
        <f>IFERROR(F70/F64,"n/a")</f>
        <v>0.20019627085377822</v>
      </c>
      <c r="G73" s="11">
        <f>IFERROR(G70/G64,"n/a")</f>
        <v>0.19575856443719414</v>
      </c>
      <c r="H73" s="50">
        <f>IFERROR(H70/H64,"n/a")</f>
        <v>0.20230031893854097</v>
      </c>
      <c r="I73" s="13"/>
    </row>
    <row r="74">
      <c r="A74" s="1"/>
      <c r="B74" s="15" t="s">
        <v>119</v>
      </c>
      <c r="C74" s="40">
        <f>IFERROR((C73-C254)*10000,"n/a")</f>
        <v>342.2826808228269</v>
      </c>
      <c r="D74" s="40">
        <f>IFERROR((D73-D254)*10000,"n/a")</f>
        <v>-423.00073168438007</v>
      </c>
      <c r="E74" s="40">
        <f>IFERROR((E73-E254)*10000,"n/a")</f>
        <v>-161.568073306384</v>
      </c>
      <c r="F74" s="40">
        <f>IFERROR((F73-F254)*10000,"n/a")</f>
        <v>157.60473188408562</v>
      </c>
      <c r="G74" s="40">
        <f>IFERROR((G73-G254)*10000,"n/a")</f>
        <v>30.57577131129252</v>
      </c>
      <c r="H74" s="56">
        <f>IFERROR((H73-H254)*10000,"n/a")</f>
        <v>-236.99681061459032</v>
      </c>
      <c r="I74" s="13"/>
    </row>
    <row r="75">
      <c r="A75" s="1"/>
      <c r="B75" s="15" t="s">
        <v>120</v>
      </c>
      <c r="C75" s="40">
        <f>IFERROR((C73-F254)*10000,"n/a")</f>
        <v>415.64202334630346</v>
      </c>
      <c r="D75" s="40">
        <f>IFERROR((D73-C73)*10000,"n/a")</f>
        <v>-743.5630965005303</v>
      </c>
      <c r="E75" s="40">
        <f>IFERROR((E73-D73)*10000,"n/a")</f>
        <v>523.3120504754254</v>
      </c>
      <c r="F75" s="40">
        <f>IFERROR((F73-E73)*10000,"n/a")</f>
        <v>-37.78624543711307</v>
      </c>
      <c r="G75" s="40" t="s">
        <v>44</v>
      </c>
      <c r="H75" s="56">
        <f>IFERROR((H73-F73)*10000,"n/a")</f>
        <v>21.040480847627496</v>
      </c>
      <c r="I75" s="13"/>
    </row>
    <row r="76">
      <c r="A76" s="1"/>
      <c r="B76" s="45" t="s">
        <v>355</v>
      </c>
      <c r="C76" s="29">
        <f>C64-C70</f>
        <v>774</v>
      </c>
      <c r="D76" s="29">
        <f>D64-D70</f>
        <v>800</v>
      </c>
      <c r="E76" s="29">
        <f>E64-E70</f>
        <v>761</v>
      </c>
      <c r="F76" s="29">
        <f>F64-F70</f>
        <v>815</v>
      </c>
      <c r="G76" s="29">
        <f>G64-G70</f>
        <v>3451</v>
      </c>
      <c r="H76" s="47">
        <f>H64-H70</f>
        <v>900.6714383899999</v>
      </c>
      <c r="I76" s="13"/>
    </row>
    <row r="77">
      <c r="A77" s="1"/>
      <c r="B77" s="15" t="s">
        <v>102</v>
      </c>
      <c r="C77" s="11">
        <f>IFERROR(C76/C255-1,"n/a")</f>
        <v>-0.3645320197044335</v>
      </c>
      <c r="D77" s="11">
        <f>IFERROR(D76/D255-1,"n/a")</f>
        <v>-0.2844364937388193</v>
      </c>
      <c r="E77" s="11">
        <f>IFERROR(E76/E255-1,"n/a")</f>
        <v>-0.08202653799758741</v>
      </c>
      <c r="F77" s="11">
        <f>IFERROR(F76/F255-1,"n/a")</f>
        <v>-0.22232824427480913</v>
      </c>
      <c r="G77" s="11">
        <f>IFERROR(G76/G255-1,"n/a")</f>
        <v>-0.24634199606901075</v>
      </c>
      <c r="H77" s="50">
        <f>IFERROR(H76/H255-1,"n/a")</f>
        <v>0.16365818913436692</v>
      </c>
      <c r="I77" s="13"/>
    </row>
    <row r="78">
      <c r="A78" s="1"/>
      <c r="B78" s="15" t="s">
        <v>123</v>
      </c>
      <c r="C78" s="5">
        <f>C76-F255</f>
        <v>-274</v>
      </c>
      <c r="D78" s="5">
        <f>D76-C76</f>
        <v>26</v>
      </c>
      <c r="E78" s="5">
        <f>E76-D76</f>
        <v>-39</v>
      </c>
      <c r="F78" s="5">
        <f>F76-E76</f>
        <v>54</v>
      </c>
      <c r="G78" s="5" t="s">
        <v>44</v>
      </c>
      <c r="H78" s="21">
        <f>H76-F76</f>
        <v>85.67143838999993</v>
      </c>
      <c r="I78" s="13"/>
    </row>
    <row r="79" ht="24">
      <c r="A79" s="1"/>
      <c r="B79" s="4" t="s">
        <v>356</v>
      </c>
      <c r="C79" s="9">
        <v>35</v>
      </c>
      <c r="D79" s="9">
        <v>-24</v>
      </c>
      <c r="E79" s="9">
        <v>9</v>
      </c>
      <c r="F79" s="9">
        <v>29</v>
      </c>
      <c r="G79" s="22">
        <f>E256+F256+C79+D79</f>
        <v>77</v>
      </c>
      <c r="H79" s="37">
        <f>H229-H203</f>
        <v>29</v>
      </c>
      <c r="I79" s="13"/>
    </row>
    <row r="80">
      <c r="A80" s="1"/>
      <c r="B80" s="15" t="s">
        <v>102</v>
      </c>
      <c r="C80" s="11" t="s">
        <v>44</v>
      </c>
      <c r="D80" s="11" t="s">
        <v>44</v>
      </c>
      <c r="E80" s="11" t="s">
        <v>44</v>
      </c>
      <c r="F80" s="11" t="s">
        <v>44</v>
      </c>
      <c r="G80" s="11" t="s">
        <v>44</v>
      </c>
      <c r="H80" s="50" t="s">
        <v>44</v>
      </c>
      <c r="I80" s="13" t="s">
        <v>121</v>
      </c>
    </row>
    <row r="81">
      <c r="A81" s="1"/>
      <c r="B81" s="15" t="s">
        <v>122</v>
      </c>
      <c r="C81" s="5">
        <f>C79-C256</f>
        <v>3</v>
      </c>
      <c r="D81" s="5">
        <f>D79-D256</f>
        <v>-47</v>
      </c>
      <c r="E81" s="5">
        <f>E79-E256</f>
        <v>-23</v>
      </c>
      <c r="F81" s="5">
        <f>F79-F256</f>
        <v>-5</v>
      </c>
      <c r="G81" s="5">
        <f>G79-G256</f>
        <v>-41</v>
      </c>
      <c r="H81" s="21">
        <f>H79-H256</f>
        <v>-6</v>
      </c>
      <c r="I81" s="13"/>
    </row>
    <row r="82">
      <c r="A82" s="1"/>
      <c r="B82" s="15" t="s">
        <v>123</v>
      </c>
      <c r="C82" s="5">
        <f>C79-F256</f>
        <v>1</v>
      </c>
      <c r="D82" s="5">
        <f>D79-C79</f>
        <v>-59</v>
      </c>
      <c r="E82" s="5">
        <f>E79-D79</f>
        <v>33</v>
      </c>
      <c r="F82" s="5">
        <f>F79-E79</f>
        <v>20</v>
      </c>
      <c r="G82" s="5" t="s">
        <v>44</v>
      </c>
      <c r="H82" s="21">
        <f>H79-F79</f>
        <v>0</v>
      </c>
      <c r="I82" s="13"/>
    </row>
    <row r="83" ht="24">
      <c r="A83" s="1"/>
      <c r="B83" s="26" t="s">
        <v>357</v>
      </c>
      <c r="C83" s="29">
        <f>C76-C79</f>
        <v>739</v>
      </c>
      <c r="D83" s="29">
        <f>D76-D79</f>
        <v>824</v>
      </c>
      <c r="E83" s="29">
        <f>E76-E79</f>
        <v>752</v>
      </c>
      <c r="F83" s="29">
        <f>F76-F79</f>
        <v>786</v>
      </c>
      <c r="G83" s="29">
        <f>G76-G79</f>
        <v>3374</v>
      </c>
      <c r="H83" s="47">
        <f>H76-H79</f>
        <v>871.6714383899999</v>
      </c>
      <c r="I83" s="13"/>
    </row>
    <row r="84">
      <c r="A84" s="1"/>
      <c r="B84" s="15" t="s">
        <v>102</v>
      </c>
      <c r="C84" s="11">
        <f>IFERROR(C83/C257-1,"n/a")</f>
        <v>-0.3768971332209107</v>
      </c>
      <c r="D84" s="11">
        <f>IFERROR(D83/D257-1,"n/a")</f>
        <v>-0.24748858447488586</v>
      </c>
      <c r="E84" s="11">
        <f>IFERROR(E83/E257-1,"n/a")</f>
        <v>-0.05646173149309908</v>
      </c>
      <c r="F84" s="11">
        <f>IFERROR(F83/F257-1,"n/a")</f>
        <v>-0.2248520710059172</v>
      </c>
      <c r="G84" s="11">
        <f>IFERROR(G83/G257-1,"n/a")</f>
        <v>-0.24366733916162298</v>
      </c>
      <c r="H84" s="50">
        <f>IFERROR(H83/H257-1,"n/a")</f>
        <v>0.1795283334100135</v>
      </c>
      <c r="I84" s="13"/>
    </row>
    <row r="85">
      <c r="A85" s="1"/>
      <c r="B85" s="15" t="s">
        <v>123</v>
      </c>
      <c r="C85" s="5">
        <f>C83-F257</f>
        <v>-275</v>
      </c>
      <c r="D85" s="5">
        <f>D83-C83</f>
        <v>85</v>
      </c>
      <c r="E85" s="5">
        <f>E83-D83</f>
        <v>-72</v>
      </c>
      <c r="F85" s="5">
        <f>F83-E83</f>
        <v>34</v>
      </c>
      <c r="G85" s="5" t="s">
        <v>44</v>
      </c>
      <c r="H85" s="21">
        <f>H83-F83</f>
        <v>85.67143838999993</v>
      </c>
      <c r="I85" s="13"/>
    </row>
    <row r="86">
      <c r="A86" s="1"/>
      <c r="B86" s="15" t="s">
        <v>358</v>
      </c>
      <c r="C86" s="11">
        <f>IFERROR(C83/C10,"n/a")</f>
        <v>0.08277329749103943</v>
      </c>
      <c r="D86" s="11">
        <f>IFERROR(D83/D10,"n/a")</f>
        <v>0.08455618265777322</v>
      </c>
      <c r="E86" s="11">
        <f>IFERROR(E83/E10,"n/a")</f>
        <v>0.0862286435041853</v>
      </c>
      <c r="F86" s="11">
        <f>IFERROR(F83/F10,"n/a")</f>
        <v>0.08760588497547928</v>
      </c>
      <c r="G86" s="11">
        <f>IFERROR(G83/G10,"n/a")</f>
        <v>0.09448598392562099</v>
      </c>
      <c r="H86" s="50">
        <f>IFERROR(H83/H10,"n/a")</f>
        <v>0.0940516644084439</v>
      </c>
      <c r="I86" s="13"/>
    </row>
    <row r="87">
      <c r="A87" s="1"/>
      <c r="B87" s="15" t="s">
        <v>119</v>
      </c>
      <c r="C87" s="40">
        <f>IFERROR((C86-C258)*10000,"n/a")</f>
        <v>-467.16821517585964</v>
      </c>
      <c r="D87" s="40">
        <f>IFERROR((D86-D258)*10000,"n/a")</f>
        <v>-333.8866869940041</v>
      </c>
      <c r="E87" s="40">
        <f>IFERROR((E86-E258)*10000,"n/a")</f>
        <v>-76.46503727852388</v>
      </c>
      <c r="F87" s="40">
        <f>IFERROR((F86-F258)*10000,"n/a")</f>
        <v>-310.46115960631187</v>
      </c>
      <c r="G87" s="40">
        <f>IFERROR((G86-G258)*10000,"n/a")</f>
        <v>-284.438295164689</v>
      </c>
      <c r="H87" s="56">
        <f>IFERROR((H86-H258)*10000,"n/a")</f>
        <v>112.7836691740447</v>
      </c>
      <c r="I87" s="13"/>
    </row>
    <row r="88">
      <c r="A88" s="1"/>
      <c r="B88" s="15" t="s">
        <v>120</v>
      </c>
      <c r="C88" s="40">
        <f>IFERROR((C86-F258)*10000,"n/a")</f>
        <v>-358.78703445071034</v>
      </c>
      <c r="D88" s="40">
        <f>IFERROR((D86-C86)*10000,"n/a")</f>
        <v>17.828851667337915</v>
      </c>
      <c r="E88" s="40">
        <f>IFERROR((E86-D86)*10000,"n/a")</f>
        <v>16.7246084641208</v>
      </c>
      <c r="F88" s="40">
        <f>IFERROR((F86-E86)*10000,"n/a")</f>
        <v>13.772414712939774</v>
      </c>
      <c r="G88" s="40" t="s">
        <v>44</v>
      </c>
      <c r="H88" s="56">
        <f>IFERROR((H86-F86)*10000,"n/a")</f>
        <v>64.4577943296462</v>
      </c>
      <c r="I88" s="13"/>
    </row>
    <row r="89" ht="24">
      <c r="A89" s="1"/>
      <c r="B89" s="4" t="s">
        <v>359</v>
      </c>
      <c r="C89" s="16">
        <f>'Share Count'!C34</f>
        <v>1471</v>
      </c>
      <c r="D89" s="16">
        <f>'Share Count'!D34</f>
        <v>1495</v>
      </c>
      <c r="E89" s="16">
        <f>'Share Count'!E34</f>
        <v>1499</v>
      </c>
      <c r="F89" s="16">
        <f>'Share Count'!F34</f>
        <v>1490</v>
      </c>
      <c r="G89" s="16">
        <f>'Share Count'!G34</f>
        <v>1421</v>
      </c>
      <c r="H89" s="73">
        <f>'Share Count'!H34</f>
        <v>1479.9343434343434</v>
      </c>
      <c r="I89" s="13"/>
    </row>
    <row r="90" ht="24">
      <c r="A90" s="1"/>
      <c r="B90" s="4" t="s">
        <v>360</v>
      </c>
      <c r="C90" s="16">
        <f>'Share Count'!C43</f>
        <v>1488</v>
      </c>
      <c r="D90" s="16">
        <f>'Share Count'!D43</f>
        <v>1511</v>
      </c>
      <c r="E90" s="16">
        <f>'Share Count'!E43</f>
        <v>1515</v>
      </c>
      <c r="F90" s="16">
        <f>'Share Count'!F43</f>
        <v>1506</v>
      </c>
      <c r="G90" s="16">
        <f>'Share Count'!G43</f>
        <v>1437</v>
      </c>
      <c r="H90" s="73">
        <f>'Share Count'!H43</f>
        <v>1495.9343434343434</v>
      </c>
      <c r="I90" s="13"/>
    </row>
    <row r="91">
      <c r="A91" s="1"/>
      <c r="B91" s="45" t="s">
        <v>361</v>
      </c>
      <c r="C91" s="80">
        <f>C83/C90</f>
        <v>0.49663978494623656</v>
      </c>
      <c r="D91" s="80">
        <f>D83/D90</f>
        <v>0.5453342157511581</v>
      </c>
      <c r="E91" s="80">
        <f>E83/E90</f>
        <v>0.49636963696369635</v>
      </c>
      <c r="F91" s="80">
        <f>F83/F90</f>
        <v>0.5219123505976095</v>
      </c>
      <c r="G91" s="80">
        <f>G83/G90</f>
        <v>2.34794711203897</v>
      </c>
      <c r="H91" s="93">
        <f>H83/H90</f>
        <v>0.5826936470947179</v>
      </c>
      <c r="I91" s="13"/>
    </row>
    <row r="92">
      <c r="A92" s="1"/>
      <c r="B92" s="15" t="s">
        <v>102</v>
      </c>
      <c r="C92" s="11">
        <f>IFERROR(C91/C260-1,"n/a")</f>
        <v>-0.4003472411104463</v>
      </c>
      <c r="D92" s="11">
        <f>IFERROR(D91/D260-1,"n/a")</f>
        <v>-0.2928085969254387</v>
      </c>
      <c r="E92" s="11">
        <f>IFERROR(E91/E260-1,"n/a")</f>
        <v>-0.14053939898381318</v>
      </c>
      <c r="F92" s="11">
        <f>IFERROR(F91/F260-1,"n/a")</f>
        <v>-0.29691097542767786</v>
      </c>
      <c r="G92" s="11">
        <f>IFERROR(G91/G260-1,"n/a")</f>
        <v>-0.24419366669178189</v>
      </c>
      <c r="H92" s="50">
        <f>IFERROR(H91/H260-1,"n/a")</f>
        <v>0.17327218792549437</v>
      </c>
      <c r="I92" s="13"/>
    </row>
    <row r="93">
      <c r="A93" s="1"/>
      <c r="B93" s="15" t="s">
        <v>362</v>
      </c>
      <c r="C93" s="10">
        <f>C91-F260</f>
        <v>-0.2456735386262378</v>
      </c>
      <c r="D93" s="10">
        <f>D91-C91</f>
        <v>0.048694430804921585</v>
      </c>
      <c r="E93" s="10">
        <f>E91-D91</f>
        <v>-0.0489645787874618</v>
      </c>
      <c r="F93" s="10">
        <f>F91-E91</f>
        <v>0.025542713633913194</v>
      </c>
      <c r="G93" s="10" t="s">
        <v>44</v>
      </c>
      <c r="H93" s="19">
        <f>H91-F91</f>
        <v>0.060781296497108395</v>
      </c>
      <c r="I93" s="13"/>
    </row>
    <row r="94" ht="45">
      <c r="A94" s="1"/>
      <c r="B94" s="4" t="s">
        <v>363</v>
      </c>
      <c r="C94" s="3">
        <f>Inputs!$G$110</f>
        <v>0.5</v>
      </c>
      <c r="D94" s="3">
        <f>Inputs!$G$111</f>
        <v>0.55</v>
      </c>
      <c r="E94" s="3">
        <f>Inputs!$G$112</f>
        <v>0.5</v>
      </c>
      <c r="F94" s="3">
        <f>Inputs!$G$113</f>
        <v>0.52</v>
      </c>
      <c r="G94" s="44">
        <v>2.35</v>
      </c>
      <c r="H94" s="81" t="s">
        <v>44</v>
      </c>
      <c r="I94" s="13"/>
    </row>
    <row r="95">
      <c r="A95" s="1"/>
      <c r="B95" s="41" t="s">
        <v>364</v>
      </c>
      <c r="C95" s="1"/>
      <c r="D95" s="1"/>
      <c r="E95" s="1"/>
      <c r="F95" s="1"/>
      <c r="G95" s="1"/>
      <c r="H95" s="53"/>
      <c r="I95" s="13"/>
    </row>
    <row r="96" ht="24">
      <c r="A96" s="1"/>
      <c r="B96" s="4" t="s">
        <v>365</v>
      </c>
      <c r="C96" s="16">
        <f>'Segment - Digital'!C103+'Segment - Reservoir Performance'!C59+'Segment - Well Construction'!C59+'Segment - Production Systems'!C59+'Segment - All Other'!C53+C151+C158</f>
        <v>638</v>
      </c>
      <c r="D96" s="16">
        <f>'Segment - Digital'!D103+'Segment - Reservoir Performance'!D59+'Segment - Well Construction'!D59+'Segment - Production Systems'!D59+'Segment - All Other'!D53+D151+D158</f>
        <v>732</v>
      </c>
      <c r="E96" s="16">
        <f>'Segment - Digital'!E103+'Segment - Reservoir Performance'!E59+'Segment - Well Construction'!E59+'Segment - Production Systems'!E59+'Segment - All Other'!E53+E151+E158</f>
        <v>685</v>
      </c>
      <c r="F96" s="16">
        <f>'Segment - Digital'!F103+'Segment - Reservoir Performance'!F59+'Segment - Well Construction'!F59+'Segment - Production Systems'!F59+'Segment - All Other'!F53+F151+F158</f>
        <v>712</v>
      </c>
      <c r="G96" s="16">
        <f>'Segment - Digital'!G103+'Segment - Reservoir Performance'!G59+'Segment - Well Construction'!G59+'Segment - Production Systems'!G59+'Segment - All Other'!G53+G151+G158</f>
        <v>2641</v>
      </c>
      <c r="H96" s="73">
        <f>'Segment - Digital'!H103+'Segment - Reservoir Performance'!H59+'Segment - Well Construction'!H59+'Segment - Production Systems'!H59+'Segment - All Other'!H53+H151+H158</f>
        <v>711</v>
      </c>
      <c r="I96" s="13"/>
    </row>
    <row r="97" ht="24">
      <c r="A97" s="1"/>
      <c r="B97" s="26" t="s">
        <v>366</v>
      </c>
      <c r="C97" s="86">
        <f>'Cash Flow Statement'!C13</f>
        <v>638</v>
      </c>
      <c r="D97" s="86">
        <f>'Cash Flow Statement'!D13</f>
        <v>732</v>
      </c>
      <c r="E97" s="86">
        <f>'Cash Flow Statement'!E13</f>
        <v>685</v>
      </c>
      <c r="F97" s="86">
        <f>'Cash Flow Statement'!F13</f>
        <v>712</v>
      </c>
      <c r="G97" s="29">
        <f>E261+F261+C97+D97</f>
        <v>2643</v>
      </c>
      <c r="H97" s="47">
        <f>H96</f>
        <v>711</v>
      </c>
      <c r="I97" s="13" t="s">
        <v>367</v>
      </c>
    </row>
    <row r="98">
      <c r="A98" s="1"/>
      <c r="B98" s="15" t="s">
        <v>102</v>
      </c>
      <c r="C98" s="11">
        <f>IFERROR(C97/C261-1,"n/a")</f>
        <v>-0.0031250000000000444</v>
      </c>
      <c r="D98" s="11">
        <f>IFERROR(D97/D261-1,"n/a")</f>
        <v>0.12962962962962954</v>
      </c>
      <c r="E98" s="11">
        <f>IFERROR(E97/E261-1,"n/a")</f>
        <v>0.0703125</v>
      </c>
      <c r="F98" s="11">
        <f>IFERROR(F97/F261-1,"n/a")</f>
        <v>0.12480252764612954</v>
      </c>
      <c r="G98" s="11">
        <f>IFERROR(G97/G261-1,"n/a")</f>
        <v>0.04922588328701871</v>
      </c>
      <c r="H98" s="50">
        <f>IFERROR(H97/H261-1,"n/a")</f>
        <v>0.11442006269592486</v>
      </c>
      <c r="I98" s="13"/>
    </row>
    <row r="99">
      <c r="A99" s="1"/>
      <c r="B99" s="15" t="s">
        <v>123</v>
      </c>
      <c r="C99" s="5">
        <f>C97-F261</f>
        <v>5</v>
      </c>
      <c r="D99" s="5">
        <f>D97-C97</f>
        <v>94</v>
      </c>
      <c r="E99" s="5">
        <f>E97-D97</f>
        <v>-47</v>
      </c>
      <c r="F99" s="5">
        <f>F97-E97</f>
        <v>27</v>
      </c>
      <c r="G99" s="5" t="s">
        <v>44</v>
      </c>
      <c r="H99" s="21">
        <f>H97-F97</f>
        <v>-1</v>
      </c>
      <c r="I99" s="13"/>
    </row>
    <row r="100">
      <c r="A100" s="1"/>
      <c r="B100" s="15" t="s">
        <v>227</v>
      </c>
      <c r="C100" s="11">
        <f>IFERROR(C97/C10,"n/a")</f>
        <v>0.07146057347670251</v>
      </c>
      <c r="D100" s="11">
        <f>IFERROR(D97/D10,"n/a")</f>
        <v>0.07511544381734223</v>
      </c>
      <c r="E100" s="11">
        <f>IFERROR(E97/E10,"n/a")</f>
        <v>0.07854603829836028</v>
      </c>
      <c r="F100" s="11">
        <f>IFERROR(F97/F10,"n/a")</f>
        <v>0.07935800267498885</v>
      </c>
      <c r="G100" s="11">
        <f>IFERROR(G97/G10,"n/a")</f>
        <v>0.07401495421322356</v>
      </c>
      <c r="H100" s="50">
        <f>IFERROR(H97/H10,"n/a")</f>
        <v>0.07671552657262193</v>
      </c>
      <c r="I100" s="13"/>
    </row>
    <row r="101">
      <c r="A101" s="1"/>
      <c r="B101" s="15" t="s">
        <v>119</v>
      </c>
      <c r="C101" s="40">
        <f>IFERROR((C100-C262)*10000,"n/a")</f>
        <v>15.839493911036506</v>
      </c>
      <c r="D101" s="40">
        <f>IFERROR((D100-D262)*10000,"n/a")</f>
        <v>53.17942740220294</v>
      </c>
      <c r="E101" s="40">
        <f>IFERROR((E100-E262)*10000,"n/a")</f>
        <v>31.632350003626406</v>
      </c>
      <c r="F101" s="40">
        <f>IFERROR((F100-F262)*10000,"n/a")</f>
        <v>52.882624456417894</v>
      </c>
      <c r="G101" s="40">
        <f>IFERROR((G100-G262)*10000,"n/a")</f>
        <v>45.99979978607005</v>
      </c>
      <c r="H101" s="56">
        <f>IFERROR((H100-H262)*10000,"n/a")</f>
        <v>52.54953095919418</v>
      </c>
      <c r="I101" s="13"/>
    </row>
    <row r="102">
      <c r="A102" s="1"/>
      <c r="B102" s="15" t="s">
        <v>120</v>
      </c>
      <c r="C102" s="40">
        <f>IFERROR((C100-F262)*10000,"n/a")</f>
        <v>-26.09166752644554</v>
      </c>
      <c r="D102" s="40">
        <f>IFERROR((D100-C100)*10000,"n/a")</f>
        <v>36.54870340639715</v>
      </c>
      <c r="E102" s="40">
        <f>IFERROR((E100-D100)*10000,"n/a")</f>
        <v>34.30594481018054</v>
      </c>
      <c r="F102" s="40">
        <f>IFERROR((F100-E100)*10000,"n/a")</f>
        <v>8.119643766285739</v>
      </c>
      <c r="G102" s="40" t="s">
        <v>44</v>
      </c>
      <c r="H102" s="56">
        <f>IFERROR((H100-F100)*10000,"n/a")</f>
        <v>-26.42476102366925</v>
      </c>
      <c r="I102" s="13"/>
    </row>
    <row r="103">
      <c r="A103" s="1"/>
      <c r="B103" s="1" t="s">
        <v>368</v>
      </c>
      <c r="C103" s="9">
        <v>453</v>
      </c>
      <c r="D103" s="9">
        <v>475</v>
      </c>
      <c r="E103" s="9">
        <v>464</v>
      </c>
      <c r="F103" s="9">
        <v>473</v>
      </c>
      <c r="G103" s="22">
        <f>E263+F263+C103+D103</f>
        <v>1733</v>
      </c>
      <c r="H103" s="37">
        <f>H97-H106-H109-H112</f>
        <v>474</v>
      </c>
      <c r="I103" s="13"/>
    </row>
    <row r="104">
      <c r="A104" s="1"/>
      <c r="B104" s="15" t="s">
        <v>177</v>
      </c>
      <c r="C104" s="11">
        <f>IFERROR(C103/C263-1,"n/a")</f>
        <v>0.14974619289340096</v>
      </c>
      <c r="D104" s="11">
        <f>IFERROR(D103/D263-1,"n/a")</f>
        <v>0.1994949494949494</v>
      </c>
      <c r="E104" s="11">
        <f>IFERROR(E103/E263-1,"n/a")</f>
        <v>0.1687657430730478</v>
      </c>
      <c r="F104" s="11">
        <f>IFERROR(F103/F263-1,"n/a")</f>
        <v>0.15931372549019618</v>
      </c>
      <c r="G104" s="11">
        <f>IFERROR(G103/G263-1,"n/a")</f>
        <v>0.1173436492585429</v>
      </c>
      <c r="H104" s="50">
        <f>IFERROR(H103/H263-1,"n/a")</f>
        <v>0.04635761589403975</v>
      </c>
      <c r="I104" s="13"/>
    </row>
    <row r="105">
      <c r="A105" s="1"/>
      <c r="B105" s="15" t="s">
        <v>131</v>
      </c>
      <c r="C105" s="5">
        <f>C103-F263</f>
        <v>45</v>
      </c>
      <c r="D105" s="5">
        <f>D103-C103</f>
        <v>22</v>
      </c>
      <c r="E105" s="5">
        <f>E103-D103</f>
        <v>-11</v>
      </c>
      <c r="F105" s="5">
        <f>F103-E103</f>
        <v>9</v>
      </c>
      <c r="G105" s="5" t="s">
        <v>44</v>
      </c>
      <c r="H105" s="21">
        <f>H103-F103</f>
        <v>1</v>
      </c>
      <c r="I105" s="13"/>
    </row>
    <row r="106" ht="24">
      <c r="A106" s="1"/>
      <c r="B106" s="4" t="s">
        <v>369</v>
      </c>
      <c r="C106" s="9">
        <v>101</v>
      </c>
      <c r="D106" s="9">
        <v>111</v>
      </c>
      <c r="E106" s="9">
        <v>110</v>
      </c>
      <c r="F106" s="9">
        <v>111</v>
      </c>
      <c r="G106" s="22">
        <f>E264+F264+C106+D106</f>
        <v>376</v>
      </c>
      <c r="H106" s="8">
        <v>111</v>
      </c>
      <c r="I106" s="13"/>
    </row>
    <row r="107">
      <c r="A107" s="1"/>
      <c r="B107" s="15" t="s">
        <v>177</v>
      </c>
      <c r="C107" s="11">
        <f>IFERROR(C106/C264-1,"n/a")</f>
        <v>0.16091954022988508</v>
      </c>
      <c r="D107" s="11">
        <f>IFERROR(D106/D264-1,"n/a")</f>
        <v>0.3214285714285714</v>
      </c>
      <c r="E107" s="11">
        <f>IFERROR(E106/E264-1,"n/a")</f>
        <v>0.3414634146341464</v>
      </c>
      <c r="F107" s="11">
        <f>IFERROR(F106/F264-1,"n/a")</f>
        <v>0.35365853658536595</v>
      </c>
      <c r="G107" s="11">
        <f>IFERROR(G106/G264-1,"n/a")</f>
        <v>0.12574850299401197</v>
      </c>
      <c r="H107" s="50">
        <f>IFERROR(H106/H264-1,"n/a")</f>
        <v>0.0990099009900991</v>
      </c>
      <c r="I107" s="13"/>
    </row>
    <row r="108">
      <c r="A108" s="1"/>
      <c r="B108" s="15" t="s">
        <v>131</v>
      </c>
      <c r="C108" s="5">
        <f>C106-F264</f>
        <v>19</v>
      </c>
      <c r="D108" s="5">
        <f>D106-C106</f>
        <v>10</v>
      </c>
      <c r="E108" s="5">
        <f>E106-D106</f>
        <v>-1</v>
      </c>
      <c r="F108" s="5">
        <f>F106-E106</f>
        <v>1</v>
      </c>
      <c r="G108" s="5" t="s">
        <v>44</v>
      </c>
      <c r="H108" s="21">
        <f>H106-F106</f>
        <v>0</v>
      </c>
      <c r="I108" s="13"/>
    </row>
    <row r="109" ht="24">
      <c r="A109" s="1"/>
      <c r="B109" s="4" t="s">
        <v>370</v>
      </c>
      <c r="C109" s="9">
        <v>60</v>
      </c>
      <c r="D109" s="9">
        <v>84</v>
      </c>
      <c r="E109" s="9">
        <v>82</v>
      </c>
      <c r="F109" s="9">
        <v>83</v>
      </c>
      <c r="G109" s="22">
        <f>E265+F265+C109+D109</f>
        <v>369</v>
      </c>
      <c r="H109" s="8">
        <v>83</v>
      </c>
      <c r="I109" s="13"/>
    </row>
    <row r="110">
      <c r="A110" s="1"/>
      <c r="B110" s="15" t="s">
        <v>177</v>
      </c>
      <c r="C110" s="11">
        <f>IFERROR(C109/C265-1,"n/a")</f>
        <v>-0.5161290322580645</v>
      </c>
      <c r="D110" s="11">
        <f>IFERROR(D109/D265-1,"n/a")</f>
        <v>-0.33333333333333337</v>
      </c>
      <c r="E110" s="11">
        <f>IFERROR(E109/E265-1,"n/a")</f>
        <v>-0.2545454545454545</v>
      </c>
      <c r="F110" s="11">
        <f>IFERROR(F109/F265-1,"n/a")</f>
        <v>-0.27826086956521734</v>
      </c>
      <c r="G110" s="11">
        <f>IFERROR(G109/G265-1,"n/a")</f>
        <v>-0.23284823284823286</v>
      </c>
      <c r="H110" s="50">
        <f>IFERROR(H109/H265-1,"n/a")</f>
        <v>0.3833333333333333</v>
      </c>
      <c r="I110" s="13"/>
    </row>
    <row r="111">
      <c r="A111" s="1"/>
      <c r="B111" s="15" t="s">
        <v>131</v>
      </c>
      <c r="C111" s="5">
        <f>C109-F265</f>
        <v>-55</v>
      </c>
      <c r="D111" s="5">
        <f>D109-C109</f>
        <v>24</v>
      </c>
      <c r="E111" s="5">
        <f>E109-D109</f>
        <v>-2</v>
      </c>
      <c r="F111" s="5">
        <f>F109-E109</f>
        <v>1</v>
      </c>
      <c r="G111" s="5" t="s">
        <v>44</v>
      </c>
      <c r="H111" s="21">
        <f>H109-F109</f>
        <v>0</v>
      </c>
      <c r="I111" s="13"/>
    </row>
    <row r="112" ht="24">
      <c r="A112" s="1"/>
      <c r="B112" s="4" t="s">
        <v>371</v>
      </c>
      <c r="C112" s="9">
        <v>24</v>
      </c>
      <c r="D112" s="9">
        <v>62</v>
      </c>
      <c r="E112" s="9">
        <v>29</v>
      </c>
      <c r="F112" s="9">
        <v>45</v>
      </c>
      <c r="G112" s="22">
        <f>E266+F266+C112+D112</f>
        <v>165</v>
      </c>
      <c r="H112" s="8">
        <v>43</v>
      </c>
      <c r="I112" s="13"/>
    </row>
    <row r="113">
      <c r="A113" s="1"/>
      <c r="B113" s="15" t="s">
        <v>177</v>
      </c>
      <c r="C113" s="11">
        <f>IFERROR(C112/C266-1,"n/a")</f>
        <v>-0.3142857142857143</v>
      </c>
      <c r="D113" s="11">
        <f>IFERROR(D112/D266-1,"n/a")</f>
        <v>0.4761904761904763</v>
      </c>
      <c r="E113" s="11">
        <f>IFERROR(E112/E266-1,"n/a")</f>
        <v>-0.43137254901960786</v>
      </c>
      <c r="F113" s="11">
        <f>IFERROR(F112/F266-1,"n/a")</f>
        <v>0.6071428571428572</v>
      </c>
      <c r="G113" s="11">
        <f>IFERROR(G112/G266-1,"n/a")</f>
        <v>0.07843137254901955</v>
      </c>
      <c r="H113" s="50">
        <f>IFERROR(H112/H266-1,"n/a")</f>
        <v>0.7916666666666667</v>
      </c>
      <c r="I113" s="13"/>
    </row>
    <row r="114">
      <c r="A114" s="1"/>
      <c r="B114" s="15" t="s">
        <v>131</v>
      </c>
      <c r="C114" s="5">
        <f>C112-F266</f>
        <v>-4</v>
      </c>
      <c r="D114" s="5">
        <f>D112-C112</f>
        <v>38</v>
      </c>
      <c r="E114" s="5">
        <f>E112-D112</f>
        <v>-33</v>
      </c>
      <c r="F114" s="5">
        <f>F112-E112</f>
        <v>16</v>
      </c>
      <c r="G114" s="5" t="s">
        <v>44</v>
      </c>
      <c r="H114" s="21">
        <f>H112-F112</f>
        <v>-2</v>
      </c>
      <c r="I114" s="13"/>
    </row>
    <row r="115" ht="24">
      <c r="A115" s="1"/>
      <c r="B115" s="4" t="s">
        <v>372</v>
      </c>
      <c r="C115" s="38" t="b">
        <f>AND(ROUND(C97-C103-C106-C109-C112,6)=0,ROUND(C97-C96,6)=0)</f>
        <v>1</v>
      </c>
      <c r="D115" s="38" t="b">
        <f>AND(ROUND(D97-D103-D106-D109-D112,6)=0,ROUND(D97-D96,6)=0)</f>
        <v>1</v>
      </c>
      <c r="E115" s="38" t="b">
        <f>AND(ROUND(E97-E103-E106-E109-E112,6)=0,ROUND(E97-E96,6)=0)</f>
        <v>1</v>
      </c>
      <c r="F115" s="38" t="b">
        <f>AND(ROUND(F97-F103-F106-F109-F112,6)=0,ROUND(F97-F96,6)=0)</f>
        <v>1</v>
      </c>
      <c r="G115" s="38" t="b">
        <f>AND(ROUND(G97-G103-G106-G109-G112,6)=0,ABS(G97-G96)&lt;=3)</f>
        <v>1</v>
      </c>
      <c r="H115" s="68" t="b">
        <f>AND(ROUND(H97-H103-H106-H109-H112,6)=0,ROUND(H97-H96,6)=0)</f>
        <v>1</v>
      </c>
      <c r="I115" s="13" t="s">
        <v>373</v>
      </c>
    </row>
    <row r="116">
      <c r="A116" s="1"/>
      <c r="B116" s="41" t="s">
        <v>374</v>
      </c>
      <c r="C116" s="1"/>
      <c r="D116" s="1"/>
      <c r="E116" s="1"/>
      <c r="F116" s="1"/>
      <c r="G116" s="1"/>
      <c r="H116" s="53"/>
      <c r="I116" s="13"/>
    </row>
    <row r="117" ht="24">
      <c r="A117" s="1"/>
      <c r="B117" s="4" t="s">
        <v>375</v>
      </c>
      <c r="C117" s="16">
        <f>'Segment - Digital'!C96</f>
        <v>187</v>
      </c>
      <c r="D117" s="16">
        <f>'Segment - Digital'!D96</f>
        <v>280</v>
      </c>
      <c r="E117" s="16">
        <f>'Segment - Digital'!E96</f>
        <v>134</v>
      </c>
      <c r="F117" s="16">
        <f>'Segment - Digital'!F96</f>
        <v>194</v>
      </c>
      <c r="G117" s="16">
        <f>'Segment - Digital'!G96</f>
        <v>745</v>
      </c>
      <c r="H117" s="73">
        <f>'Segment - Digital'!H96</f>
        <v>185.8207</v>
      </c>
      <c r="I117" s="13"/>
    </row>
    <row r="118">
      <c r="A118" s="1"/>
      <c r="B118" s="15" t="s">
        <v>177</v>
      </c>
      <c r="C118" s="11">
        <f>IFERROR(C117/C267-1,"n/a")</f>
        <v>-0.015789473684210575</v>
      </c>
      <c r="D118" s="11">
        <f>IFERROR(D117/D267-1,"n/a")</f>
        <v>0.15702479338842967</v>
      </c>
      <c r="E118" s="11">
        <f>IFERROR(E117/E267-1,"n/a")</f>
        <v>0.07200000000000006</v>
      </c>
      <c r="F118" s="11">
        <f>IFERROR(F117/F267-1,"n/a")</f>
        <v>0.26797385620915026</v>
      </c>
      <c r="G118" s="11">
        <f>IFERROR(G117/G267-1,"n/a")</f>
        <v>0.2173202614379084</v>
      </c>
      <c r="H118" s="50">
        <f>IFERROR(H117/H267-1,"n/a")</f>
        <v>-0.006306417112299512</v>
      </c>
      <c r="I118" s="13"/>
    </row>
    <row r="119" ht="24">
      <c r="A119" s="1"/>
      <c r="B119" s="4" t="s">
        <v>376</v>
      </c>
      <c r="C119" s="16">
        <f>'Segment - Reservoir Performance'!C52</f>
        <v>312</v>
      </c>
      <c r="D119" s="16">
        <f>'Segment - Reservoir Performance'!D52</f>
        <v>342</v>
      </c>
      <c r="E119" s="16">
        <f>'Segment - Reservoir Performance'!E52</f>
        <v>257</v>
      </c>
      <c r="F119" s="16">
        <f>'Segment - Reservoir Performance'!F52</f>
        <v>232</v>
      </c>
      <c r="G119" s="16">
        <f>'Segment - Reservoir Performance'!G52</f>
        <v>1250</v>
      </c>
      <c r="H119" s="73">
        <f>'Segment - Reservoir Performance'!H52</f>
        <v>254.77215600000002</v>
      </c>
      <c r="I119" s="13"/>
    </row>
    <row r="120">
      <c r="A120" s="1"/>
      <c r="B120" s="15" t="s">
        <v>177</v>
      </c>
      <c r="C120" s="11">
        <f>IFERROR(C119/C268-1,"n/a")</f>
        <v>-0.14986376021798364</v>
      </c>
      <c r="D120" s="11">
        <f>IFERROR(D119/D268-1,"n/a")</f>
        <v>-0.07567567567567568</v>
      </c>
      <c r="E120" s="11">
        <f>IFERROR(E119/E268-1,"n/a")</f>
        <v>-0.08865248226950351</v>
      </c>
      <c r="F120" s="11">
        <f>IFERROR(F119/F268-1,"n/a")</f>
        <v>-0.2611464968152867</v>
      </c>
      <c r="G120" s="11">
        <f>IFERROR(G119/G268-1,"n/a")</f>
        <v>-0.1391184573002755</v>
      </c>
      <c r="H120" s="50">
        <f>IFERROR(H119/H268-1,"n/a")</f>
        <v>-0.18342257692307684</v>
      </c>
      <c r="I120" s="13"/>
    </row>
    <row r="121" ht="24">
      <c r="A121" s="1"/>
      <c r="B121" s="4" t="s">
        <v>377</v>
      </c>
      <c r="C121" s="16">
        <f>'Segment - Well Construction'!C52</f>
        <v>558</v>
      </c>
      <c r="D121" s="16">
        <f>'Segment - Well Construction'!D52</f>
        <v>550</v>
      </c>
      <c r="E121" s="16">
        <f>'Segment - Well Construction'!E52</f>
        <v>424</v>
      </c>
      <c r="F121" s="16">
        <f>'Segment - Well Construction'!F52</f>
        <v>417</v>
      </c>
      <c r="G121" s="16">
        <f>'Segment - Well Construction'!G52</f>
        <v>2248</v>
      </c>
      <c r="H121" s="73">
        <f>'Segment - Well Construction'!H52</f>
        <v>440.997614</v>
      </c>
      <c r="I121" s="13"/>
    </row>
    <row r="122">
      <c r="A122" s="1"/>
      <c r="B122" s="15" t="s">
        <v>177</v>
      </c>
      <c r="C122" s="11">
        <f>IFERROR(C121/C269-1,"n/a")</f>
        <v>-0.2184873949579832</v>
      </c>
      <c r="D122" s="11">
        <f>IFERROR(D121/D269-1,"n/a")</f>
        <v>-0.19236417033773867</v>
      </c>
      <c r="E122" s="11">
        <f>IFERROR(E121/E269-1,"n/a")</f>
        <v>-0.2801358234295416</v>
      </c>
      <c r="F122" s="11">
        <f>IFERROR(F121/F269-1,"n/a")</f>
        <v>-0.2431941923774955</v>
      </c>
      <c r="G122" s="11">
        <f>IFERROR(G121/G269-1,"n/a")</f>
        <v>-0.2045293701344657</v>
      </c>
      <c r="H122" s="50">
        <f>IFERROR(H121/H269-1,"n/a")</f>
        <v>-0.20968169534050174</v>
      </c>
      <c r="I122" s="13"/>
    </row>
    <row r="123" ht="24">
      <c r="A123" s="1"/>
      <c r="B123" s="4" t="s">
        <v>378</v>
      </c>
      <c r="C123" s="16">
        <f>'Segment - Production Systems'!C52</f>
        <v>559</v>
      </c>
      <c r="D123" s="16">
        <f>'Segment - Production Systems'!D52</f>
        <v>664</v>
      </c>
      <c r="E123" s="16">
        <f>'Segment - Production Systems'!E52</f>
        <v>497</v>
      </c>
      <c r="F123" s="16">
        <f>'Segment - Production Systems'!F52</f>
        <v>586</v>
      </c>
      <c r="G123" s="16">
        <f>'Segment - Production Systems'!G52</f>
        <v>2185</v>
      </c>
      <c r="H123" s="73">
        <f>'Segment - Production Systems'!H52</f>
        <v>624.2872</v>
      </c>
      <c r="I123" s="13"/>
    </row>
    <row r="124">
      <c r="A124" s="1"/>
      <c r="B124" s="15" t="s">
        <v>177</v>
      </c>
      <c r="C124" s="11">
        <f>IFERROR(C123/C270-1,"n/a")</f>
        <v>0.0791505791505791</v>
      </c>
      <c r="D124" s="11">
        <f>IFERROR(D123/D270-1,"n/a")</f>
        <v>0.30451866404715133</v>
      </c>
      <c r="E124" s="11">
        <f>IFERROR(E123/E270-1,"n/a")</f>
        <v>0.05520169851380041</v>
      </c>
      <c r="F124" s="11">
        <f>IFERROR(F123/F270-1,"n/a")</f>
        <v>0.19348268839103877</v>
      </c>
      <c r="G124" s="11">
        <f>IFERROR(G123/G270-1,"n/a")</f>
        <v>0.1499999999999999</v>
      </c>
      <c r="H124" s="50">
        <f>IFERROR(H123/H270-1,"n/a")</f>
        <v>0.11679284436493731</v>
      </c>
      <c r="I124" s="13"/>
    </row>
    <row r="125" ht="34.5">
      <c r="A125" s="1"/>
      <c r="B125" s="4" t="s">
        <v>379</v>
      </c>
      <c r="C125" s="16">
        <f>'Segment - All Other'!C46</f>
        <v>96</v>
      </c>
      <c r="D125" s="16">
        <f>'Segment - All Other'!D46</f>
        <v>85</v>
      </c>
      <c r="E125" s="16">
        <f>'Segment - All Other'!E46</f>
        <v>113</v>
      </c>
      <c r="F125" s="16">
        <f>'Segment - All Other'!F46</f>
        <v>142</v>
      </c>
      <c r="G125" s="16">
        <f>'Segment - All Other'!G46</f>
        <v>498</v>
      </c>
      <c r="H125" s="73">
        <f>'Segment - All Other'!H46</f>
        <v>138.20819999999998</v>
      </c>
      <c r="I125" s="13"/>
    </row>
    <row r="126">
      <c r="A126" s="1"/>
      <c r="B126" s="15" t="s">
        <v>177</v>
      </c>
      <c r="C126" s="11">
        <f>IFERROR(C125/C271-1,"n/a")</f>
        <v>-0.4893617021276596</v>
      </c>
      <c r="D126" s="11">
        <f>IFERROR(D125/D271-1,"n/a")</f>
        <v>-0.5454545454545454</v>
      </c>
      <c r="E126" s="11">
        <f>IFERROR(E125/E271-1,"n/a")</f>
        <v>-0.30246913580246915</v>
      </c>
      <c r="F126" s="11">
        <f>IFERROR(F125/F271-1,"n/a")</f>
        <v>-0.08387096774193548</v>
      </c>
      <c r="G126" s="11">
        <f>IFERROR(G125/G271-1,"n/a")</f>
        <v>-0.3574193548387097</v>
      </c>
      <c r="H126" s="50">
        <f>IFERROR(H125/H271-1,"n/a")</f>
        <v>0.43966874999999983</v>
      </c>
      <c r="I126" s="13"/>
    </row>
    <row r="127">
      <c r="A127" s="1"/>
      <c r="B127" s="1" t="s">
        <v>153</v>
      </c>
      <c r="C127" s="9">
        <v>-86</v>
      </c>
      <c r="D127" s="9">
        <v>-114</v>
      </c>
      <c r="E127" s="9">
        <v>-104</v>
      </c>
      <c r="F127" s="9">
        <v>-167</v>
      </c>
      <c r="G127" s="22">
        <f>E272+F272+C127+D127</f>
        <v>-353</v>
      </c>
      <c r="H127" s="8">
        <v>-125</v>
      </c>
      <c r="I127" s="13" t="s">
        <v>380</v>
      </c>
    </row>
    <row r="128">
      <c r="A128" s="1"/>
      <c r="B128" s="15" t="s">
        <v>177</v>
      </c>
      <c r="C128" s="11" t="s">
        <v>44</v>
      </c>
      <c r="D128" s="11" t="s">
        <v>44</v>
      </c>
      <c r="E128" s="11" t="s">
        <v>44</v>
      </c>
      <c r="F128" s="11" t="s">
        <v>44</v>
      </c>
      <c r="G128" s="11" t="s">
        <v>44</v>
      </c>
      <c r="H128" s="50" t="s">
        <v>44</v>
      </c>
      <c r="I128" s="13" t="s">
        <v>121</v>
      </c>
    </row>
    <row r="129">
      <c r="A129" s="1"/>
      <c r="B129" s="15" t="s">
        <v>130</v>
      </c>
      <c r="C129" s="5">
        <f>C127-C272</f>
        <v>-11</v>
      </c>
      <c r="D129" s="5">
        <f>D127-D272</f>
        <v>-43</v>
      </c>
      <c r="E129" s="5">
        <f>E127-E272</f>
        <v>-31</v>
      </c>
      <c r="F129" s="5">
        <f>F127-F272</f>
        <v>-87</v>
      </c>
      <c r="G129" s="5">
        <f>G127-G272</f>
        <v>-109</v>
      </c>
      <c r="H129" s="21">
        <f>H127-H272</f>
        <v>-39</v>
      </c>
      <c r="I129" s="13"/>
    </row>
    <row r="130">
      <c r="A130" s="1"/>
      <c r="B130" s="15" t="s">
        <v>131</v>
      </c>
      <c r="C130" s="5">
        <f>C127-F272</f>
        <v>-6</v>
      </c>
      <c r="D130" s="5">
        <f>D127-C127</f>
        <v>-28</v>
      </c>
      <c r="E130" s="5">
        <f>E127-D127</f>
        <v>10</v>
      </c>
      <c r="F130" s="5">
        <f>F127-E127</f>
        <v>-63</v>
      </c>
      <c r="G130" s="5" t="s">
        <v>44</v>
      </c>
      <c r="H130" s="21">
        <f>H127-F127</f>
        <v>42</v>
      </c>
      <c r="I130" s="13"/>
    </row>
    <row r="131">
      <c r="A131" s="1"/>
      <c r="B131" s="45" t="s">
        <v>221</v>
      </c>
      <c r="C131" s="29">
        <f>C117+C119+C121+C123+C125+C127</f>
        <v>1626</v>
      </c>
      <c r="D131" s="29">
        <f>D117+D119+D121+D123+D125+D127</f>
        <v>1807</v>
      </c>
      <c r="E131" s="29">
        <f>E117+E119+E121+E123+E125+E127</f>
        <v>1321</v>
      </c>
      <c r="F131" s="29">
        <f>F117+F119+F121+F123+F125+F127</f>
        <v>1404</v>
      </c>
      <c r="G131" s="29">
        <f>G117+G119+G121+G123+G125+G127</f>
        <v>6573</v>
      </c>
      <c r="H131" s="47">
        <f>H117+H119+H121+H123+H125+H127</f>
        <v>1519.0858699999999</v>
      </c>
      <c r="I131" s="13"/>
    </row>
    <row r="132">
      <c r="A132" s="1"/>
      <c r="B132" s="15" t="s">
        <v>102</v>
      </c>
      <c r="C132" s="11">
        <f>IFERROR(C131/C273-1,"n/a")</f>
        <v>-0.1451104100946372</v>
      </c>
      <c r="D132" s="11">
        <f>IFERROR(D131/D273-1,"n/a")</f>
        <v>-0.0578727841501564</v>
      </c>
      <c r="E132" s="11">
        <f>IFERROR(E131/E273-1,"n/a")</f>
        <v>-0.1510282776349614</v>
      </c>
      <c r="F132" s="11">
        <f>IFERROR(F131/F273-1,"n/a")</f>
        <v>-0.11363636363636365</v>
      </c>
      <c r="G132" s="11">
        <f>IFERROR(G131/G273-1,"n/a")</f>
        <v>-0.10217183444884581</v>
      </c>
      <c r="H132" s="50">
        <f>IFERROR(H131/H273-1,"n/a")</f>
        <v>-0.06575284747847487</v>
      </c>
      <c r="I132" s="13"/>
    </row>
    <row r="133">
      <c r="A133" s="1"/>
      <c r="B133" s="15" t="s">
        <v>123</v>
      </c>
      <c r="C133" s="5">
        <f>C131-F273</f>
        <v>42</v>
      </c>
      <c r="D133" s="5">
        <f>D131-C131</f>
        <v>181</v>
      </c>
      <c r="E133" s="5">
        <f>E131-D131</f>
        <v>-486</v>
      </c>
      <c r="F133" s="5">
        <f>F131-E131</f>
        <v>83</v>
      </c>
      <c r="G133" s="5" t="s">
        <v>44</v>
      </c>
      <c r="H133" s="21">
        <f>H131-F131</f>
        <v>115.08586999999989</v>
      </c>
      <c r="I133" s="13"/>
    </row>
    <row r="134" ht="34.5">
      <c r="A134" s="1"/>
      <c r="B134" s="57" t="s">
        <v>381</v>
      </c>
      <c r="C134" s="11">
        <f>IFERROR(C131/C10,"n/a")</f>
        <v>0.1821236559139785</v>
      </c>
      <c r="D134" s="11">
        <f>IFERROR(D131/D10,"n/a")</f>
        <v>0.1854284248332478</v>
      </c>
      <c r="E134" s="11">
        <f>IFERROR(E131/E10,"n/a")</f>
        <v>0.15147345487902764</v>
      </c>
      <c r="F134" s="11">
        <f>IFERROR(F131/F10,"n/a")</f>
        <v>0.15648684797146678</v>
      </c>
      <c r="G134" s="11">
        <f>IFERROR(G131/G10,"n/a")</f>
        <v>0.1840712425438965</v>
      </c>
      <c r="H134" s="50">
        <f>IFERROR(H131/H10,"n/a")</f>
        <v>0.16390643097901475</v>
      </c>
      <c r="I134" s="13"/>
    </row>
    <row r="135">
      <c r="A135" s="1"/>
      <c r="B135" s="15" t="s">
        <v>119</v>
      </c>
      <c r="C135" s="40">
        <f>IFERROR((C134-C274)*10000,"n/a")</f>
        <v>-255.40936290410627</v>
      </c>
      <c r="D135" s="40">
        <f>IFERROR((D134-D274)*10000,"n/a")</f>
        <v>-211.63561379591494</v>
      </c>
      <c r="E135" s="40">
        <f>IFERROR((E134-E274)*10000,"n/a")</f>
        <v>-318.00985639229145</v>
      </c>
      <c r="F135" s="40">
        <f>IFERROR((F134-F274)*10000,"n/a")</f>
        <v>-288.63023313344837</v>
      </c>
      <c r="G135" s="40">
        <f>IFERROR((G134-G274)*10000,"n/a")</f>
        <v>-176.70332037932695</v>
      </c>
      <c r="H135" s="56">
        <f>IFERROR((H134-H274)*10000,"n/a")</f>
        <v>-182.1722493496375</v>
      </c>
      <c r="I135" s="13"/>
    </row>
    <row r="136">
      <c r="A136" s="1"/>
      <c r="B136" s="15" t="s">
        <v>120</v>
      </c>
      <c r="C136" s="40">
        <f>IFERROR((C134-F274)*10000,"n/a")</f>
        <v>-32.262153708331184</v>
      </c>
      <c r="D136" s="40">
        <f>IFERROR((D134-C134)*10000,"n/a")</f>
        <v>33.04768919269313</v>
      </c>
      <c r="E136" s="40">
        <f>IFERROR((E134-D134)*10000,"n/a")</f>
        <v>-339.5496995422018</v>
      </c>
      <c r="F136" s="40">
        <f>IFERROR((F134-E134)*10000,"n/a")</f>
        <v>50.13393092439144</v>
      </c>
      <c r="G136" s="40" t="s">
        <v>44</v>
      </c>
      <c r="H136" s="56">
        <f>IFERROR((H134-F134)*10000,"n/a")</f>
        <v>74.19583007547969</v>
      </c>
      <c r="I136" s="13"/>
    </row>
    <row r="137">
      <c r="A137" s="1"/>
      <c r="B137" s="1" t="s">
        <v>382</v>
      </c>
      <c r="C137" s="9">
        <v>-203</v>
      </c>
      <c r="D137" s="9">
        <v>-208</v>
      </c>
      <c r="E137" s="9">
        <v>-228</v>
      </c>
      <c r="F137" s="9">
        <v>-211</v>
      </c>
      <c r="G137" s="22">
        <f>E275+F275+C137+D137</f>
        <v>-759</v>
      </c>
      <c r="H137" s="8">
        <v>-212</v>
      </c>
      <c r="I137" s="13" t="s">
        <v>383</v>
      </c>
    </row>
    <row r="138">
      <c r="A138" s="1"/>
      <c r="B138" s="15" t="s">
        <v>177</v>
      </c>
      <c r="C138" s="11">
        <f>IFERROR(C137/C275-1,"n/a")</f>
        <v>0.0855614973262031</v>
      </c>
      <c r="D138" s="11">
        <f>IFERROR(D137/D275-1,"n/a")</f>
        <v>0.17514124293785316</v>
      </c>
      <c r="E138" s="11">
        <f>IFERROR(E137/E275-1,"n/a")</f>
        <v>0.2737430167597765</v>
      </c>
      <c r="F138" s="11">
        <f>IFERROR(F137/F275-1,"n/a")</f>
        <v>0.24852071005917153</v>
      </c>
      <c r="G138" s="11">
        <f>IFERROR(G137/G275-1,"n/a")</f>
        <v>0.02016129032258074</v>
      </c>
      <c r="H138" s="50">
        <f>IFERROR(H137/H275-1,"n/a")</f>
        <v>0.044334975369458185</v>
      </c>
      <c r="I138" s="13"/>
    </row>
    <row r="139">
      <c r="A139" s="1"/>
      <c r="B139" s="15" t="s">
        <v>131</v>
      </c>
      <c r="C139" s="5">
        <f>C137-F275</f>
        <v>-34</v>
      </c>
      <c r="D139" s="5">
        <f>D137-C137</f>
        <v>-5</v>
      </c>
      <c r="E139" s="5">
        <f>E137-D137</f>
        <v>-20</v>
      </c>
      <c r="F139" s="5">
        <f>F137-E137</f>
        <v>17</v>
      </c>
      <c r="G139" s="5" t="s">
        <v>44</v>
      </c>
      <c r="H139" s="21">
        <f>H137-F137</f>
        <v>-1</v>
      </c>
      <c r="I139" s="13"/>
    </row>
    <row r="140" ht="24">
      <c r="A140" s="1"/>
      <c r="B140" s="4" t="s">
        <v>384</v>
      </c>
      <c r="C140" s="9">
        <v>37</v>
      </c>
      <c r="D140" s="9">
        <v>31</v>
      </c>
      <c r="E140" s="9">
        <v>20</v>
      </c>
      <c r="F140" s="9">
        <v>23</v>
      </c>
      <c r="G140" s="22">
        <f>E276+F276+C140+D140</f>
        <v>134</v>
      </c>
      <c r="H140" s="8">
        <v>22</v>
      </c>
      <c r="I140" s="13" t="s">
        <v>385</v>
      </c>
    </row>
    <row r="141">
      <c r="A141" s="1"/>
      <c r="B141" s="15" t="s">
        <v>177</v>
      </c>
      <c r="C141" s="11">
        <f>IFERROR(C140/C276-1,"n/a")</f>
        <v>0.02777777777777768</v>
      </c>
      <c r="D141" s="11">
        <f>IFERROR(D140/D276-1,"n/a")</f>
        <v>-0.13888888888888884</v>
      </c>
      <c r="E141" s="11">
        <f>IFERROR(E140/E276-1,"n/a")</f>
        <v>-0.4444444444444444</v>
      </c>
      <c r="F141" s="11">
        <f>IFERROR(F140/F276-1,"n/a")</f>
        <v>-0.23333333333333328</v>
      </c>
      <c r="G141" s="11">
        <f>IFERROR(G140/G276-1,"n/a")</f>
        <v>0</v>
      </c>
      <c r="H141" s="50">
        <f>IFERROR(H140/H276-1,"n/a")</f>
        <v>-0.4054054054054054</v>
      </c>
      <c r="I141" s="13"/>
    </row>
    <row r="142">
      <c r="A142" s="1"/>
      <c r="B142" s="15" t="s">
        <v>131</v>
      </c>
      <c r="C142" s="5">
        <f>C140-F276</f>
        <v>7</v>
      </c>
      <c r="D142" s="5">
        <f>D140-C140</f>
        <v>-6</v>
      </c>
      <c r="E142" s="5">
        <f>E140-D140</f>
        <v>-11</v>
      </c>
      <c r="F142" s="5">
        <f>F140-E140</f>
        <v>3</v>
      </c>
      <c r="G142" s="5" t="s">
        <v>44</v>
      </c>
      <c r="H142" s="21">
        <f>H140-F140</f>
        <v>-1</v>
      </c>
      <c r="I142" s="13"/>
    </row>
    <row r="143" ht="24">
      <c r="A143" s="1"/>
      <c r="B143" s="4" t="s">
        <v>386</v>
      </c>
      <c r="C143" s="9">
        <v>142</v>
      </c>
      <c r="D143" s="9">
        <v>126</v>
      </c>
      <c r="E143" s="9">
        <v>116</v>
      </c>
      <c r="F143" s="9">
        <v>128</v>
      </c>
      <c r="G143" s="22">
        <f>E277+F277+C143+D143</f>
        <v>551</v>
      </c>
      <c r="H143" s="8">
        <v>130</v>
      </c>
      <c r="I143" s="13" t="s">
        <v>387</v>
      </c>
    </row>
    <row r="144">
      <c r="A144" s="1"/>
      <c r="B144" s="15" t="s">
        <v>177</v>
      </c>
      <c r="C144" s="11">
        <f>IFERROR(C143/C277-1,"n/a")</f>
        <v>0.07575757575757569</v>
      </c>
      <c r="D144" s="11">
        <f>IFERROR(D143/D277-1,"n/a")</f>
        <v>-0.015625</v>
      </c>
      <c r="E144" s="11">
        <f>IFERROR(E143/E277-1,"n/a")</f>
        <v>-0.19444444444444442</v>
      </c>
      <c r="F144" s="11">
        <f>IFERROR(F143/F277-1,"n/a")</f>
        <v>-0.07913669064748197</v>
      </c>
      <c r="G144" s="11">
        <f>IFERROR(G143/G277-1,"n/a")</f>
        <v>0.10642570281124497</v>
      </c>
      <c r="H144" s="50">
        <f>IFERROR(H143/H277-1,"n/a")</f>
        <v>-0.08450704225352113</v>
      </c>
      <c r="I144" s="13"/>
    </row>
    <row r="145">
      <c r="A145" s="1"/>
      <c r="B145" s="15" t="s">
        <v>131</v>
      </c>
      <c r="C145" s="5">
        <f>C143-F277</f>
        <v>3</v>
      </c>
      <c r="D145" s="5">
        <f>D143-C143</f>
        <v>-16</v>
      </c>
      <c r="E145" s="5">
        <f>E143-D143</f>
        <v>-10</v>
      </c>
      <c r="F145" s="5">
        <f>F143-E143</f>
        <v>12</v>
      </c>
      <c r="G145" s="5" t="s">
        <v>44</v>
      </c>
      <c r="H145" s="21">
        <f>H143-F143</f>
        <v>2</v>
      </c>
      <c r="I145" s="13"/>
    </row>
    <row r="146" ht="34.5">
      <c r="A146" s="1"/>
      <c r="B146" s="26" t="s">
        <v>388</v>
      </c>
      <c r="C146" s="29">
        <f>C131+C137+C140-C143</f>
        <v>1318</v>
      </c>
      <c r="D146" s="29">
        <f>D131+D137+D140-D143</f>
        <v>1504</v>
      </c>
      <c r="E146" s="29">
        <f>E131+E137+E140-E143</f>
        <v>997</v>
      </c>
      <c r="F146" s="29">
        <f>F131+F137+F140-F143</f>
        <v>1088</v>
      </c>
      <c r="G146" s="29">
        <f>G131+G137+G140-G143</f>
        <v>5397</v>
      </c>
      <c r="H146" s="47">
        <f>H131+H137+H140-H143</f>
        <v>1199.0858699999999</v>
      </c>
      <c r="I146" s="13"/>
    </row>
    <row r="147" ht="24">
      <c r="A147" s="1"/>
      <c r="B147" s="4" t="s">
        <v>389</v>
      </c>
      <c r="C147" s="22">
        <f>-C194</f>
        <v>-318</v>
      </c>
      <c r="D147" s="22">
        <f>-D194</f>
        <v>-561</v>
      </c>
      <c r="E147" s="22">
        <f>-E194</f>
        <v>-41</v>
      </c>
      <c r="F147" s="22">
        <f>-F194</f>
        <v>-69</v>
      </c>
      <c r="G147" s="22">
        <f>-G194</f>
        <v>-1106</v>
      </c>
      <c r="H147" s="37">
        <f>-H194</f>
        <v>-70</v>
      </c>
      <c r="I147" s="13"/>
    </row>
    <row r="148">
      <c r="A148" s="1"/>
      <c r="B148" s="45" t="s">
        <v>390</v>
      </c>
      <c r="C148" s="29">
        <f>C146+C147</f>
        <v>1000</v>
      </c>
      <c r="D148" s="29">
        <f>D146+D147</f>
        <v>943</v>
      </c>
      <c r="E148" s="29">
        <f>E146+E147</f>
        <v>956</v>
      </c>
      <c r="F148" s="29">
        <f>F146+F147</f>
        <v>1019</v>
      </c>
      <c r="G148" s="29">
        <f>G146+G147</f>
        <v>4291</v>
      </c>
      <c r="H148" s="47">
        <f>H146+H147</f>
        <v>1129.0858699999999</v>
      </c>
      <c r="I148" s="13"/>
    </row>
    <row r="149" ht="24">
      <c r="A149" s="1"/>
      <c r="B149" s="4" t="s">
        <v>391</v>
      </c>
      <c r="C149" s="38" t="b">
        <f>ROUND(C148-C64,6)=0</f>
        <v>1</v>
      </c>
      <c r="D149" s="38" t="b">
        <f>ROUND(D148-D64,6)=0</f>
        <v>1</v>
      </c>
      <c r="E149" s="38" t="b">
        <f>ROUND(E148-E64,6)=0</f>
        <v>1</v>
      </c>
      <c r="F149" s="38" t="b">
        <f>ROUND(F148-F64,6)=0</f>
        <v>1</v>
      </c>
      <c r="G149" s="38" t="b">
        <f>ROUND(G148-G64,6)=0</f>
        <v>1</v>
      </c>
      <c r="H149" s="68" t="b">
        <f>ROUND(H148-H64,6)=0</f>
        <v>1</v>
      </c>
      <c r="I149" s="13"/>
    </row>
    <row r="150">
      <c r="A150" s="1"/>
      <c r="B150" s="41" t="s">
        <v>392</v>
      </c>
      <c r="C150" s="1"/>
      <c r="D150" s="1"/>
      <c r="E150" s="1"/>
      <c r="F150" s="1"/>
      <c r="G150" s="1"/>
      <c r="H150" s="53"/>
      <c r="I150" s="13"/>
    </row>
    <row r="151">
      <c r="A151" s="1"/>
      <c r="B151" s="1" t="s">
        <v>393</v>
      </c>
      <c r="C151" s="22">
        <f>C157-C127-C154</f>
        <v>73</v>
      </c>
      <c r="D151" s="9">
        <v>74</v>
      </c>
      <c r="E151" s="9">
        <v>69</v>
      </c>
      <c r="F151" s="9">
        <v>71</v>
      </c>
      <c r="G151" s="9">
        <v>286</v>
      </c>
      <c r="H151" s="8">
        <v>71</v>
      </c>
      <c r="I151" s="13" t="s">
        <v>394</v>
      </c>
    </row>
    <row r="152">
      <c r="A152" s="1"/>
      <c r="B152" s="15" t="s">
        <v>130</v>
      </c>
      <c r="C152" s="5" t="s">
        <v>44</v>
      </c>
      <c r="D152" s="5" t="s">
        <v>44</v>
      </c>
      <c r="E152" s="5">
        <f>E151-E278</f>
        <v>-1</v>
      </c>
      <c r="F152" s="5">
        <f>F151-F278</f>
        <v>0</v>
      </c>
      <c r="G152" s="5">
        <f>G151-G278</f>
        <v>0</v>
      </c>
      <c r="H152" s="21">
        <f>H151-H278</f>
        <v>-2</v>
      </c>
      <c r="I152" s="13" t="s">
        <v>204</v>
      </c>
    </row>
    <row r="153">
      <c r="A153" s="1"/>
      <c r="B153" s="15" t="s">
        <v>131</v>
      </c>
      <c r="C153" s="5">
        <f>C151-F278</f>
        <v>2</v>
      </c>
      <c r="D153" s="5">
        <f>D151-C151</f>
        <v>1</v>
      </c>
      <c r="E153" s="5">
        <f>E151-D151</f>
        <v>-5</v>
      </c>
      <c r="F153" s="5">
        <f>F151-E151</f>
        <v>2</v>
      </c>
      <c r="G153" s="5" t="s">
        <v>44</v>
      </c>
      <c r="H153" s="21">
        <f>H151-F151</f>
        <v>0</v>
      </c>
      <c r="I153" s="13"/>
    </row>
    <row r="154" ht="24">
      <c r="A154" s="1"/>
      <c r="B154" s="4" t="s">
        <v>395</v>
      </c>
      <c r="C154" s="9">
        <v>0</v>
      </c>
      <c r="D154" s="9">
        <v>0</v>
      </c>
      <c r="E154" s="9">
        <v>-2</v>
      </c>
      <c r="F154" s="9">
        <v>-5</v>
      </c>
      <c r="G154" s="9">
        <v>0</v>
      </c>
      <c r="H154" s="8">
        <v>-5</v>
      </c>
      <c r="I154" s="13"/>
    </row>
    <row r="155">
      <c r="A155" s="1"/>
      <c r="B155" s="15" t="s">
        <v>130</v>
      </c>
      <c r="C155" s="5" t="s">
        <v>44</v>
      </c>
      <c r="D155" s="5" t="s">
        <v>44</v>
      </c>
      <c r="E155" s="5">
        <f>E154-E279</f>
        <v>-3</v>
      </c>
      <c r="F155" s="5">
        <f>F154-F279</f>
        <v>-4</v>
      </c>
      <c r="G155" s="5">
        <f>G154-G279</f>
        <v>6</v>
      </c>
      <c r="H155" s="21">
        <f>H154-H279</f>
        <v>-5</v>
      </c>
      <c r="I155" s="13" t="s">
        <v>204</v>
      </c>
    </row>
    <row r="156">
      <c r="A156" s="1"/>
      <c r="B156" s="15" t="s">
        <v>131</v>
      </c>
      <c r="C156" s="5">
        <f>C154-F279</f>
        <v>1</v>
      </c>
      <c r="D156" s="5">
        <f>D154-C154</f>
        <v>0</v>
      </c>
      <c r="E156" s="5">
        <f>E154-D154</f>
        <v>-2</v>
      </c>
      <c r="F156" s="5">
        <f>F154-E154</f>
        <v>-3</v>
      </c>
      <c r="G156" s="5" t="s">
        <v>44</v>
      </c>
      <c r="H156" s="21">
        <f>H154-F154</f>
        <v>0</v>
      </c>
      <c r="I156" s="13"/>
    </row>
    <row r="157" ht="24">
      <c r="A157" s="1"/>
      <c r="B157" s="4" t="s">
        <v>396</v>
      </c>
      <c r="C157" s="9">
        <v>-13</v>
      </c>
      <c r="D157" s="9">
        <v>-40</v>
      </c>
      <c r="E157" s="9">
        <v>-37</v>
      </c>
      <c r="F157" s="9">
        <v>-101</v>
      </c>
      <c r="G157" s="22" t="s">
        <v>44</v>
      </c>
      <c r="H157" s="37" t="s">
        <v>44</v>
      </c>
      <c r="I157" s="13"/>
    </row>
    <row r="158">
      <c r="A158" s="1"/>
      <c r="B158" s="1" t="s">
        <v>397</v>
      </c>
      <c r="C158" s="22">
        <f>C161-C137</f>
        <v>64</v>
      </c>
      <c r="D158" s="9">
        <v>73</v>
      </c>
      <c r="E158" s="9">
        <v>73</v>
      </c>
      <c r="F158" s="9">
        <v>77</v>
      </c>
      <c r="G158" s="9">
        <v>227</v>
      </c>
      <c r="H158" s="8">
        <v>78</v>
      </c>
      <c r="I158" s="13"/>
    </row>
    <row r="159">
      <c r="A159" s="1"/>
      <c r="B159" s="15" t="s">
        <v>130</v>
      </c>
      <c r="C159" s="5" t="s">
        <v>44</v>
      </c>
      <c r="D159" s="5" t="s">
        <v>44</v>
      </c>
      <c r="E159" s="5">
        <f>E158-E280</f>
        <v>28</v>
      </c>
      <c r="F159" s="5">
        <f>F158-F280</f>
        <v>32</v>
      </c>
      <c r="G159" s="5">
        <f>G158-G280</f>
        <v>49</v>
      </c>
      <c r="H159" s="21">
        <f>H158-H280</f>
        <v>14</v>
      </c>
      <c r="I159" s="13" t="s">
        <v>204</v>
      </c>
    </row>
    <row r="160">
      <c r="A160" s="1"/>
      <c r="B160" s="15" t="s">
        <v>131</v>
      </c>
      <c r="C160" s="5">
        <f>C158-F280</f>
        <v>19</v>
      </c>
      <c r="D160" s="5">
        <f>D158-C158</f>
        <v>9</v>
      </c>
      <c r="E160" s="5">
        <f>E158-D158</f>
        <v>0</v>
      </c>
      <c r="F160" s="5">
        <f>F158-E158</f>
        <v>4</v>
      </c>
      <c r="G160" s="5" t="s">
        <v>44</v>
      </c>
      <c r="H160" s="21">
        <f>H158-F158</f>
        <v>1</v>
      </c>
      <c r="I160" s="13"/>
    </row>
    <row r="161" ht="34.5">
      <c r="A161" s="1"/>
      <c r="B161" s="4" t="s">
        <v>398</v>
      </c>
      <c r="C161" s="9">
        <v>-139</v>
      </c>
      <c r="D161" s="9">
        <v>-135</v>
      </c>
      <c r="E161" s="9">
        <v>-155</v>
      </c>
      <c r="F161" s="9">
        <v>-134</v>
      </c>
      <c r="G161" s="22" t="s">
        <v>44</v>
      </c>
      <c r="H161" s="37" t="s">
        <v>44</v>
      </c>
      <c r="I161" s="13"/>
    </row>
    <row r="162" ht="24">
      <c r="A162" s="1"/>
      <c r="B162" s="4" t="s">
        <v>399</v>
      </c>
      <c r="C162" s="22">
        <f>C20-C140</f>
        <v>0</v>
      </c>
      <c r="D162" s="22">
        <f>D20-D140</f>
        <v>0</v>
      </c>
      <c r="E162" s="22">
        <f>E20-E140</f>
        <v>5</v>
      </c>
      <c r="F162" s="22">
        <f>F20-F140</f>
        <v>6</v>
      </c>
      <c r="G162" s="22">
        <f>G20-G140</f>
        <v>0</v>
      </c>
      <c r="H162" s="73">
        <f>-('Segment - Digital'!H109+'Segment - Reservoir Performance'!H65+'Segment - Well Construction'!H65+'Segment - Production Systems'!H65+'Segment - All Other'!H59+H154)</f>
        <v>6</v>
      </c>
      <c r="I162" s="13"/>
    </row>
    <row r="163">
      <c r="A163" s="1"/>
      <c r="B163" s="41" t="s">
        <v>400</v>
      </c>
      <c r="C163" s="1"/>
      <c r="D163" s="1"/>
      <c r="E163" s="1"/>
      <c r="F163" s="1"/>
      <c r="G163" s="1"/>
      <c r="H163" s="53"/>
      <c r="I163" s="13"/>
    </row>
    <row r="164">
      <c r="A164" s="1"/>
      <c r="B164" s="45" t="s">
        <v>230</v>
      </c>
      <c r="C164" s="29">
        <f>C64+C194+C97+C60-C20</f>
        <v>2061</v>
      </c>
      <c r="D164" s="29">
        <f>D64+D194+D97+D60-D20</f>
        <v>2331</v>
      </c>
      <c r="E164" s="29">
        <f>E64+E194+E97+E60-E20</f>
        <v>1773</v>
      </c>
      <c r="F164" s="29">
        <f>F64+F194+F97+F60-F20</f>
        <v>1899</v>
      </c>
      <c r="G164" s="29">
        <f>G64+G194+G97+G60-G20</f>
        <v>8463</v>
      </c>
      <c r="H164" s="47">
        <f>H64+H194+H97+H60-H20</f>
        <v>2012.0858699999999</v>
      </c>
      <c r="I164" s="13"/>
    </row>
    <row r="165">
      <c r="A165" s="1"/>
      <c r="B165" s="15" t="s">
        <v>102</v>
      </c>
      <c r="C165" s="11">
        <f>IFERROR(C164/C281-1,"n/a")</f>
        <v>-0.12035851472471193</v>
      </c>
      <c r="D165" s="11">
        <f>IFERROR(D164/D281-1,"n/a")</f>
        <v>-0.021410579345088165</v>
      </c>
      <c r="E165" s="11">
        <f>IFERROR(E164/E281-1,"n/a")</f>
        <v>-0.12227722772277227</v>
      </c>
      <c r="F165" s="11">
        <f>IFERROR(F164/F281-1,"n/a")</f>
        <v>-0.07411019015114573</v>
      </c>
      <c r="G165" s="11">
        <f>IFERROR(G164/G281-1,"n/a")</f>
        <v>-0.06692392502756339</v>
      </c>
      <c r="H165" s="50">
        <f>IFERROR(H164/H281-1,"n/a")</f>
        <v>-0.023733202328966585</v>
      </c>
      <c r="I165" s="13"/>
    </row>
    <row r="166">
      <c r="A166" s="1"/>
      <c r="B166" s="15" t="s">
        <v>123</v>
      </c>
      <c r="C166" s="5">
        <f>C164-F281</f>
        <v>10</v>
      </c>
      <c r="D166" s="5">
        <f>D164-C164</f>
        <v>270</v>
      </c>
      <c r="E166" s="5">
        <f>E164-D164</f>
        <v>-558</v>
      </c>
      <c r="F166" s="5">
        <f>F164-E164</f>
        <v>126</v>
      </c>
      <c r="G166" s="5" t="s">
        <v>44</v>
      </c>
      <c r="H166" s="21">
        <f>H164-F164</f>
        <v>113.08586999999989</v>
      </c>
      <c r="I166" s="13"/>
    </row>
    <row r="167">
      <c r="A167" s="1"/>
      <c r="B167" s="15" t="s">
        <v>231</v>
      </c>
      <c r="C167" s="11">
        <f>IFERROR(C164/C10,"n/a")</f>
        <v>0.23084677419354838</v>
      </c>
      <c r="D167" s="11">
        <f>IFERROR(D164/D10,"n/a")</f>
        <v>0.2391995895330939</v>
      </c>
      <c r="E167" s="11">
        <f>IFERROR(E164/E10,"n/a")</f>
        <v>0.20330237358101136</v>
      </c>
      <c r="F167" s="11">
        <f>IFERROR(F164/F10,"n/a")</f>
        <v>0.21165849308961213</v>
      </c>
      <c r="G167" s="11">
        <f>IFERROR(G164/G10,"n/a")</f>
        <v>0.23699907586322777</v>
      </c>
      <c r="H167" s="50">
        <f>IFERROR(H164/H10,"n/a")</f>
        <v>0.21710017865876524</v>
      </c>
      <c r="I167" s="13"/>
    </row>
    <row r="168">
      <c r="A168" s="1"/>
      <c r="B168" s="15" t="s">
        <v>119</v>
      </c>
      <c r="C168" s="40">
        <f>IFERROR((C167-C282)*10000,"n/a")</f>
        <v>-249.67179294823728</v>
      </c>
      <c r="D168" s="40">
        <f>IFERROR((D167-D282)*10000,"n/a")</f>
        <v>-173.70854241141376</v>
      </c>
      <c r="E168" s="40">
        <f>IFERROR((E167-E282)*10000,"n/a")</f>
        <v>-346.24599328293704</v>
      </c>
      <c r="F168" s="40">
        <f>IFERROR((F167-F282)*10000,"n/a")</f>
        <v>-283.3682635808271</v>
      </c>
      <c r="G168" s="40">
        <f>IFERROR((G167-G282)*10000,"n/a")</f>
        <v>-129.3892187713433</v>
      </c>
      <c r="H168" s="56">
        <f>IFERROR((H167-H282)*10000,"n/a")</f>
        <v>-137.46595534783134</v>
      </c>
      <c r="I168" s="13"/>
    </row>
    <row r="169">
      <c r="A169" s="1"/>
      <c r="B169" s="15" t="s">
        <v>120</v>
      </c>
      <c r="C169" s="40">
        <f>IFERROR((C167-F282)*10000,"n/a")</f>
        <v>-91.48545254146462</v>
      </c>
      <c r="D169" s="40">
        <f>IFERROR((D167-C167)*10000,"n/a")</f>
        <v>83.52815339545516</v>
      </c>
      <c r="E169" s="40">
        <f>IFERROR((E167-D167)*10000,"n/a")</f>
        <v>-358.97215952082536</v>
      </c>
      <c r="F169" s="40">
        <f>IFERROR((F167-E167)*10000,"n/a")</f>
        <v>83.56119508600767</v>
      </c>
      <c r="G169" s="40" t="s">
        <v>44</v>
      </c>
      <c r="H169" s="56">
        <f>IFERROR((H167-F167)*10000,"n/a")</f>
        <v>54.416855691531154</v>
      </c>
      <c r="I169" s="13"/>
    </row>
    <row r="170" ht="34.5">
      <c r="A170" s="1"/>
      <c r="B170" s="4" t="s">
        <v>401</v>
      </c>
      <c r="C170" s="16">
        <f>'Segment - Digital'!C112+'Segment - Reservoir Performance'!C68+'Segment - Well Construction'!C68+'Segment - Production Systems'!C68+'Segment - All Other'!C62+C127+C151+C154+C137+C158</f>
        <v>2061</v>
      </c>
      <c r="D170" s="16">
        <f>'Segment - Digital'!D112+'Segment - Reservoir Performance'!D68+'Segment - Well Construction'!D68+'Segment - Production Systems'!D68+'Segment - All Other'!D62+D127+D151+D154+D137+D158</f>
        <v>2331</v>
      </c>
      <c r="E170" s="16">
        <f>'Segment - Digital'!E112+'Segment - Reservoir Performance'!E68+'Segment - Well Construction'!E68+'Segment - Production Systems'!E68+'Segment - All Other'!E62+E127+E151+E154+E137+E158</f>
        <v>1773</v>
      </c>
      <c r="F170" s="16">
        <f>'Segment - Digital'!F112+'Segment - Reservoir Performance'!F68+'Segment - Well Construction'!F68+'Segment - Production Systems'!F68+'Segment - All Other'!F62+F127+F151+F154+F137+F158</f>
        <v>1899</v>
      </c>
      <c r="G170" s="22" t="s">
        <v>44</v>
      </c>
      <c r="H170" s="73">
        <f>'Segment - Digital'!H112+'Segment - Reservoir Performance'!H68+'Segment - Well Construction'!H68+'Segment - Production Systems'!H68+'Segment - All Other'!H62+H127+H151+H154+H137+H158</f>
        <v>2012.0858699999999</v>
      </c>
      <c r="I170" s="13"/>
    </row>
    <row r="171" ht="24">
      <c r="A171" s="1"/>
      <c r="B171" s="4" t="s">
        <v>402</v>
      </c>
      <c r="C171" s="38" t="b">
        <f>ROUND(C164-C170,6)=0</f>
        <v>1</v>
      </c>
      <c r="D171" s="38" t="b">
        <f>ROUND(D164-D170,6)=0</f>
        <v>1</v>
      </c>
      <c r="E171" s="38" t="b">
        <f>ROUND(E164-E170,6)=0</f>
        <v>1</v>
      </c>
      <c r="F171" s="38" t="b">
        <f>ROUND(F164-F170,6)=0</f>
        <v>1</v>
      </c>
      <c r="G171" s="38" t="s">
        <v>44</v>
      </c>
      <c r="H171" s="68" t="b">
        <f>ROUND(H164-H170,6)=0</f>
        <v>1</v>
      </c>
      <c r="I171" s="13"/>
    </row>
    <row r="172">
      <c r="A172" s="1"/>
      <c r="B172" s="41" t="s">
        <v>403</v>
      </c>
      <c r="C172" s="1"/>
      <c r="D172" s="1"/>
      <c r="E172" s="1"/>
      <c r="F172" s="1"/>
      <c r="G172" s="1"/>
      <c r="H172" s="53"/>
      <c r="I172" s="13"/>
    </row>
    <row r="173" ht="34.5">
      <c r="A173" s="1"/>
      <c r="B173" s="4" t="s">
        <v>404</v>
      </c>
      <c r="C173" s="9">
        <v>143</v>
      </c>
      <c r="D173" s="9">
        <v>75</v>
      </c>
      <c r="E173" s="9">
        <v>41</v>
      </c>
      <c r="F173" s="9">
        <v>69</v>
      </c>
      <c r="G173" s="22">
        <f>E283+F283+C173+D173</f>
        <v>301</v>
      </c>
      <c r="H173" s="8">
        <v>70</v>
      </c>
      <c r="I173" s="13" t="s">
        <v>405</v>
      </c>
    </row>
    <row r="174">
      <c r="A174" s="1"/>
      <c r="B174" s="15" t="s">
        <v>130</v>
      </c>
      <c r="C174" s="5">
        <f>C173-C283</f>
        <v>110</v>
      </c>
      <c r="D174" s="5">
        <f>D173-D283</f>
        <v>12</v>
      </c>
      <c r="E174" s="5">
        <f>E173-E283</f>
        <v>-7</v>
      </c>
      <c r="F174" s="5">
        <f>F173-F283</f>
        <v>34</v>
      </c>
      <c r="G174" s="5">
        <f>G173-G283</f>
        <v>178</v>
      </c>
      <c r="H174" s="21">
        <f>H173-H283</f>
        <v>-73</v>
      </c>
      <c r="I174" s="13"/>
    </row>
    <row r="175">
      <c r="A175" s="1"/>
      <c r="B175" s="15" t="s">
        <v>131</v>
      </c>
      <c r="C175" s="5">
        <f>C173-F283</f>
        <v>108</v>
      </c>
      <c r="D175" s="5">
        <f>D173-C173</f>
        <v>-68</v>
      </c>
      <c r="E175" s="5">
        <f>E173-D173</f>
        <v>-34</v>
      </c>
      <c r="F175" s="5">
        <f>F173-E173</f>
        <v>28</v>
      </c>
      <c r="G175" s="5" t="s">
        <v>44</v>
      </c>
      <c r="H175" s="21">
        <f>H173-F173</f>
        <v>1</v>
      </c>
      <c r="I175" s="13"/>
    </row>
    <row r="176">
      <c r="A176" s="1"/>
      <c r="B176" s="1" t="s">
        <v>406</v>
      </c>
      <c r="C176" s="9">
        <v>57</v>
      </c>
      <c r="D176" s="9">
        <v>126</v>
      </c>
      <c r="E176" s="9">
        <v>0</v>
      </c>
      <c r="F176" s="9">
        <v>0</v>
      </c>
      <c r="G176" s="22">
        <f>E284+F284+C176+D176</f>
        <v>407</v>
      </c>
      <c r="H176" s="8">
        <v>0</v>
      </c>
      <c r="I176" s="13"/>
    </row>
    <row r="177">
      <c r="A177" s="1"/>
      <c r="B177" s="15" t="s">
        <v>130</v>
      </c>
      <c r="C177" s="5">
        <f>C176-C284</f>
        <v>-8</v>
      </c>
      <c r="D177" s="5">
        <f>D176-D284</f>
        <v>65</v>
      </c>
      <c r="E177" s="5">
        <f>E176-E284</f>
        <v>-158</v>
      </c>
      <c r="F177" s="5">
        <f>F176-F284</f>
        <v>-66</v>
      </c>
      <c r="G177" s="5">
        <f>G176-G284</f>
        <v>170</v>
      </c>
      <c r="H177" s="21">
        <f>H176-H284</f>
        <v>-57</v>
      </c>
      <c r="I177" s="13"/>
    </row>
    <row r="178">
      <c r="A178" s="1"/>
      <c r="B178" s="15" t="s">
        <v>131</v>
      </c>
      <c r="C178" s="5">
        <f>C176-F284</f>
        <v>-9</v>
      </c>
      <c r="D178" s="5">
        <f>D176-C176</f>
        <v>69</v>
      </c>
      <c r="E178" s="5">
        <f>E176-D176</f>
        <v>-126</v>
      </c>
      <c r="F178" s="5">
        <f>F176-E176</f>
        <v>0</v>
      </c>
      <c r="G178" s="5" t="s">
        <v>44</v>
      </c>
      <c r="H178" s="21">
        <f>H176-F176</f>
        <v>0</v>
      </c>
      <c r="I178" s="13"/>
    </row>
    <row r="179">
      <c r="A179" s="1"/>
      <c r="B179" s="1" t="s">
        <v>407</v>
      </c>
      <c r="C179" s="9">
        <v>0</v>
      </c>
      <c r="D179" s="9">
        <v>50</v>
      </c>
      <c r="E179" s="9">
        <v>0</v>
      </c>
      <c r="F179" s="9">
        <v>0</v>
      </c>
      <c r="G179" s="22">
        <f>E285+F285+C179+D179</f>
        <v>50</v>
      </c>
      <c r="H179" s="8">
        <v>0</v>
      </c>
      <c r="I179" s="13"/>
    </row>
    <row r="180">
      <c r="A180" s="1"/>
      <c r="B180" s="15" t="s">
        <v>130</v>
      </c>
      <c r="C180" s="5">
        <f>C179-C285</f>
        <v>0</v>
      </c>
      <c r="D180" s="5">
        <f>D179-D285</f>
        <v>50</v>
      </c>
      <c r="E180" s="5">
        <f>E179-E285</f>
        <v>0</v>
      </c>
      <c r="F180" s="5">
        <f>F179-F285</f>
        <v>0</v>
      </c>
      <c r="G180" s="5">
        <f>G179-G285</f>
        <v>50</v>
      </c>
      <c r="H180" s="21">
        <f>H179-H285</f>
        <v>0</v>
      </c>
      <c r="I180" s="13"/>
    </row>
    <row r="181">
      <c r="A181" s="1"/>
      <c r="B181" s="15" t="s">
        <v>131</v>
      </c>
      <c r="C181" s="5">
        <f>C179-F285</f>
        <v>0</v>
      </c>
      <c r="D181" s="5">
        <f>D179-C179</f>
        <v>50</v>
      </c>
      <c r="E181" s="5">
        <f>E179-D179</f>
        <v>-50</v>
      </c>
      <c r="F181" s="5">
        <f>F179-E179</f>
        <v>0</v>
      </c>
      <c r="G181" s="5" t="s">
        <v>44</v>
      </c>
      <c r="H181" s="21">
        <f>H179-F179</f>
        <v>0</v>
      </c>
      <c r="I181" s="13"/>
    </row>
    <row r="182" ht="24">
      <c r="A182" s="1"/>
      <c r="B182" s="4" t="s">
        <v>408</v>
      </c>
      <c r="C182" s="9">
        <v>52</v>
      </c>
      <c r="D182" s="9">
        <v>0</v>
      </c>
      <c r="E182" s="9">
        <v>0</v>
      </c>
      <c r="F182" s="9">
        <v>0</v>
      </c>
      <c r="G182" s="22">
        <f>E286+F286+C182+D182</f>
        <v>121</v>
      </c>
      <c r="H182" s="8">
        <v>0</v>
      </c>
      <c r="I182" s="13"/>
    </row>
    <row r="183">
      <c r="A183" s="1"/>
      <c r="B183" s="15" t="s">
        <v>130</v>
      </c>
      <c r="C183" s="5">
        <f>C182-C286</f>
        <v>52</v>
      </c>
      <c r="D183" s="5">
        <f>D182-D286</f>
        <v>0</v>
      </c>
      <c r="E183" s="5">
        <f>E182-E286</f>
        <v>0</v>
      </c>
      <c r="F183" s="5">
        <f>F182-F286</f>
        <v>-69</v>
      </c>
      <c r="G183" s="5">
        <f>G182-G286</f>
        <v>121</v>
      </c>
      <c r="H183" s="21">
        <f>H182-H286</f>
        <v>-52</v>
      </c>
      <c r="I183" s="13"/>
    </row>
    <row r="184">
      <c r="A184" s="1"/>
      <c r="B184" s="15" t="s">
        <v>131</v>
      </c>
      <c r="C184" s="5">
        <f>C182-F286</f>
        <v>-17</v>
      </c>
      <c r="D184" s="5">
        <f>D182-C182</f>
        <v>-52</v>
      </c>
      <c r="E184" s="5">
        <f>E182-D182</f>
        <v>0</v>
      </c>
      <c r="F184" s="5">
        <f>F182-E182</f>
        <v>0</v>
      </c>
      <c r="G184" s="5" t="s">
        <v>44</v>
      </c>
      <c r="H184" s="21">
        <f>H182-F182</f>
        <v>0</v>
      </c>
      <c r="I184" s="13"/>
    </row>
    <row r="185">
      <c r="A185" s="1"/>
      <c r="B185" s="1" t="s">
        <v>409</v>
      </c>
      <c r="C185" s="9">
        <v>0</v>
      </c>
      <c r="D185" s="9">
        <v>210</v>
      </c>
      <c r="E185" s="9">
        <v>0</v>
      </c>
      <c r="F185" s="9">
        <v>0</v>
      </c>
      <c r="G185" s="22">
        <f>E287+F287+C185+D185</f>
        <v>210</v>
      </c>
      <c r="H185" s="8">
        <v>0</v>
      </c>
      <c r="I185" s="13"/>
    </row>
    <row r="186">
      <c r="A186" s="1"/>
      <c r="B186" s="15" t="s">
        <v>130</v>
      </c>
      <c r="C186" s="5">
        <f>C185-C287</f>
        <v>0</v>
      </c>
      <c r="D186" s="5">
        <f>D185-D287</f>
        <v>48</v>
      </c>
      <c r="E186" s="5">
        <f>E185-E287</f>
        <v>0</v>
      </c>
      <c r="F186" s="5">
        <f>F185-F287</f>
        <v>0</v>
      </c>
      <c r="G186" s="5">
        <f>G185-G287</f>
        <v>48</v>
      </c>
      <c r="H186" s="21">
        <f>H185-H287</f>
        <v>0</v>
      </c>
      <c r="I186" s="13"/>
    </row>
    <row r="187">
      <c r="A187" s="1"/>
      <c r="B187" s="15" t="s">
        <v>131</v>
      </c>
      <c r="C187" s="5">
        <f>C185-F287</f>
        <v>0</v>
      </c>
      <c r="D187" s="5">
        <f>D185-C185</f>
        <v>210</v>
      </c>
      <c r="E187" s="5">
        <f>E185-D185</f>
        <v>-210</v>
      </c>
      <c r="F187" s="5">
        <f>F185-E185</f>
        <v>0</v>
      </c>
      <c r="G187" s="5" t="s">
        <v>44</v>
      </c>
      <c r="H187" s="21">
        <f>H185-F185</f>
        <v>0</v>
      </c>
      <c r="I187" s="13"/>
    </row>
    <row r="188" ht="34.5">
      <c r="A188" s="1"/>
      <c r="B188" s="4" t="s">
        <v>410</v>
      </c>
      <c r="C188" s="9">
        <v>66</v>
      </c>
      <c r="D188" s="9">
        <v>100</v>
      </c>
      <c r="E188" s="9">
        <v>0</v>
      </c>
      <c r="F188" s="9">
        <v>0</v>
      </c>
      <c r="G188" s="22">
        <f>E288+F288+C188+D188</f>
        <v>166</v>
      </c>
      <c r="H188" s="8">
        <v>0</v>
      </c>
      <c r="I188" s="13" t="s">
        <v>411</v>
      </c>
    </row>
    <row r="189">
      <c r="A189" s="1"/>
      <c r="B189" s="15" t="s">
        <v>130</v>
      </c>
      <c r="C189" s="5">
        <f>C188-C288</f>
        <v>52</v>
      </c>
      <c r="D189" s="5">
        <f>D188-D288</f>
        <v>100</v>
      </c>
      <c r="E189" s="5">
        <f>E188-E288</f>
        <v>0</v>
      </c>
      <c r="F189" s="5">
        <f>F188-F288</f>
        <v>0</v>
      </c>
      <c r="G189" s="5">
        <f>G188-G288</f>
        <v>123</v>
      </c>
      <c r="H189" s="21">
        <f>H188-H288</f>
        <v>-66</v>
      </c>
      <c r="I189" s="13"/>
    </row>
    <row r="190">
      <c r="A190" s="1"/>
      <c r="B190" s="15" t="s">
        <v>131</v>
      </c>
      <c r="C190" s="5">
        <f>C188-F288</f>
        <v>66</v>
      </c>
      <c r="D190" s="5">
        <f>D188-C188</f>
        <v>34</v>
      </c>
      <c r="E190" s="5">
        <f>E188-D188</f>
        <v>-100</v>
      </c>
      <c r="F190" s="5">
        <f>F188-E188</f>
        <v>0</v>
      </c>
      <c r="G190" s="5" t="s">
        <v>44</v>
      </c>
      <c r="H190" s="21">
        <f>H188-F188</f>
        <v>0</v>
      </c>
      <c r="I190" s="13"/>
    </row>
    <row r="191" ht="24">
      <c r="A191" s="1"/>
      <c r="B191" s="4" t="s">
        <v>412</v>
      </c>
      <c r="C191" s="9">
        <v>0</v>
      </c>
      <c r="D191" s="9">
        <v>0</v>
      </c>
      <c r="E191" s="9">
        <v>0</v>
      </c>
      <c r="F191" s="9">
        <v>0</v>
      </c>
      <c r="G191" s="22">
        <f>E289+F289+C191+D191</f>
        <v>-149</v>
      </c>
      <c r="H191" s="8">
        <v>0</v>
      </c>
      <c r="I191" s="13" t="s">
        <v>413</v>
      </c>
    </row>
    <row r="192">
      <c r="A192" s="1"/>
      <c r="B192" s="15" t="s">
        <v>130</v>
      </c>
      <c r="C192" s="5">
        <f>C191-C289</f>
        <v>0</v>
      </c>
      <c r="D192" s="5">
        <f>D191-D289</f>
        <v>24</v>
      </c>
      <c r="E192" s="5">
        <f>E191-E289</f>
        <v>0</v>
      </c>
      <c r="F192" s="5">
        <f>F191-F289</f>
        <v>149</v>
      </c>
      <c r="G192" s="5">
        <f>G191-G289</f>
        <v>-125</v>
      </c>
      <c r="H192" s="21">
        <f>H191-H289</f>
        <v>0</v>
      </c>
      <c r="I192" s="13"/>
    </row>
    <row r="193">
      <c r="A193" s="1"/>
      <c r="B193" s="15" t="s">
        <v>131</v>
      </c>
      <c r="C193" s="5">
        <f>C191-F289</f>
        <v>149</v>
      </c>
      <c r="D193" s="5">
        <f>D191-C191</f>
        <v>0</v>
      </c>
      <c r="E193" s="5">
        <f>E191-D191</f>
        <v>0</v>
      </c>
      <c r="F193" s="5">
        <f>F191-E191</f>
        <v>0</v>
      </c>
      <c r="G193" s="5" t="s">
        <v>44</v>
      </c>
      <c r="H193" s="21">
        <f>H191-F191</f>
        <v>0</v>
      </c>
      <c r="I193" s="13"/>
    </row>
    <row r="194">
      <c r="A194" s="1"/>
      <c r="B194" s="45" t="s">
        <v>414</v>
      </c>
      <c r="C194" s="29">
        <f>C173+C176+C179+C182+C185+C188+C191</f>
        <v>318</v>
      </c>
      <c r="D194" s="29">
        <f>D173+D176+D179+D182+D185+D188+D191</f>
        <v>561</v>
      </c>
      <c r="E194" s="29">
        <f>E173+E176+E179+E182+E185+E188+E191</f>
        <v>41</v>
      </c>
      <c r="F194" s="29">
        <f>F173+F176+F179+F182+F185+F188+F191</f>
        <v>69</v>
      </c>
      <c r="G194" s="29">
        <f>G173+G176+G179+G182+G185+G188+G191</f>
        <v>1106</v>
      </c>
      <c r="H194" s="47">
        <f>H173+H176+H179+H182+H185+H188+H191</f>
        <v>70</v>
      </c>
      <c r="I194" s="13"/>
    </row>
    <row r="195">
      <c r="A195" s="1"/>
      <c r="B195" s="15" t="s">
        <v>122</v>
      </c>
      <c r="C195" s="5">
        <f>C194-C290</f>
        <v>206</v>
      </c>
      <c r="D195" s="5">
        <f>D194-D290</f>
        <v>299</v>
      </c>
      <c r="E195" s="5">
        <f>E194-E290</f>
        <v>-165</v>
      </c>
      <c r="F195" s="5">
        <f>F194-F290</f>
        <v>48</v>
      </c>
      <c r="G195" s="5">
        <f>G194-G290</f>
        <v>565</v>
      </c>
      <c r="H195" s="21">
        <f>H194-H290</f>
        <v>-248</v>
      </c>
      <c r="I195" s="13"/>
    </row>
    <row r="196">
      <c r="A196" s="1"/>
      <c r="B196" s="15" t="s">
        <v>123</v>
      </c>
      <c r="C196" s="5">
        <f>C194-F290</f>
        <v>297</v>
      </c>
      <c r="D196" s="5">
        <f>D194-C194</f>
        <v>243</v>
      </c>
      <c r="E196" s="5">
        <f>E194-D194</f>
        <v>-520</v>
      </c>
      <c r="F196" s="5">
        <f>F194-E194</f>
        <v>28</v>
      </c>
      <c r="G196" s="5" t="s">
        <v>44</v>
      </c>
      <c r="H196" s="21">
        <f>H194-F194</f>
        <v>1</v>
      </c>
      <c r="I196" s="13"/>
    </row>
    <row r="197" ht="24">
      <c r="A197" s="1"/>
      <c r="B197" s="4" t="s">
        <v>415</v>
      </c>
      <c r="C197" s="9">
        <v>27</v>
      </c>
      <c r="D197" s="9">
        <v>58</v>
      </c>
      <c r="E197" s="9">
        <v>8</v>
      </c>
      <c r="F197" s="9">
        <v>19</v>
      </c>
      <c r="G197" s="22">
        <f>E291+F291+C197+D197</f>
        <v>111</v>
      </c>
      <c r="H197" s="8">
        <v>15</v>
      </c>
      <c r="I197" s="13" t="s">
        <v>416</v>
      </c>
    </row>
    <row r="198">
      <c r="A198" s="1"/>
      <c r="B198" s="15" t="s">
        <v>130</v>
      </c>
      <c r="C198" s="5">
        <f>C197-C291</f>
        <v>7</v>
      </c>
      <c r="D198" s="5">
        <f>D197-D291</f>
        <v>19</v>
      </c>
      <c r="E198" s="5">
        <f>E197-E291</f>
        <v>-3</v>
      </c>
      <c r="F198" s="5">
        <f>F197-F291</f>
        <v>4</v>
      </c>
      <c r="G198" s="5">
        <f>G197-G291</f>
        <v>24</v>
      </c>
      <c r="H198" s="21">
        <f>H197-H291</f>
        <v>-12</v>
      </c>
      <c r="I198" s="13"/>
    </row>
    <row r="199">
      <c r="A199" s="1"/>
      <c r="B199" s="15" t="s">
        <v>131</v>
      </c>
      <c r="C199" s="5">
        <f>C197-F291</f>
        <v>12</v>
      </c>
      <c r="D199" s="5">
        <f>D197-C197</f>
        <v>31</v>
      </c>
      <c r="E199" s="5">
        <f>E197-D197</f>
        <v>-50</v>
      </c>
      <c r="F199" s="5">
        <f>F197-E197</f>
        <v>11</v>
      </c>
      <c r="G199" s="5" t="s">
        <v>44</v>
      </c>
      <c r="H199" s="21">
        <f>H197-F197</f>
        <v>-4</v>
      </c>
      <c r="I199" s="13"/>
    </row>
    <row r="200" ht="34.5">
      <c r="A200" s="1"/>
      <c r="B200" s="4" t="s">
        <v>417</v>
      </c>
      <c r="C200" s="9">
        <v>0</v>
      </c>
      <c r="D200" s="9">
        <v>92</v>
      </c>
      <c r="E200" s="9">
        <v>0</v>
      </c>
      <c r="F200" s="9">
        <v>0</v>
      </c>
      <c r="G200" s="22">
        <f>E292+F292+C200+D200</f>
        <v>92</v>
      </c>
      <c r="H200" s="8">
        <v>0</v>
      </c>
      <c r="I200" s="13"/>
    </row>
    <row r="201">
      <c r="A201" s="1"/>
      <c r="B201" s="15" t="s">
        <v>130</v>
      </c>
      <c r="C201" s="5">
        <f>C200-C292</f>
        <v>0</v>
      </c>
      <c r="D201" s="5">
        <f>D200-D292</f>
        <v>92</v>
      </c>
      <c r="E201" s="5">
        <f>E200-E292</f>
        <v>0</v>
      </c>
      <c r="F201" s="5">
        <f>F200-F292</f>
        <v>0</v>
      </c>
      <c r="G201" s="5">
        <f>G200-G292</f>
        <v>92</v>
      </c>
      <c r="H201" s="21">
        <f>H200-H292</f>
        <v>0</v>
      </c>
      <c r="I201" s="13"/>
    </row>
    <row r="202">
      <c r="A202" s="1"/>
      <c r="B202" s="15" t="s">
        <v>131</v>
      </c>
      <c r="C202" s="5">
        <f>C200-F292</f>
        <v>0</v>
      </c>
      <c r="D202" s="5">
        <f>D200-C200</f>
        <v>92</v>
      </c>
      <c r="E202" s="5">
        <f>E200-D200</f>
        <v>-92</v>
      </c>
      <c r="F202" s="5">
        <f>F200-E200</f>
        <v>0</v>
      </c>
      <c r="G202" s="5" t="s">
        <v>44</v>
      </c>
      <c r="H202" s="21">
        <f>H200-F200</f>
        <v>0</v>
      </c>
      <c r="I202" s="13"/>
    </row>
    <row r="203" ht="24">
      <c r="A203" s="1"/>
      <c r="B203" s="4" t="s">
        <v>418</v>
      </c>
      <c r="C203" s="9">
        <v>3</v>
      </c>
      <c r="D203" s="9">
        <v>56</v>
      </c>
      <c r="E203" s="9">
        <v>2</v>
      </c>
      <c r="F203" s="9">
        <v>3</v>
      </c>
      <c r="G203" s="22">
        <f>E293+F293+C203+D203</f>
        <v>67</v>
      </c>
      <c r="H203" s="8">
        <v>2</v>
      </c>
      <c r="I203" s="13"/>
    </row>
    <row r="204">
      <c r="A204" s="1"/>
      <c r="B204" s="15" t="s">
        <v>130</v>
      </c>
      <c r="C204" s="5">
        <f>C203-C293</f>
        <v>-4</v>
      </c>
      <c r="D204" s="5">
        <f>D203-D293</f>
        <v>49</v>
      </c>
      <c r="E204" s="5">
        <f>E203-E293</f>
        <v>-2</v>
      </c>
      <c r="F204" s="5">
        <f>F203-F293</f>
        <v>-1</v>
      </c>
      <c r="G204" s="5">
        <f>G203-G293</f>
        <v>40</v>
      </c>
      <c r="H204" s="21">
        <f>H203-H293</f>
        <v>-1</v>
      </c>
      <c r="I204" s="13"/>
    </row>
    <row r="205">
      <c r="A205" s="1"/>
      <c r="B205" s="15" t="s">
        <v>131</v>
      </c>
      <c r="C205" s="5">
        <f>C203-F293</f>
        <v>-1</v>
      </c>
      <c r="D205" s="5">
        <f>D203-C203</f>
        <v>53</v>
      </c>
      <c r="E205" s="5">
        <f>E203-D203</f>
        <v>-54</v>
      </c>
      <c r="F205" s="5">
        <f>F203-E203</f>
        <v>1</v>
      </c>
      <c r="G205" s="5" t="s">
        <v>44</v>
      </c>
      <c r="H205" s="21">
        <f>H203-F203</f>
        <v>-1</v>
      </c>
      <c r="I205" s="13"/>
    </row>
    <row r="206" ht="34.5">
      <c r="A206" s="1"/>
      <c r="B206" s="26" t="s">
        <v>419</v>
      </c>
      <c r="C206" s="29">
        <f>C83+C194-C197-C200-C203</f>
        <v>1027</v>
      </c>
      <c r="D206" s="29">
        <f>D83+D194-D197-D200-D203</f>
        <v>1179</v>
      </c>
      <c r="E206" s="29">
        <f>E83+E194-E197-E200-E203</f>
        <v>783</v>
      </c>
      <c r="F206" s="29">
        <f>F83+F194-F197-F200-F203</f>
        <v>833</v>
      </c>
      <c r="G206" s="29">
        <f>G83+G194-G197-G200-G203</f>
        <v>4210</v>
      </c>
      <c r="H206" s="47">
        <f>H83+H194-H197-H200-H203</f>
        <v>924.6714383899999</v>
      </c>
      <c r="I206" s="13"/>
    </row>
    <row r="207">
      <c r="A207" s="1"/>
      <c r="B207" s="15" t="s">
        <v>102</v>
      </c>
      <c r="C207" s="11">
        <f>IFERROR(C206/C294-1,"n/a")</f>
        <v>-0.19197482297403623</v>
      </c>
      <c r="D207" s="11">
        <f>IFERROR(D206/D294-1,"n/a")</f>
        <v>-0.10068649885583525</v>
      </c>
      <c r="E207" s="11">
        <f>IFERROR(E206/E294-1,"n/a")</f>
        <v>-0.2074898785425101</v>
      </c>
      <c r="F207" s="11">
        <f>IFERROR(F206/F294-1,"n/a")</f>
        <v>-0.18011811023622049</v>
      </c>
      <c r="G207" s="11">
        <f>IFERROR(G206/G294-1,"n/a")</f>
        <v>-0.1387070376432079</v>
      </c>
      <c r="H207" s="50">
        <f>IFERROR(H206/H294-1,"n/a")</f>
        <v>-0.09963832678675766</v>
      </c>
      <c r="I207" s="13"/>
    </row>
    <row r="208">
      <c r="A208" s="1"/>
      <c r="B208" s="15" t="s">
        <v>123</v>
      </c>
      <c r="C208" s="5">
        <f>C206-F294</f>
        <v>11</v>
      </c>
      <c r="D208" s="5">
        <f>D206-C206</f>
        <v>152</v>
      </c>
      <c r="E208" s="5">
        <f>E206-D206</f>
        <v>-396</v>
      </c>
      <c r="F208" s="5">
        <f>F206-E206</f>
        <v>50</v>
      </c>
      <c r="G208" s="5" t="s">
        <v>44</v>
      </c>
      <c r="H208" s="21">
        <f>H206-F206</f>
        <v>91.67143838999993</v>
      </c>
      <c r="I208" s="13"/>
    </row>
    <row r="209" ht="24">
      <c r="A209" s="1"/>
      <c r="B209" s="57" t="s">
        <v>420</v>
      </c>
      <c r="C209" s="11">
        <f>IFERROR(C206/C10,"n/a")</f>
        <v>0.11503136200716846</v>
      </c>
      <c r="D209" s="11">
        <f>IFERROR(D206/D10,"n/a")</f>
        <v>0.12098512057465367</v>
      </c>
      <c r="E209" s="11">
        <f>IFERROR(E206/E10,"n/a")</f>
        <v>0.08978328173374613</v>
      </c>
      <c r="F209" s="11">
        <f>IFERROR(F206/F10,"n/a")</f>
        <v>0.09284440481497994</v>
      </c>
      <c r="G209" s="11">
        <f>IFERROR(G206/G10,"n/a")</f>
        <v>0.11789744882242571</v>
      </c>
      <c r="H209" s="50">
        <f>IFERROR(H206/H10,"n/a")</f>
        <v>0.09977026202918787</v>
      </c>
      <c r="I209" s="13"/>
    </row>
    <row r="210">
      <c r="A210" s="1"/>
      <c r="B210" s="15" t="s">
        <v>119</v>
      </c>
      <c r="C210" s="40">
        <f>IFERROR((C209-C295)*10000,"n/a")</f>
        <v>-237.3924613782555</v>
      </c>
      <c r="D210" s="40">
        <f>IFERROR((D209-D295)*10000,"n/a")</f>
        <v>-202.25564474893946</v>
      </c>
      <c r="E210" s="40">
        <f>IFERROR((E209-E295)*10000,"n/a")</f>
        <v>-265.8892085753774</v>
      </c>
      <c r="F210" s="40">
        <f>IFERROR((F209-F295)*10000,"n/a")</f>
        <v>-260.4162373638913</v>
      </c>
      <c r="G210" s="40">
        <f>IFERROR((G209-G295)*10000,"n/a")</f>
        <v>-167.99015670946923</v>
      </c>
      <c r="H210" s="56">
        <f>IFERROR((H209-H295)*10000,"n/a")</f>
        <v>-152.61099977980587</v>
      </c>
      <c r="I210" s="13"/>
    </row>
    <row r="211">
      <c r="A211" s="1"/>
      <c r="B211" s="15" t="s">
        <v>120</v>
      </c>
      <c r="C211" s="40">
        <f>IFERROR((C209-F295)*10000,"n/a")</f>
        <v>-38.54666544200608</v>
      </c>
      <c r="D211" s="40">
        <f>IFERROR((D209-C209)*10000,"n/a")</f>
        <v>59.53758567485215</v>
      </c>
      <c r="E211" s="40">
        <f>IFERROR((E209-D209)*10000,"n/a")</f>
        <v>-312.0183884090755</v>
      </c>
      <c r="F211" s="40">
        <f>IFERROR((F209-E209)*10000,"n/a")</f>
        <v>30.611230812338103</v>
      </c>
      <c r="G211" s="40" t="s">
        <v>44</v>
      </c>
      <c r="H211" s="56">
        <f>IFERROR((H209-F209)*10000,"n/a")</f>
        <v>69.25857214207937</v>
      </c>
      <c r="I211" s="13"/>
    </row>
    <row r="212" ht="34.5">
      <c r="A212" s="1"/>
      <c r="B212" s="26" t="s">
        <v>421</v>
      </c>
      <c r="C212" s="80">
        <f>C206/C90</f>
        <v>0.6901881720430108</v>
      </c>
      <c r="D212" s="80">
        <f>D206/D90</f>
        <v>0.7802779616148247</v>
      </c>
      <c r="E212" s="80">
        <f>E206/E90</f>
        <v>0.5168316831683168</v>
      </c>
      <c r="F212" s="80">
        <f>F206/F90</f>
        <v>0.5531208499335989</v>
      </c>
      <c r="G212" s="80">
        <f>G206/G90</f>
        <v>2.929714683368128</v>
      </c>
      <c r="H212" s="93">
        <f>H206/H90</f>
        <v>0.618123009507993</v>
      </c>
      <c r="I212" s="13"/>
    </row>
    <row r="213">
      <c r="A213" s="1"/>
      <c r="B213" s="15" t="s">
        <v>102</v>
      </c>
      <c r="C213" s="11">
        <f>IFERROR(C212/C296-1,"n/a")</f>
        <v>-0.22238437264705635</v>
      </c>
      <c r="D213" s="11">
        <f>IFERROR(D212/D296-1,"n/a")</f>
        <v>-0.15484766934168492</v>
      </c>
      <c r="E213" s="11">
        <f>IFERROR(E212/E296-1,"n/a")</f>
        <v>-0.27810959233575183</v>
      </c>
      <c r="F213" s="11">
        <f>IFERROR(F212/F296-1,"n/a")</f>
        <v>-0.2563355501877007</v>
      </c>
      <c r="G213" s="11">
        <f>IFERROR(G212/G296-1,"n/a")</f>
        <v>-0.13930640644095094</v>
      </c>
      <c r="H213" s="50">
        <f>IFERROR(H212/H296-1,"n/a")</f>
        <v>-0.10441378953467029</v>
      </c>
      <c r="I213" s="13"/>
    </row>
    <row r="214">
      <c r="A214" s="1"/>
      <c r="B214" s="15" t="s">
        <v>362</v>
      </c>
      <c r="C214" s="10">
        <f>C212-F296</f>
        <v>-0.05358928037280186</v>
      </c>
      <c r="D214" s="10">
        <f>D212-C212</f>
        <v>0.0900897895718139</v>
      </c>
      <c r="E214" s="10">
        <f>E212-D212</f>
        <v>-0.2634462784465078</v>
      </c>
      <c r="F214" s="10">
        <f>F212-E212</f>
        <v>0.036289166765282044</v>
      </c>
      <c r="G214" s="10" t="s">
        <v>44</v>
      </c>
      <c r="H214" s="19">
        <f>H212-F212</f>
        <v>0.06500215957439415</v>
      </c>
      <c r="I214" s="13"/>
    </row>
    <row r="215" ht="34.5">
      <c r="A215" s="1"/>
      <c r="B215" s="4" t="s">
        <v>422</v>
      </c>
      <c r="C215" s="3">
        <f>Inputs!$E$110</f>
        <v>0.69</v>
      </c>
      <c r="D215" s="3">
        <f>Inputs!$E$111</f>
        <v>0.78</v>
      </c>
      <c r="E215" s="3">
        <f>Inputs!$E$112</f>
        <v>0.52</v>
      </c>
      <c r="F215" s="3">
        <f>Inputs!$E$113</f>
        <v>0.55</v>
      </c>
      <c r="G215" s="44">
        <v>2.93</v>
      </c>
      <c r="H215" s="81" t="s">
        <v>44</v>
      </c>
      <c r="I215" s="13" t="s">
        <v>423</v>
      </c>
    </row>
    <row r="216" ht="24">
      <c r="A216" s="1"/>
      <c r="B216" s="4" t="s">
        <v>424</v>
      </c>
      <c r="C216" s="3">
        <f>Inputs!$D$110</f>
        <v>0.66</v>
      </c>
      <c r="D216" s="3">
        <f>Inputs!$D$111</f>
        <v>0.74</v>
      </c>
      <c r="E216" s="3">
        <f>Inputs!$D$112</f>
        <v>0.51</v>
      </c>
      <c r="F216" s="3">
        <f>Inputs!$D$113</f>
        <v>0.52</v>
      </c>
      <c r="G216" s="43" t="s">
        <v>44</v>
      </c>
      <c r="H216" s="65">
        <f>Inputs!$C$18</f>
        <v>0.61</v>
      </c>
      <c r="I216" s="13"/>
    </row>
    <row r="217" ht="34.5">
      <c r="A217" s="1"/>
      <c r="B217" s="57" t="s">
        <v>425</v>
      </c>
      <c r="C217" s="10">
        <f>C215-C216</f>
        <v>0.029999999999999916</v>
      </c>
      <c r="D217" s="10">
        <f>D215-D216</f>
        <v>0.040000000000000036</v>
      </c>
      <c r="E217" s="10">
        <f>E215-E216</f>
        <v>0.010000000000000009</v>
      </c>
      <c r="F217" s="10">
        <f>F215-F216</f>
        <v>0.030000000000000027</v>
      </c>
      <c r="G217" s="10" t="s">
        <v>44</v>
      </c>
      <c r="H217" s="19">
        <f>H212-H216</f>
        <v>0.008123009507993051</v>
      </c>
      <c r="I217" s="13"/>
    </row>
    <row r="218" ht="34.5">
      <c r="A218" s="1"/>
      <c r="B218" s="4" t="s">
        <v>426</v>
      </c>
      <c r="C218" s="38" t="b">
        <f>AND(ROUND(C91,2)=ROUND(C94,2),ROUND(C212,2)=ROUND(C215,2))</f>
        <v>1</v>
      </c>
      <c r="D218" s="38" t="b">
        <f>AND(ROUND(D91,2)=ROUND(D94,2),ROUND(D212,2)=ROUND(D215,2))</f>
        <v>1</v>
      </c>
      <c r="E218" s="38" t="b">
        <f>AND(ROUND(E91,2)=ROUND(E94,2),ROUND(E212,2)=ROUND(E215,2))</f>
        <v>1</v>
      </c>
      <c r="F218" s="38" t="b">
        <f>AND(ROUND(F91,2)=ROUND(F94,2),ROUND(F212,2)=ROUND(F215,2))</f>
        <v>1</v>
      </c>
      <c r="G218" s="38" t="b">
        <f>AND(ROUND(G91,2)=ROUND(G94,2),ROUND(G212,2)=ROUND(G215,2))</f>
        <v>1</v>
      </c>
      <c r="H218" s="68" t="b">
        <f>AND(ROUND(H91-H83/H90,9)=0,ROUND(H212-H206/H90,9)=0)</f>
        <v>1</v>
      </c>
      <c r="I218" s="13"/>
    </row>
    <row r="219">
      <c r="A219" s="1"/>
      <c r="B219" s="41" t="s">
        <v>427</v>
      </c>
      <c r="C219" s="1"/>
      <c r="D219" s="1"/>
      <c r="E219" s="1"/>
      <c r="F219" s="1"/>
      <c r="G219" s="1"/>
      <c r="H219" s="53"/>
      <c r="I219" s="13"/>
    </row>
    <row r="220" ht="24">
      <c r="A220" s="1"/>
      <c r="B220" s="26" t="s">
        <v>428</v>
      </c>
      <c r="C220" s="29">
        <f>C64+C194</f>
        <v>1318</v>
      </c>
      <c r="D220" s="29">
        <f>D64+D194</f>
        <v>1504</v>
      </c>
      <c r="E220" s="29">
        <f>E64+E194</f>
        <v>997</v>
      </c>
      <c r="F220" s="29">
        <f>F64+F194</f>
        <v>1088</v>
      </c>
      <c r="G220" s="29">
        <f>G64+G194</f>
        <v>5397</v>
      </c>
      <c r="H220" s="47">
        <f>H64+H194</f>
        <v>1199.0858699999999</v>
      </c>
      <c r="I220" s="13"/>
    </row>
    <row r="221">
      <c r="A221" s="1"/>
      <c r="B221" s="15" t="s">
        <v>102</v>
      </c>
      <c r="C221" s="11">
        <f>IFERROR(C220/C297-1,"n/a")</f>
        <v>-0.18591723285979</v>
      </c>
      <c r="D221" s="11">
        <f>IFERROR(D220/D297-1,"n/a")</f>
        <v>-0.08793208004851427</v>
      </c>
      <c r="E221" s="11">
        <f>IFERROR(E220/E297-1,"n/a")</f>
        <v>-0.2143420015760441</v>
      </c>
      <c r="F221" s="11">
        <f>IFERROR(F220/F297-1,"n/a")</f>
        <v>-0.16692189892802445</v>
      </c>
      <c r="G221" s="11">
        <f>IFERROR(G220/G297-1,"n/a")</f>
        <v>-0.13133751810719463</v>
      </c>
      <c r="H221" s="50">
        <f>IFERROR(H220/H297-1,"n/a")</f>
        <v>-0.09022316388467388</v>
      </c>
      <c r="I221" s="13"/>
    </row>
    <row r="222">
      <c r="A222" s="1"/>
      <c r="B222" s="15" t="s">
        <v>123</v>
      </c>
      <c r="C222" s="5">
        <f>C220-F297</f>
        <v>12</v>
      </c>
      <c r="D222" s="5">
        <f>D220-C220</f>
        <v>186</v>
      </c>
      <c r="E222" s="5">
        <f>E220-D220</f>
        <v>-507</v>
      </c>
      <c r="F222" s="5">
        <f>F220-E220</f>
        <v>91</v>
      </c>
      <c r="G222" s="5" t="s">
        <v>44</v>
      </c>
      <c r="H222" s="21">
        <f>H220-F220</f>
        <v>111.08586999999989</v>
      </c>
      <c r="I222" s="13"/>
    </row>
    <row r="223" ht="24">
      <c r="A223" s="1"/>
      <c r="B223" s="4" t="s">
        <v>429</v>
      </c>
      <c r="C223" s="22">
        <f>C70+C197+C200</f>
        <v>253</v>
      </c>
      <c r="D223" s="22">
        <f>D70+D197+D200</f>
        <v>293</v>
      </c>
      <c r="E223" s="22">
        <f>E70+E197+E200</f>
        <v>203</v>
      </c>
      <c r="F223" s="22">
        <f>F70+F197+F200</f>
        <v>223</v>
      </c>
      <c r="G223" s="22">
        <f>G70+G197+G200</f>
        <v>1043</v>
      </c>
      <c r="H223" s="37">
        <f>H220*H226</f>
        <v>243.41443160999998</v>
      </c>
      <c r="I223" s="13"/>
    </row>
    <row r="224">
      <c r="A224" s="1"/>
      <c r="B224" s="15" t="s">
        <v>102</v>
      </c>
      <c r="C224" s="11">
        <f>IFERROR(C223/C298-1,"n/a")</f>
        <v>-0.18122977346278313</v>
      </c>
      <c r="D224" s="11">
        <f>IFERROR(D223/D298-1,"n/a")</f>
        <v>-0.04870129870129869</v>
      </c>
      <c r="E224" s="11">
        <f>IFERROR(E223/E298-1,"n/a")</f>
        <v>-0.17142857142857137</v>
      </c>
      <c r="F224" s="11">
        <f>IFERROR(F223/F298-1,"n/a")</f>
        <v>-0.11507936507936511</v>
      </c>
      <c r="G224" s="11">
        <f>IFERROR(G223/G298-1,"n/a")</f>
        <v>-0.11610169491525424</v>
      </c>
      <c r="H224" s="50">
        <f>IFERROR(H223/H298-1,"n/a")</f>
        <v>-0.03788762209486174</v>
      </c>
      <c r="I224" s="13"/>
    </row>
    <row r="225">
      <c r="A225" s="1"/>
      <c r="B225" s="15" t="s">
        <v>123</v>
      </c>
      <c r="C225" s="5">
        <f>C223-F298</f>
        <v>1</v>
      </c>
      <c r="D225" s="5">
        <f>D223-C223</f>
        <v>40</v>
      </c>
      <c r="E225" s="5">
        <f>E223-D223</f>
        <v>-90</v>
      </c>
      <c r="F225" s="5">
        <f>F223-E223</f>
        <v>20</v>
      </c>
      <c r="G225" s="5" t="s">
        <v>44</v>
      </c>
      <c r="H225" s="21">
        <f>H223-F223</f>
        <v>20.41443160999998</v>
      </c>
      <c r="I225" s="13"/>
    </row>
    <row r="226" ht="34.5">
      <c r="A226" s="1"/>
      <c r="B226" s="57" t="s">
        <v>430</v>
      </c>
      <c r="C226" s="11">
        <f>C223/C220</f>
        <v>0.19195751138088013</v>
      </c>
      <c r="D226" s="11">
        <f>D223/D220</f>
        <v>0.19481382978723405</v>
      </c>
      <c r="E226" s="11">
        <f>E223/E220</f>
        <v>0.20361083249749248</v>
      </c>
      <c r="F226" s="11">
        <f>F223/F220</f>
        <v>0.20496323529411764</v>
      </c>
      <c r="G226" s="11">
        <f>G223/G220</f>
        <v>0.1932555123216602</v>
      </c>
      <c r="H226" s="66">
        <v>0.203</v>
      </c>
      <c r="I226" s="13" t="s">
        <v>431</v>
      </c>
    </row>
    <row r="227">
      <c r="A227" s="1"/>
      <c r="B227" s="15" t="s">
        <v>119</v>
      </c>
      <c r="C227" s="40">
        <f>IFERROR((C226-C299)*10000,"n/a")</f>
        <v>10.989567175076765</v>
      </c>
      <c r="D227" s="40">
        <f>IFERROR((D226-D299)*10000,"n/a")</f>
        <v>80.33963201424466</v>
      </c>
      <c r="E227" s="40">
        <f>IFERROR((E226-E299)*10000,"n/a")</f>
        <v>105.45426666129204</v>
      </c>
      <c r="F227" s="40">
        <f>IFERROR((F226-F299)*10000,"n/a")</f>
        <v>120.07645707593912</v>
      </c>
      <c r="G227" s="40">
        <f>IFERROR((G226-G299)*10000,"n/a")</f>
        <v>33.311601568444814</v>
      </c>
      <c r="H227" s="56">
        <f>IFERROR((H226-H299)*10000,"n/a")</f>
        <v>110.42488619119884</v>
      </c>
      <c r="I227" s="13"/>
    </row>
    <row r="228">
      <c r="A228" s="1"/>
      <c r="B228" s="15" t="s">
        <v>120</v>
      </c>
      <c r="C228" s="40">
        <f>IFERROR((C226-F299)*10000,"n/a")</f>
        <v>-9.980782056435988</v>
      </c>
      <c r="D228" s="40">
        <f>IFERROR((D226-C226)*10000,"n/a")</f>
        <v>28.563184063539193</v>
      </c>
      <c r="E228" s="40">
        <f>IFERROR((E226-D226)*10000,"n/a")</f>
        <v>87.97002710258434</v>
      </c>
      <c r="F228" s="40">
        <f>IFERROR((F226-E226)*10000,"n/a")</f>
        <v>13.524027966251573</v>
      </c>
      <c r="G228" s="40" t="s">
        <v>44</v>
      </c>
      <c r="H228" s="56">
        <f>IFERROR((H226-F226)*10000,"n/a")</f>
        <v>-19.63235294117627</v>
      </c>
      <c r="I228" s="13"/>
    </row>
    <row r="229" ht="24">
      <c r="A229" s="1"/>
      <c r="B229" s="4" t="s">
        <v>432</v>
      </c>
      <c r="C229" s="22">
        <f>C79+C203</f>
        <v>38</v>
      </c>
      <c r="D229" s="22">
        <f>D79+D203</f>
        <v>32</v>
      </c>
      <c r="E229" s="22">
        <f>E79+E203</f>
        <v>11</v>
      </c>
      <c r="F229" s="22">
        <f>F79+F203</f>
        <v>32</v>
      </c>
      <c r="G229" s="22">
        <f>G79+G203</f>
        <v>144</v>
      </c>
      <c r="H229" s="8">
        <v>31</v>
      </c>
      <c r="I229" s="13" t="s">
        <v>433</v>
      </c>
    </row>
    <row r="230">
      <c r="A230" s="1"/>
      <c r="B230" s="15" t="s">
        <v>102</v>
      </c>
      <c r="C230" s="11">
        <f>IFERROR(C229/C300-1,"n/a")</f>
        <v>-0.02564102564102566</v>
      </c>
      <c r="D230" s="11">
        <f>IFERROR(D229/D300-1,"n/a")</f>
        <v>0.06666666666666665</v>
      </c>
      <c r="E230" s="11">
        <f>IFERROR(E229/E300-1,"n/a")</f>
        <v>-0.6944444444444444</v>
      </c>
      <c r="F230" s="11">
        <f>IFERROR(F229/F300-1,"n/a")</f>
        <v>-0.1578947368421053</v>
      </c>
      <c r="G230" s="11">
        <f>IFERROR(G229/G300-1,"n/a")</f>
        <v>-0.006896551724137945</v>
      </c>
      <c r="H230" s="50">
        <f>IFERROR(H229/H300-1,"n/a")</f>
        <v>-0.1842105263157895</v>
      </c>
      <c r="I230" s="13"/>
    </row>
    <row r="231">
      <c r="A231" s="1"/>
      <c r="B231" s="15" t="s">
        <v>123</v>
      </c>
      <c r="C231" s="5">
        <f>C229-F300</f>
        <v>0</v>
      </c>
      <c r="D231" s="5">
        <f>D229-C229</f>
        <v>-6</v>
      </c>
      <c r="E231" s="5">
        <f>E229-D229</f>
        <v>-21</v>
      </c>
      <c r="F231" s="5">
        <f>F229-E229</f>
        <v>21</v>
      </c>
      <c r="G231" s="5" t="s">
        <v>44</v>
      </c>
      <c r="H231" s="21">
        <f>H229-F229</f>
        <v>-1</v>
      </c>
      <c r="I231" s="13"/>
    </row>
    <row r="232" ht="24">
      <c r="A232" s="1"/>
      <c r="B232" s="4" t="s">
        <v>434</v>
      </c>
      <c r="C232" s="38" t="b">
        <f>ROUND(C206-(C220-C223-C229),6)=0</f>
        <v>1</v>
      </c>
      <c r="D232" s="38" t="b">
        <f>ROUND(D206-(D220-D223-D229),6)=0</f>
        <v>1</v>
      </c>
      <c r="E232" s="38" t="b">
        <f>ROUND(E206-(E220-E223-E229),6)=0</f>
        <v>1</v>
      </c>
      <c r="F232" s="38" t="b">
        <f>ROUND(F206-(F220-F223-F229),6)=0</f>
        <v>1</v>
      </c>
      <c r="G232" s="38" t="b">
        <f>ROUND(G206-(G220-G223-G229),6)=0</f>
        <v>1</v>
      </c>
      <c r="H232" s="68" t="b">
        <f>ROUND(H206-(H220-H223-H229),6)=0</f>
        <v>1</v>
      </c>
      <c r="I232" s="13"/>
    </row>
    <row r="233">
      <c r="A233" s="1"/>
      <c r="B233" s="1"/>
      <c r="C233" s="1"/>
      <c r="D233" s="1"/>
      <c r="E233" s="1"/>
      <c r="F233" s="1"/>
      <c r="G233" s="1"/>
      <c r="H233" s="53"/>
      <c r="I233" s="13"/>
    </row>
    <row r="234">
      <c r="A234" s="1"/>
      <c r="B234" s="41" t="s">
        <v>155</v>
      </c>
      <c r="C234" s="1"/>
      <c r="D234" s="1"/>
      <c r="E234" s="1"/>
      <c r="F234" s="1"/>
      <c r="G234" s="1"/>
      <c r="H234" s="53"/>
      <c r="I234" s="13" t="s">
        <v>156</v>
      </c>
    </row>
    <row r="235">
      <c r="A235" s="1"/>
      <c r="B235" s="1" t="s">
        <v>435</v>
      </c>
      <c r="C235" s="16">
        <f>'Revenue summary'!C112</f>
        <v>9159</v>
      </c>
      <c r="D235" s="16">
        <f>'Revenue summary'!D112</f>
        <v>9284</v>
      </c>
      <c r="E235" s="16">
        <f>'Revenue summary'!E112</f>
        <v>8490</v>
      </c>
      <c r="F235" s="16">
        <f>'Revenue summary'!F112</f>
        <v>8546</v>
      </c>
      <c r="G235" s="16">
        <f>'Revenue summary'!G112</f>
        <v>36289</v>
      </c>
      <c r="H235" s="37">
        <f>C10</f>
        <v>8928</v>
      </c>
      <c r="I235" s="13"/>
    </row>
    <row r="236" ht="24">
      <c r="A236" s="1"/>
      <c r="B236" s="4" t="s">
        <v>436</v>
      </c>
      <c r="C236" s="9">
        <v>96</v>
      </c>
      <c r="D236" s="9">
        <v>115</v>
      </c>
      <c r="E236" s="9">
        <v>78</v>
      </c>
      <c r="F236" s="9">
        <v>252</v>
      </c>
      <c r="G236" s="9">
        <v>380</v>
      </c>
      <c r="H236" s="37">
        <f>C17</f>
        <v>78</v>
      </c>
      <c r="I236" s="13"/>
    </row>
    <row r="237" ht="24">
      <c r="A237" s="1"/>
      <c r="B237" s="4" t="s">
        <v>437</v>
      </c>
      <c r="C237" s="9">
        <v>52</v>
      </c>
      <c r="D237" s="9">
        <v>46</v>
      </c>
      <c r="E237" s="9">
        <v>36</v>
      </c>
      <c r="F237" s="9">
        <v>30</v>
      </c>
      <c r="G237" s="9">
        <v>174</v>
      </c>
      <c r="H237" s="37">
        <f>C20</f>
        <v>37</v>
      </c>
      <c r="I237" s="13"/>
    </row>
    <row r="238" ht="24">
      <c r="A238" s="1"/>
      <c r="B238" s="4" t="s">
        <v>438</v>
      </c>
      <c r="C238" s="22">
        <f>C236-C237</f>
        <v>44</v>
      </c>
      <c r="D238" s="22">
        <f>D236-D237</f>
        <v>69</v>
      </c>
      <c r="E238" s="22">
        <f>E236-E237</f>
        <v>42</v>
      </c>
      <c r="F238" s="22">
        <f>F236-F237</f>
        <v>222</v>
      </c>
      <c r="G238" s="22">
        <f>G236-G237</f>
        <v>206</v>
      </c>
      <c r="H238" s="37">
        <f>C23</f>
        <v>41</v>
      </c>
      <c r="I238" s="13"/>
    </row>
    <row r="239">
      <c r="A239" s="1"/>
      <c r="B239" s="1" t="s">
        <v>439</v>
      </c>
      <c r="C239" s="9">
        <v>7237</v>
      </c>
      <c r="D239" s="9">
        <v>7322</v>
      </c>
      <c r="E239" s="9">
        <v>6884</v>
      </c>
      <c r="F239" s="9">
        <v>6934</v>
      </c>
      <c r="G239" s="9">
        <v>28829</v>
      </c>
      <c r="H239" s="37">
        <f>C27</f>
        <v>7370</v>
      </c>
      <c r="I239" s="13"/>
    </row>
    <row r="240" ht="24">
      <c r="A240" s="1"/>
      <c r="B240" s="57" t="s">
        <v>440</v>
      </c>
      <c r="C240" s="11">
        <f>IFERROR(C239/C235,"n/a")</f>
        <v>0.7901517632929359</v>
      </c>
      <c r="D240" s="11">
        <f>IFERROR(D239/D235,"n/a")</f>
        <v>0.7886686772942697</v>
      </c>
      <c r="E240" s="11">
        <f>IFERROR(E239/E235,"n/a")</f>
        <v>0.8108362779740872</v>
      </c>
      <c r="F240" s="11">
        <f>IFERROR(F239/F235,"n/a")</f>
        <v>0.811373742101568</v>
      </c>
      <c r="G240" s="11">
        <f>IFERROR(G239/G235,"n/a")</f>
        <v>0.7944280636005401</v>
      </c>
      <c r="H240" s="50">
        <f>C30</f>
        <v>0.8254928315412187</v>
      </c>
      <c r="I240" s="13"/>
    </row>
    <row r="241" ht="45">
      <c r="A241" s="1"/>
      <c r="B241" s="4" t="s">
        <v>441</v>
      </c>
      <c r="C241" s="22">
        <f>C235-C239</f>
        <v>1922</v>
      </c>
      <c r="D241" s="22">
        <f>D235-D239</f>
        <v>1962</v>
      </c>
      <c r="E241" s="22">
        <f>E235-E239</f>
        <v>1606</v>
      </c>
      <c r="F241" s="22">
        <f>F235-F239</f>
        <v>1612</v>
      </c>
      <c r="G241" s="22">
        <f>G235-G239</f>
        <v>7460</v>
      </c>
      <c r="H241" s="37">
        <f>C33</f>
        <v>1558</v>
      </c>
      <c r="I241" s="13"/>
    </row>
    <row r="242" ht="24">
      <c r="A242" s="1"/>
      <c r="B242" s="57" t="s">
        <v>442</v>
      </c>
      <c r="C242" s="11">
        <f>IFERROR(C241/C235,"n/a")</f>
        <v>0.2098482367070641</v>
      </c>
      <c r="D242" s="11">
        <f>IFERROR(D241/D235,"n/a")</f>
        <v>0.2113313227057303</v>
      </c>
      <c r="E242" s="11">
        <f>IFERROR(E241/E235,"n/a")</f>
        <v>0.18916372202591283</v>
      </c>
      <c r="F242" s="11">
        <f>IFERROR(F241/F235,"n/a")</f>
        <v>0.18862625789843201</v>
      </c>
      <c r="G242" s="11">
        <f>IFERROR(G241/G235,"n/a")</f>
        <v>0.2055719363994599</v>
      </c>
      <c r="H242" s="50">
        <f>C36</f>
        <v>0.17450716845878136</v>
      </c>
      <c r="I242" s="13"/>
    </row>
    <row r="243" ht="24">
      <c r="A243" s="1"/>
      <c r="B243" s="4" t="s">
        <v>443</v>
      </c>
      <c r="C243" s="9">
        <v>187</v>
      </c>
      <c r="D243" s="9">
        <v>192</v>
      </c>
      <c r="E243" s="9">
        <v>172</v>
      </c>
      <c r="F243" s="9">
        <v>180</v>
      </c>
      <c r="G243" s="9">
        <v>749</v>
      </c>
      <c r="H243" s="37">
        <f>C39</f>
        <v>170</v>
      </c>
      <c r="I243" s="13"/>
    </row>
    <row r="244">
      <c r="A244" s="1"/>
      <c r="B244" s="15" t="s">
        <v>444</v>
      </c>
      <c r="C244" s="11">
        <f>IFERROR(C243/C235,"n/a")</f>
        <v>0.02041707610001092</v>
      </c>
      <c r="D244" s="11">
        <f>IFERROR(D243/D235,"n/a")</f>
        <v>0.02068074105988798</v>
      </c>
      <c r="E244" s="11">
        <f>IFERROR(E243/E235,"n/a")</f>
        <v>0.020259128386336867</v>
      </c>
      <c r="F244" s="11">
        <f>IFERROR(F243/F235,"n/a")</f>
        <v>0.021062485373274046</v>
      </c>
      <c r="G244" s="11">
        <f>IFERROR(G243/G235,"n/a")</f>
        <v>0.020639863319463197</v>
      </c>
      <c r="H244" s="50">
        <f>C42</f>
        <v>0.01904121863799283</v>
      </c>
      <c r="I244" s="13"/>
    </row>
    <row r="245" ht="24">
      <c r="A245" s="1"/>
      <c r="B245" s="4" t="s">
        <v>445</v>
      </c>
      <c r="C245" s="9">
        <v>90</v>
      </c>
      <c r="D245" s="9">
        <v>81</v>
      </c>
      <c r="E245" s="9">
        <v>96</v>
      </c>
      <c r="F245" s="9">
        <v>87</v>
      </c>
      <c r="G245" s="9">
        <v>385</v>
      </c>
      <c r="H245" s="37">
        <f>C45</f>
        <v>72</v>
      </c>
      <c r="I245" s="13"/>
    </row>
    <row r="246">
      <c r="A246" s="1"/>
      <c r="B246" s="15" t="s">
        <v>446</v>
      </c>
      <c r="C246" s="11">
        <f>IFERROR(C245/C235,"n/a")</f>
        <v>0.00982640026203734</v>
      </c>
      <c r="D246" s="11">
        <f>IFERROR(D245/D235,"n/a")</f>
        <v>0.008724687634640241</v>
      </c>
      <c r="E246" s="11">
        <f>IFERROR(E245/E235,"n/a")</f>
        <v>0.011307420494699646</v>
      </c>
      <c r="F246" s="11">
        <f>IFERROR(F245/F235,"n/a")</f>
        <v>0.010180201263749123</v>
      </c>
      <c r="G246" s="11">
        <f>IFERROR(G245/G235,"n/a")</f>
        <v>0.010609275538041831</v>
      </c>
      <c r="H246" s="50">
        <f>C48</f>
        <v>0.008064516129032258</v>
      </c>
      <c r="I246" s="13"/>
    </row>
    <row r="247" ht="24">
      <c r="A247" s="1"/>
      <c r="B247" s="4" t="s">
        <v>447</v>
      </c>
      <c r="C247" s="22">
        <f>C283</f>
        <v>33</v>
      </c>
      <c r="D247" s="22">
        <f>D283</f>
        <v>63</v>
      </c>
      <c r="E247" s="22">
        <f>E283</f>
        <v>48</v>
      </c>
      <c r="F247" s="22">
        <f>F283</f>
        <v>35</v>
      </c>
      <c r="G247" s="22">
        <f>G283</f>
        <v>123</v>
      </c>
      <c r="H247" s="37">
        <f>C51</f>
        <v>143</v>
      </c>
      <c r="I247" s="13"/>
    </row>
    <row r="248" ht="24">
      <c r="A248" s="1"/>
      <c r="B248" s="4" t="s">
        <v>448</v>
      </c>
      <c r="C248" s="22">
        <f>C284+C285</f>
        <v>65</v>
      </c>
      <c r="D248" s="22">
        <f>D284+D285</f>
        <v>61</v>
      </c>
      <c r="E248" s="22">
        <f>E284+E285</f>
        <v>158</v>
      </c>
      <c r="F248" s="22">
        <f>F284+F285</f>
        <v>66</v>
      </c>
      <c r="G248" s="22">
        <f>G284+G285</f>
        <v>237</v>
      </c>
      <c r="H248" s="37">
        <f>C54</f>
        <v>57</v>
      </c>
      <c r="I248" s="13"/>
    </row>
    <row r="249">
      <c r="A249" s="1"/>
      <c r="B249" s="1" t="s">
        <v>449</v>
      </c>
      <c r="C249" s="22">
        <f>C286+C287</f>
        <v>0</v>
      </c>
      <c r="D249" s="22">
        <f>D286+D287</f>
        <v>162</v>
      </c>
      <c r="E249" s="22">
        <f>E286+E287</f>
        <v>0</v>
      </c>
      <c r="F249" s="22">
        <f>F286+F287</f>
        <v>69</v>
      </c>
      <c r="G249" s="22">
        <f>G286+G287</f>
        <v>162</v>
      </c>
      <c r="H249" s="37">
        <f>C57</f>
        <v>52</v>
      </c>
      <c r="I249" s="13"/>
    </row>
    <row r="250">
      <c r="A250" s="1"/>
      <c r="B250" s="1" t="s">
        <v>450</v>
      </c>
      <c r="C250" s="9">
        <v>136</v>
      </c>
      <c r="D250" s="9">
        <v>131</v>
      </c>
      <c r="E250" s="9">
        <v>147</v>
      </c>
      <c r="F250" s="9">
        <v>142</v>
      </c>
      <c r="G250" s="9">
        <v>512</v>
      </c>
      <c r="H250" s="37">
        <f>C60</f>
        <v>142</v>
      </c>
      <c r="I250" s="13"/>
    </row>
    <row r="251" ht="24">
      <c r="A251" s="1"/>
      <c r="B251" s="4" t="s">
        <v>451</v>
      </c>
      <c r="C251" s="22">
        <f>C235+C236-C239-C243-C245-C247-C248-C249-C250</f>
        <v>1507</v>
      </c>
      <c r="D251" s="22">
        <f>D235+D236-D239-D243-D245-D247-D248-D249-D250</f>
        <v>1387</v>
      </c>
      <c r="E251" s="22">
        <f>E235+E236-E239-E243-E245-E247-E248-E249-E250</f>
        <v>1063</v>
      </c>
      <c r="F251" s="22">
        <f>F235+F236-F239-F243-F245-F247-F248-F249-F250</f>
        <v>1285</v>
      </c>
      <c r="G251" s="22">
        <f>G235+G236-G239-G243-G245-G247-G248-G249-G250</f>
        <v>5672</v>
      </c>
      <c r="H251" s="37">
        <f>C64</f>
        <v>1000</v>
      </c>
      <c r="I251" s="13"/>
    </row>
    <row r="252">
      <c r="A252" s="1"/>
      <c r="B252" s="15" t="s">
        <v>452</v>
      </c>
      <c r="C252" s="11">
        <f>IFERROR(C251/C235,"n/a")</f>
        <v>0.16453761327655858</v>
      </c>
      <c r="D252" s="11">
        <f>IFERROR(D251/D235,"n/a")</f>
        <v>0.14939681171908661</v>
      </c>
      <c r="E252" s="11">
        <f>IFERROR(E251/E235,"n/a")</f>
        <v>0.12520612485276797</v>
      </c>
      <c r="F252" s="11">
        <f>IFERROR(F251/F235,"n/a")</f>
        <v>0.15036274280365083</v>
      </c>
      <c r="G252" s="11">
        <f>IFERROR(G251/G235,"n/a")</f>
        <v>0.15630080740720328</v>
      </c>
      <c r="H252" s="50">
        <f>C67</f>
        <v>0.11200716845878136</v>
      </c>
      <c r="I252" s="13"/>
    </row>
    <row r="253">
      <c r="A253" s="1"/>
      <c r="B253" s="1" t="s">
        <v>453</v>
      </c>
      <c r="C253" s="9">
        <v>289</v>
      </c>
      <c r="D253" s="9">
        <v>269</v>
      </c>
      <c r="E253" s="9">
        <v>234</v>
      </c>
      <c r="F253" s="9">
        <v>237</v>
      </c>
      <c r="G253" s="9">
        <v>1093</v>
      </c>
      <c r="H253" s="37">
        <f>C70</f>
        <v>226</v>
      </c>
      <c r="I253" s="13"/>
    </row>
    <row r="254" ht="24">
      <c r="A254" s="1"/>
      <c r="B254" s="57" t="s">
        <v>454</v>
      </c>
      <c r="C254" s="11">
        <f>IFERROR(C253/C251,"n/a")</f>
        <v>0.19177173191771732</v>
      </c>
      <c r="D254" s="11">
        <f>IFERROR(D253/D251,"n/a")</f>
        <v>0.193943763518385</v>
      </c>
      <c r="E254" s="11">
        <f>IFERROR(E253/E251,"n/a")</f>
        <v>0.22013170272812793</v>
      </c>
      <c r="F254" s="11">
        <f>IFERROR(F253/F251,"n/a")</f>
        <v>0.18443579766536966</v>
      </c>
      <c r="G254" s="11">
        <f>IFERROR(G253/G251,"n/a")</f>
        <v>0.19270098730606489</v>
      </c>
      <c r="H254" s="50">
        <f>C73</f>
        <v>0.226</v>
      </c>
      <c r="I254" s="13"/>
    </row>
    <row r="255">
      <c r="A255" s="1"/>
      <c r="B255" s="1" t="s">
        <v>455</v>
      </c>
      <c r="C255" s="22">
        <f>C251-C253</f>
        <v>1218</v>
      </c>
      <c r="D255" s="22">
        <f>D251-D253</f>
        <v>1118</v>
      </c>
      <c r="E255" s="22">
        <f>E251-E253</f>
        <v>829</v>
      </c>
      <c r="F255" s="22">
        <f>F251-F253</f>
        <v>1048</v>
      </c>
      <c r="G255" s="22">
        <f>G251-G253</f>
        <v>4579</v>
      </c>
      <c r="H255" s="37">
        <f>C76</f>
        <v>774</v>
      </c>
      <c r="I255" s="13"/>
    </row>
    <row r="256" ht="34.5">
      <c r="A256" s="1"/>
      <c r="B256" s="4" t="s">
        <v>456</v>
      </c>
      <c r="C256" s="9">
        <v>32</v>
      </c>
      <c r="D256" s="9">
        <v>23</v>
      </c>
      <c r="E256" s="9">
        <v>32</v>
      </c>
      <c r="F256" s="9">
        <v>34</v>
      </c>
      <c r="G256" s="9">
        <v>118</v>
      </c>
      <c r="H256" s="37">
        <f>C79</f>
        <v>35</v>
      </c>
      <c r="I256" s="13"/>
    </row>
    <row r="257" ht="24">
      <c r="A257" s="1"/>
      <c r="B257" s="4" t="s">
        <v>457</v>
      </c>
      <c r="C257" s="22">
        <f>C255-C256</f>
        <v>1186</v>
      </c>
      <c r="D257" s="22">
        <f>D255-D256</f>
        <v>1095</v>
      </c>
      <c r="E257" s="22">
        <f>E255-E256</f>
        <v>797</v>
      </c>
      <c r="F257" s="22">
        <f>F255-F256</f>
        <v>1014</v>
      </c>
      <c r="G257" s="22">
        <f>G255-G256</f>
        <v>4461</v>
      </c>
      <c r="H257" s="37">
        <f>C83</f>
        <v>739</v>
      </c>
      <c r="I257" s="13"/>
    </row>
    <row r="258" ht="24">
      <c r="A258" s="1"/>
      <c r="B258" s="57" t="s">
        <v>458</v>
      </c>
      <c r="C258" s="11">
        <f>IFERROR(C257/C235,"n/a")</f>
        <v>0.1294901190086254</v>
      </c>
      <c r="D258" s="11">
        <f>IFERROR(D257/D235,"n/a")</f>
        <v>0.11794485135717363</v>
      </c>
      <c r="E258" s="11">
        <f>IFERROR(E257/E235,"n/a")</f>
        <v>0.09387514723203769</v>
      </c>
      <c r="F258" s="11">
        <f>IFERROR(F257/F235,"n/a")</f>
        <v>0.11865200093611046</v>
      </c>
      <c r="G258" s="11">
        <f>IFERROR(G257/G235,"n/a")</f>
        <v>0.12292981344208989</v>
      </c>
      <c r="H258" s="50">
        <f>C86</f>
        <v>0.08277329749103943</v>
      </c>
      <c r="I258" s="13"/>
    </row>
    <row r="259" ht="24">
      <c r="A259" s="1"/>
      <c r="B259" s="4" t="s">
        <v>459</v>
      </c>
      <c r="C259" s="9">
        <v>1432</v>
      </c>
      <c r="D259" s="9">
        <v>1420</v>
      </c>
      <c r="E259" s="9">
        <v>1380</v>
      </c>
      <c r="F259" s="9">
        <v>1366</v>
      </c>
      <c r="G259" s="9">
        <v>1436</v>
      </c>
      <c r="H259" s="37">
        <f>C90</f>
        <v>1488</v>
      </c>
      <c r="I259" s="13"/>
    </row>
    <row r="260" ht="24">
      <c r="A260" s="1"/>
      <c r="B260" s="4" t="s">
        <v>460</v>
      </c>
      <c r="C260" s="43">
        <f>C257/C259</f>
        <v>0.8282122905027933</v>
      </c>
      <c r="D260" s="43">
        <f>D257/D259</f>
        <v>0.7711267605633803</v>
      </c>
      <c r="E260" s="43">
        <f>E257/E259</f>
        <v>0.577536231884058</v>
      </c>
      <c r="F260" s="43">
        <f>F257/F259</f>
        <v>0.7423133235724744</v>
      </c>
      <c r="G260" s="43">
        <f>G257/G259</f>
        <v>3.1065459610027855</v>
      </c>
      <c r="H260" s="81">
        <f>C91</f>
        <v>0.49663978494623656</v>
      </c>
      <c r="I260" s="13"/>
    </row>
    <row r="261" ht="24">
      <c r="A261" s="1"/>
      <c r="B261" s="4" t="s">
        <v>461</v>
      </c>
      <c r="C261" s="16">
        <f>'Cash Flow Statement'!C142</f>
        <v>640</v>
      </c>
      <c r="D261" s="16">
        <f>'Cash Flow Statement'!D142</f>
        <v>648</v>
      </c>
      <c r="E261" s="16">
        <f>'Cash Flow Statement'!E142</f>
        <v>640</v>
      </c>
      <c r="F261" s="16">
        <f>'Cash Flow Statement'!F142</f>
        <v>633</v>
      </c>
      <c r="G261" s="16">
        <f>'Cash Flow Statement'!G142</f>
        <v>2519</v>
      </c>
      <c r="H261" s="37">
        <f>C97</f>
        <v>638</v>
      </c>
      <c r="I261" s="13"/>
    </row>
    <row r="262">
      <c r="A262" s="1"/>
      <c r="B262" s="15" t="s">
        <v>246</v>
      </c>
      <c r="C262" s="11">
        <f>IFERROR(C261/C235,"n/a")</f>
        <v>0.06987662408559886</v>
      </c>
      <c r="D262" s="11">
        <f>IFERROR(D261/D235,"n/a")</f>
        <v>0.06979750107712193</v>
      </c>
      <c r="E262" s="11">
        <f>IFERROR(E261/E235,"n/a")</f>
        <v>0.07538280329799764</v>
      </c>
      <c r="F262" s="11">
        <f>IFERROR(F261/F235,"n/a")</f>
        <v>0.07406974022934706</v>
      </c>
      <c r="G262" s="11">
        <f>IFERROR(G261/G235,"n/a")</f>
        <v>0.06941497423461655</v>
      </c>
      <c r="H262" s="50">
        <f>C100</f>
        <v>0.07146057347670251</v>
      </c>
      <c r="I262" s="13"/>
    </row>
    <row r="263" ht="24">
      <c r="A263" s="1"/>
      <c r="B263" s="4" t="s">
        <v>462</v>
      </c>
      <c r="C263" s="9">
        <v>394</v>
      </c>
      <c r="D263" s="9">
        <v>396</v>
      </c>
      <c r="E263" s="9">
        <v>397</v>
      </c>
      <c r="F263" s="9">
        <v>408</v>
      </c>
      <c r="G263" s="9">
        <v>1551</v>
      </c>
      <c r="H263" s="37">
        <f>C103</f>
        <v>453</v>
      </c>
      <c r="I263" s="13"/>
    </row>
    <row r="264" ht="24">
      <c r="A264" s="1"/>
      <c r="B264" s="4" t="s">
        <v>463</v>
      </c>
      <c r="C264" s="9">
        <v>87</v>
      </c>
      <c r="D264" s="9">
        <v>84</v>
      </c>
      <c r="E264" s="9">
        <v>82</v>
      </c>
      <c r="F264" s="9">
        <v>82</v>
      </c>
      <c r="G264" s="9">
        <v>334</v>
      </c>
      <c r="H264" s="37">
        <f>C106</f>
        <v>101</v>
      </c>
      <c r="I264" s="13"/>
    </row>
    <row r="265" ht="24">
      <c r="A265" s="1"/>
      <c r="B265" s="4" t="s">
        <v>464</v>
      </c>
      <c r="C265" s="9">
        <v>124</v>
      </c>
      <c r="D265" s="9">
        <v>126</v>
      </c>
      <c r="E265" s="9">
        <v>110</v>
      </c>
      <c r="F265" s="9">
        <v>115</v>
      </c>
      <c r="G265" s="9">
        <v>481</v>
      </c>
      <c r="H265" s="37">
        <f>C109</f>
        <v>60</v>
      </c>
      <c r="I265" s="13"/>
    </row>
    <row r="266" ht="34.5">
      <c r="A266" s="1"/>
      <c r="B266" s="4" t="s">
        <v>465</v>
      </c>
      <c r="C266" s="9">
        <v>35</v>
      </c>
      <c r="D266" s="9">
        <v>42</v>
      </c>
      <c r="E266" s="9">
        <v>51</v>
      </c>
      <c r="F266" s="9">
        <v>28</v>
      </c>
      <c r="G266" s="9">
        <v>153</v>
      </c>
      <c r="H266" s="37">
        <f>C112</f>
        <v>24</v>
      </c>
      <c r="I266" s="13"/>
    </row>
    <row r="267" ht="24">
      <c r="A267" s="1"/>
      <c r="B267" s="4" t="s">
        <v>466</v>
      </c>
      <c r="C267" s="16">
        <f>'Segment - Digital'!C132</f>
        <v>190</v>
      </c>
      <c r="D267" s="16">
        <f>'Segment - Digital'!D132</f>
        <v>242</v>
      </c>
      <c r="E267" s="16">
        <f>'Segment - Digital'!E132</f>
        <v>125</v>
      </c>
      <c r="F267" s="16">
        <f>'Segment - Digital'!F132</f>
        <v>153</v>
      </c>
      <c r="G267" s="16">
        <f>'Segment - Digital'!G132</f>
        <v>612</v>
      </c>
      <c r="H267" s="37">
        <f>C117</f>
        <v>187</v>
      </c>
      <c r="I267" s="13"/>
    </row>
    <row r="268" ht="24">
      <c r="A268" s="1"/>
      <c r="B268" s="4" t="s">
        <v>467</v>
      </c>
      <c r="C268" s="16">
        <f>'Segment - Reservoir Performance'!C83</f>
        <v>367</v>
      </c>
      <c r="D268" s="16">
        <f>'Segment - Reservoir Performance'!D83</f>
        <v>370</v>
      </c>
      <c r="E268" s="16">
        <f>'Segment - Reservoir Performance'!E83</f>
        <v>282</v>
      </c>
      <c r="F268" s="16">
        <f>'Segment - Reservoir Performance'!F83</f>
        <v>314</v>
      </c>
      <c r="G268" s="16">
        <f>'Segment - Reservoir Performance'!G83</f>
        <v>1452</v>
      </c>
      <c r="H268" s="37">
        <f>C119</f>
        <v>312</v>
      </c>
      <c r="I268" s="13"/>
    </row>
    <row r="269" ht="24">
      <c r="A269" s="1"/>
      <c r="B269" s="4" t="s">
        <v>468</v>
      </c>
      <c r="C269" s="16">
        <f>'Segment - Well Construction'!C83</f>
        <v>714</v>
      </c>
      <c r="D269" s="16">
        <f>'Segment - Well Construction'!D83</f>
        <v>681</v>
      </c>
      <c r="E269" s="16">
        <f>'Segment - Well Construction'!E83</f>
        <v>589</v>
      </c>
      <c r="F269" s="16">
        <f>'Segment - Well Construction'!F83</f>
        <v>551</v>
      </c>
      <c r="G269" s="16">
        <f>'Segment - Well Construction'!G83</f>
        <v>2826</v>
      </c>
      <c r="H269" s="37">
        <f>C121</f>
        <v>558</v>
      </c>
      <c r="I269" s="13"/>
    </row>
    <row r="270" ht="24">
      <c r="A270" s="1"/>
      <c r="B270" s="4" t="s">
        <v>469</v>
      </c>
      <c r="C270" s="16">
        <f>'Segment - Production Systems'!C108</f>
        <v>518</v>
      </c>
      <c r="D270" s="16">
        <f>'Segment - Production Systems'!D108</f>
        <v>509</v>
      </c>
      <c r="E270" s="16">
        <f>'Segment - Production Systems'!E108</f>
        <v>471</v>
      </c>
      <c r="F270" s="16">
        <f>'Segment - Production Systems'!F108</f>
        <v>491</v>
      </c>
      <c r="G270" s="16">
        <f>'Segment - Production Systems'!G108</f>
        <v>1900</v>
      </c>
      <c r="H270" s="37">
        <f>C123</f>
        <v>559</v>
      </c>
      <c r="I270" s="13"/>
    </row>
    <row r="271" ht="34.5">
      <c r="A271" s="1"/>
      <c r="B271" s="4" t="s">
        <v>470</v>
      </c>
      <c r="C271" s="16">
        <f>'Segment - All Other'!C76</f>
        <v>188</v>
      </c>
      <c r="D271" s="16">
        <f>'Segment - All Other'!D76</f>
        <v>187</v>
      </c>
      <c r="E271" s="16">
        <f>'Segment - All Other'!E76</f>
        <v>162</v>
      </c>
      <c r="F271" s="16">
        <f>'Segment - All Other'!F76</f>
        <v>155</v>
      </c>
      <c r="G271" s="16">
        <f>'Segment - All Other'!G76</f>
        <v>775</v>
      </c>
      <c r="H271" s="37">
        <f>C125</f>
        <v>96</v>
      </c>
      <c r="I271" s="13"/>
    </row>
    <row r="272" ht="24">
      <c r="A272" s="1"/>
      <c r="B272" s="4" t="s">
        <v>163</v>
      </c>
      <c r="C272" s="9">
        <v>-75</v>
      </c>
      <c r="D272" s="9">
        <v>-71</v>
      </c>
      <c r="E272" s="9">
        <v>-73</v>
      </c>
      <c r="F272" s="9">
        <v>-80</v>
      </c>
      <c r="G272" s="9">
        <v>-244</v>
      </c>
      <c r="H272" s="37">
        <f>C127</f>
        <v>-86</v>
      </c>
      <c r="I272" s="13"/>
    </row>
    <row r="273" ht="24">
      <c r="A273" s="1"/>
      <c r="B273" s="4" t="s">
        <v>243</v>
      </c>
      <c r="C273" s="22">
        <f>C267+C268+C269+C270+C271+C272</f>
        <v>1902</v>
      </c>
      <c r="D273" s="22">
        <f>D267+D268+D269+D270+D271+D272</f>
        <v>1918</v>
      </c>
      <c r="E273" s="22">
        <f>E267+E268+E269+E270+E271+E272</f>
        <v>1556</v>
      </c>
      <c r="F273" s="22">
        <f>F267+F268+F269+F270+F271+F272</f>
        <v>1584</v>
      </c>
      <c r="G273" s="22">
        <f>G267+G268+G269+G270+G271+G272</f>
        <v>7321</v>
      </c>
      <c r="H273" s="37">
        <f>C131</f>
        <v>1626</v>
      </c>
      <c r="I273" s="13"/>
    </row>
    <row r="274" ht="34.5">
      <c r="A274" s="1"/>
      <c r="B274" s="57" t="s">
        <v>471</v>
      </c>
      <c r="C274" s="11">
        <f>IFERROR(C273/C235,"n/a")</f>
        <v>0.20766459220438913</v>
      </c>
      <c r="D274" s="11">
        <f>IFERROR(D273/D235,"n/a")</f>
        <v>0.2065919862128393</v>
      </c>
      <c r="E274" s="11">
        <f>IFERROR(E273/E235,"n/a")</f>
        <v>0.18327444051825678</v>
      </c>
      <c r="F274" s="11">
        <f>IFERROR(F273/F235,"n/a")</f>
        <v>0.18534987128481162</v>
      </c>
      <c r="G274" s="11">
        <f>IFERROR(G273/G235,"n/a")</f>
        <v>0.2017415745818292</v>
      </c>
      <c r="H274" s="50">
        <f>C134</f>
        <v>0.1821236559139785</v>
      </c>
      <c r="I274" s="13"/>
    </row>
    <row r="275" ht="24">
      <c r="A275" s="1"/>
      <c r="B275" s="4" t="s">
        <v>472</v>
      </c>
      <c r="C275" s="9">
        <v>-187</v>
      </c>
      <c r="D275" s="9">
        <v>-177</v>
      </c>
      <c r="E275" s="9">
        <v>-179</v>
      </c>
      <c r="F275" s="9">
        <v>-169</v>
      </c>
      <c r="G275" s="9">
        <v>-744</v>
      </c>
      <c r="H275" s="37">
        <f>C137</f>
        <v>-203</v>
      </c>
      <c r="I275" s="13"/>
    </row>
    <row r="276" ht="24">
      <c r="A276" s="1"/>
      <c r="B276" s="4" t="s">
        <v>473</v>
      </c>
      <c r="C276" s="9">
        <v>36</v>
      </c>
      <c r="D276" s="9">
        <v>36</v>
      </c>
      <c r="E276" s="9">
        <v>36</v>
      </c>
      <c r="F276" s="9">
        <v>30</v>
      </c>
      <c r="G276" s="9">
        <v>134</v>
      </c>
      <c r="H276" s="37">
        <f>C140</f>
        <v>37</v>
      </c>
      <c r="I276" s="13"/>
    </row>
    <row r="277" ht="24">
      <c r="A277" s="1"/>
      <c r="B277" s="4" t="s">
        <v>474</v>
      </c>
      <c r="C277" s="9">
        <v>132</v>
      </c>
      <c r="D277" s="9">
        <v>128</v>
      </c>
      <c r="E277" s="9">
        <v>144</v>
      </c>
      <c r="F277" s="9">
        <v>139</v>
      </c>
      <c r="G277" s="9">
        <v>498</v>
      </c>
      <c r="H277" s="37">
        <f>C143</f>
        <v>142</v>
      </c>
      <c r="I277" s="13"/>
    </row>
    <row r="278">
      <c r="A278" s="1"/>
      <c r="B278" s="1" t="s">
        <v>475</v>
      </c>
      <c r="C278" s="22"/>
      <c r="D278" s="22"/>
      <c r="E278" s="9">
        <v>70</v>
      </c>
      <c r="F278" s="9">
        <v>71</v>
      </c>
      <c r="G278" s="9">
        <v>286</v>
      </c>
      <c r="H278" s="37">
        <f>C151</f>
        <v>73</v>
      </c>
      <c r="I278" s="13"/>
    </row>
    <row r="279" ht="34.5">
      <c r="A279" s="1"/>
      <c r="B279" s="4" t="s">
        <v>476</v>
      </c>
      <c r="C279" s="22"/>
      <c r="D279" s="22"/>
      <c r="E279" s="9">
        <v>1</v>
      </c>
      <c r="F279" s="9">
        <v>-1</v>
      </c>
      <c r="G279" s="9">
        <v>-6</v>
      </c>
      <c r="H279" s="37">
        <f>C154</f>
        <v>0</v>
      </c>
      <c r="I279" s="13"/>
    </row>
    <row r="280">
      <c r="A280" s="1"/>
      <c r="B280" s="1" t="s">
        <v>477</v>
      </c>
      <c r="C280" s="22"/>
      <c r="D280" s="22"/>
      <c r="E280" s="9">
        <v>45</v>
      </c>
      <c r="F280" s="9">
        <v>45</v>
      </c>
      <c r="G280" s="9">
        <v>178</v>
      </c>
      <c r="H280" s="37">
        <f>C158</f>
        <v>64</v>
      </c>
      <c r="I280" s="13"/>
    </row>
    <row r="281">
      <c r="A281" s="1"/>
      <c r="B281" s="1" t="s">
        <v>248</v>
      </c>
      <c r="C281" s="22">
        <f>C251+C290+C261+C250-C237</f>
        <v>2343</v>
      </c>
      <c r="D281" s="22">
        <f>D251+D290+D261+D250-D237</f>
        <v>2382</v>
      </c>
      <c r="E281" s="22">
        <f>E251+E290+E261+E250-E237</f>
        <v>2020</v>
      </c>
      <c r="F281" s="22">
        <f>F251+F290+F261+F250-F237</f>
        <v>2051</v>
      </c>
      <c r="G281" s="22">
        <f>G251+G290+G261+G250-G237</f>
        <v>9070</v>
      </c>
      <c r="H281" s="37">
        <f>C164</f>
        <v>2061</v>
      </c>
      <c r="I281" s="13"/>
    </row>
    <row r="282" ht="24">
      <c r="A282" s="1"/>
      <c r="B282" s="57" t="s">
        <v>249</v>
      </c>
      <c r="C282" s="11">
        <f>IFERROR(C281/C235,"n/a")</f>
        <v>0.2558139534883721</v>
      </c>
      <c r="D282" s="11">
        <f>IFERROR(D281/D235,"n/a")</f>
        <v>0.25657044377423527</v>
      </c>
      <c r="E282" s="11">
        <f>IFERROR(E281/E235,"n/a")</f>
        <v>0.23792697290930506</v>
      </c>
      <c r="F282" s="11">
        <f>IFERROR(F281/F235,"n/a")</f>
        <v>0.23999531944769484</v>
      </c>
      <c r="G282" s="11">
        <f>IFERROR(G281/G235,"n/a")</f>
        <v>0.2499379977403621</v>
      </c>
      <c r="H282" s="50">
        <f>C167</f>
        <v>0.23084677419354838</v>
      </c>
      <c r="I282" s="13"/>
    </row>
    <row r="283" ht="45">
      <c r="A283" s="1"/>
      <c r="B283" s="4" t="s">
        <v>478</v>
      </c>
      <c r="C283" s="9">
        <v>33</v>
      </c>
      <c r="D283" s="9">
        <v>63</v>
      </c>
      <c r="E283" s="9">
        <v>48</v>
      </c>
      <c r="F283" s="9">
        <v>35</v>
      </c>
      <c r="G283" s="9">
        <v>123</v>
      </c>
      <c r="H283" s="37">
        <f>C173</f>
        <v>143</v>
      </c>
      <c r="I283" s="13"/>
    </row>
    <row r="284" ht="24">
      <c r="A284" s="1"/>
      <c r="B284" s="4" t="s">
        <v>479</v>
      </c>
      <c r="C284" s="9">
        <v>65</v>
      </c>
      <c r="D284" s="9">
        <v>61</v>
      </c>
      <c r="E284" s="9">
        <v>158</v>
      </c>
      <c r="F284" s="9">
        <v>66</v>
      </c>
      <c r="G284" s="9">
        <v>237</v>
      </c>
      <c r="H284" s="37">
        <f>C176</f>
        <v>57</v>
      </c>
      <c r="I284" s="13"/>
    </row>
    <row r="285" ht="24">
      <c r="A285" s="1"/>
      <c r="B285" s="4" t="s">
        <v>480</v>
      </c>
      <c r="C285" s="9">
        <v>0</v>
      </c>
      <c r="D285" s="9">
        <v>0</v>
      </c>
      <c r="E285" s="9">
        <v>0</v>
      </c>
      <c r="F285" s="9">
        <v>0</v>
      </c>
      <c r="G285" s="9">
        <v>0</v>
      </c>
      <c r="H285" s="37">
        <f>C179</f>
        <v>0</v>
      </c>
      <c r="I285" s="13"/>
    </row>
    <row r="286" ht="24">
      <c r="A286" s="1"/>
      <c r="B286" s="4" t="s">
        <v>481</v>
      </c>
      <c r="C286" s="9">
        <v>0</v>
      </c>
      <c r="D286" s="9">
        <v>0</v>
      </c>
      <c r="E286" s="9">
        <v>0</v>
      </c>
      <c r="F286" s="9">
        <v>69</v>
      </c>
      <c r="G286" s="9">
        <v>0</v>
      </c>
      <c r="H286" s="37">
        <f>C182</f>
        <v>52</v>
      </c>
      <c r="I286" s="13"/>
    </row>
    <row r="287" ht="24">
      <c r="A287" s="1"/>
      <c r="B287" s="4" t="s">
        <v>482</v>
      </c>
      <c r="C287" s="9">
        <v>0</v>
      </c>
      <c r="D287" s="9">
        <v>162</v>
      </c>
      <c r="E287" s="9">
        <v>0</v>
      </c>
      <c r="F287" s="9">
        <v>0</v>
      </c>
      <c r="G287" s="9">
        <v>162</v>
      </c>
      <c r="H287" s="37">
        <f>C185</f>
        <v>0</v>
      </c>
      <c r="I287" s="13"/>
    </row>
    <row r="288" ht="45">
      <c r="A288" s="1"/>
      <c r="B288" s="4" t="s">
        <v>483</v>
      </c>
      <c r="C288" s="9">
        <v>14</v>
      </c>
      <c r="D288" s="9">
        <v>0</v>
      </c>
      <c r="E288" s="9">
        <v>0</v>
      </c>
      <c r="F288" s="9">
        <v>0</v>
      </c>
      <c r="G288" s="9">
        <v>43</v>
      </c>
      <c r="H288" s="37">
        <f>C188</f>
        <v>66</v>
      </c>
      <c r="I288" s="13"/>
    </row>
    <row r="289" ht="34.5">
      <c r="A289" s="1"/>
      <c r="B289" s="4" t="s">
        <v>484</v>
      </c>
      <c r="C289" s="9">
        <v>0</v>
      </c>
      <c r="D289" s="9">
        <v>-24</v>
      </c>
      <c r="E289" s="9">
        <v>0</v>
      </c>
      <c r="F289" s="9">
        <v>-149</v>
      </c>
      <c r="G289" s="9">
        <v>-24</v>
      </c>
      <c r="H289" s="37">
        <f>C191</f>
        <v>0</v>
      </c>
      <c r="I289" s="13"/>
    </row>
    <row r="290" ht="24">
      <c r="A290" s="1"/>
      <c r="B290" s="4" t="s">
        <v>485</v>
      </c>
      <c r="C290" s="22">
        <f>C283+C284+C285+C286+C287+C288+C289</f>
        <v>112</v>
      </c>
      <c r="D290" s="22">
        <f>D283+D284+D285+D286+D287+D288+D289</f>
        <v>262</v>
      </c>
      <c r="E290" s="22">
        <f>E283+E284+E285+E286+E287+E288+E289</f>
        <v>206</v>
      </c>
      <c r="F290" s="22">
        <f>F283+F284+F285+F286+F287+F288+F289</f>
        <v>21</v>
      </c>
      <c r="G290" s="22">
        <f>G283+G284+G285+G286+G287+G288+G289</f>
        <v>541</v>
      </c>
      <c r="H290" s="37">
        <f>C194</f>
        <v>318</v>
      </c>
      <c r="I290" s="13"/>
    </row>
    <row r="291" ht="24">
      <c r="A291" s="1"/>
      <c r="B291" s="4" t="s">
        <v>486</v>
      </c>
      <c r="C291" s="9">
        <v>20</v>
      </c>
      <c r="D291" s="9">
        <v>39</v>
      </c>
      <c r="E291" s="9">
        <v>11</v>
      </c>
      <c r="F291" s="9">
        <v>15</v>
      </c>
      <c r="G291" s="9">
        <v>87</v>
      </c>
      <c r="H291" s="37">
        <f>C197</f>
        <v>27</v>
      </c>
      <c r="I291" s="13"/>
    </row>
    <row r="292" ht="45">
      <c r="A292" s="1"/>
      <c r="B292" s="4" t="s">
        <v>487</v>
      </c>
      <c r="C292" s="9">
        <v>0</v>
      </c>
      <c r="D292" s="9">
        <v>0</v>
      </c>
      <c r="E292" s="9">
        <v>0</v>
      </c>
      <c r="F292" s="9">
        <v>0</v>
      </c>
      <c r="G292" s="9">
        <v>0</v>
      </c>
      <c r="H292" s="37">
        <f>C200</f>
        <v>0</v>
      </c>
      <c r="I292" s="13"/>
    </row>
    <row r="293" ht="34.5">
      <c r="A293" s="1"/>
      <c r="B293" s="4" t="s">
        <v>488</v>
      </c>
      <c r="C293" s="9">
        <v>7</v>
      </c>
      <c r="D293" s="9">
        <v>7</v>
      </c>
      <c r="E293" s="9">
        <v>4</v>
      </c>
      <c r="F293" s="9">
        <v>4</v>
      </c>
      <c r="G293" s="9">
        <v>27</v>
      </c>
      <c r="H293" s="37">
        <f>C203</f>
        <v>3</v>
      </c>
      <c r="I293" s="13"/>
    </row>
    <row r="294" ht="34.5">
      <c r="A294" s="1"/>
      <c r="B294" s="4" t="s">
        <v>489</v>
      </c>
      <c r="C294" s="22">
        <f>C257+C290-C291-C292-C293</f>
        <v>1271</v>
      </c>
      <c r="D294" s="22">
        <f>D257+D290-D291-D292-D293</f>
        <v>1311</v>
      </c>
      <c r="E294" s="22">
        <f>E257+E290-E291-E292-E293</f>
        <v>988</v>
      </c>
      <c r="F294" s="22">
        <f>F257+F290-F291-F292-F293</f>
        <v>1016</v>
      </c>
      <c r="G294" s="22">
        <f>G257+G290-G291-G292-G293</f>
        <v>4888</v>
      </c>
      <c r="H294" s="37">
        <f>C206</f>
        <v>1027</v>
      </c>
      <c r="I294" s="13"/>
    </row>
    <row r="295" ht="24">
      <c r="A295" s="1"/>
      <c r="B295" s="57" t="s">
        <v>490</v>
      </c>
      <c r="C295" s="11">
        <f>IFERROR(C294/C235,"n/a")</f>
        <v>0.138770608144994</v>
      </c>
      <c r="D295" s="11">
        <f>IFERROR(D294/D235,"n/a")</f>
        <v>0.14121068504954762</v>
      </c>
      <c r="E295" s="11">
        <f>IFERROR(E294/E235,"n/a")</f>
        <v>0.11637220259128386</v>
      </c>
      <c r="F295" s="11">
        <f>IFERROR(F294/F235,"n/a")</f>
        <v>0.11888602855136907</v>
      </c>
      <c r="G295" s="11">
        <f>IFERROR(G294/G235,"n/a")</f>
        <v>0.13469646449337264</v>
      </c>
      <c r="H295" s="50">
        <f>C209</f>
        <v>0.11503136200716846</v>
      </c>
      <c r="I295" s="13"/>
    </row>
    <row r="296" ht="24">
      <c r="A296" s="1"/>
      <c r="B296" s="4" t="s">
        <v>491</v>
      </c>
      <c r="C296" s="43">
        <f>C294/C259</f>
        <v>0.8875698324022346</v>
      </c>
      <c r="D296" s="43">
        <f>D294/D259</f>
        <v>0.9232394366197183</v>
      </c>
      <c r="E296" s="43">
        <f>E294/E259</f>
        <v>0.7159420289855073</v>
      </c>
      <c r="F296" s="43">
        <f>F294/F259</f>
        <v>0.7437774524158126</v>
      </c>
      <c r="G296" s="43">
        <f>G294/G259</f>
        <v>3.403899721448468</v>
      </c>
      <c r="H296" s="81">
        <f>C212</f>
        <v>0.6901881720430108</v>
      </c>
      <c r="I296" s="13"/>
    </row>
    <row r="297" ht="24">
      <c r="A297" s="1"/>
      <c r="B297" s="4" t="s">
        <v>492</v>
      </c>
      <c r="C297" s="22">
        <f>C251+C290</f>
        <v>1619</v>
      </c>
      <c r="D297" s="22">
        <f>D251+D290</f>
        <v>1649</v>
      </c>
      <c r="E297" s="22">
        <f>E251+E290</f>
        <v>1269</v>
      </c>
      <c r="F297" s="22">
        <f>F251+F290</f>
        <v>1306</v>
      </c>
      <c r="G297" s="22">
        <f>G251+G290</f>
        <v>6213</v>
      </c>
      <c r="H297" s="37">
        <f>C220</f>
        <v>1318</v>
      </c>
      <c r="I297" s="13"/>
    </row>
    <row r="298">
      <c r="A298" s="1"/>
      <c r="B298" s="1" t="s">
        <v>493</v>
      </c>
      <c r="C298" s="22">
        <f>C253+C291+C292</f>
        <v>309</v>
      </c>
      <c r="D298" s="22">
        <f>D253+D291+D292</f>
        <v>308</v>
      </c>
      <c r="E298" s="22">
        <f>E253+E291+E292</f>
        <v>245</v>
      </c>
      <c r="F298" s="22">
        <f>F253+F291+F292</f>
        <v>252</v>
      </c>
      <c r="G298" s="22">
        <f>G253+G291+G292</f>
        <v>1180</v>
      </c>
      <c r="H298" s="37">
        <f>C223</f>
        <v>253</v>
      </c>
      <c r="I298" s="13"/>
    </row>
    <row r="299">
      <c r="A299" s="1"/>
      <c r="B299" s="15" t="s">
        <v>494</v>
      </c>
      <c r="C299" s="11">
        <f>(C253+C291+C292)/(C251+C290)</f>
        <v>0.19085855466337245</v>
      </c>
      <c r="D299" s="11">
        <f>(D253+D291+D292)/(D251+D290)</f>
        <v>0.18677986658580958</v>
      </c>
      <c r="E299" s="11">
        <f>(E253+E291+E292)/(E251+E290)</f>
        <v>0.19306540583136328</v>
      </c>
      <c r="F299" s="11">
        <f>(F253+F291+F292)/(F251+F290)</f>
        <v>0.19295558958652373</v>
      </c>
      <c r="G299" s="11">
        <f>(G253+G291+G292)/(G251+G290)</f>
        <v>0.1899243521648157</v>
      </c>
      <c r="H299" s="50">
        <f>C226</f>
        <v>0.19195751138088013</v>
      </c>
      <c r="I299" s="13"/>
    </row>
    <row r="300">
      <c r="A300" s="1"/>
      <c r="B300" s="1" t="s">
        <v>495</v>
      </c>
      <c r="C300" s="22">
        <f>C256+C293</f>
        <v>39</v>
      </c>
      <c r="D300" s="22">
        <f>D256+D293</f>
        <v>30</v>
      </c>
      <c r="E300" s="22">
        <f>E256+E293</f>
        <v>36</v>
      </c>
      <c r="F300" s="22">
        <f>F256+F293</f>
        <v>38</v>
      </c>
      <c r="G300" s="22">
        <f>G256+G293</f>
        <v>145</v>
      </c>
      <c r="H300" s="37">
        <f>C229</f>
        <v>38</v>
      </c>
      <c r="I300" s="13"/>
    </row>
    <row r="301">
      <c r="A301" s="1"/>
      <c r="B301" s="1"/>
      <c r="C301" s="1"/>
      <c r="D301" s="1"/>
      <c r="E301" s="1"/>
      <c r="F301" s="1"/>
      <c r="G301" s="1"/>
      <c r="H301" s="1"/>
      <c r="I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6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51" t="s">
        <v>1</v>
      </c>
      <c r="C2" s="1"/>
      <c r="D2" s="1"/>
      <c r="E2" s="1"/>
      <c r="F2" s="1"/>
      <c r="G2" s="1"/>
      <c r="H2" s="1"/>
      <c r="I2" s="1"/>
    </row>
    <row r="3">
      <c r="A3" s="1"/>
      <c r="B3" s="33" t="s">
        <v>496</v>
      </c>
      <c r="C3" s="1"/>
      <c r="D3" s="1"/>
      <c r="E3" s="1"/>
      <c r="F3" s="1"/>
      <c r="G3" s="1"/>
      <c r="H3" s="1"/>
      <c r="I3" s="1"/>
    </row>
    <row r="4">
      <c r="A4" s="1"/>
      <c r="B4" s="15" t="s">
        <v>3</v>
      </c>
      <c r="C4" s="1"/>
      <c r="D4" s="1"/>
      <c r="E4" s="1"/>
      <c r="F4" s="1"/>
      <c r="G4" s="1"/>
      <c r="H4" s="1"/>
      <c r="I4" s="1"/>
    </row>
    <row r="5">
      <c r="A5" s="1"/>
      <c r="B5" s="4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58" t="s">
        <v>10</v>
      </c>
      <c r="I5" s="46" t="s">
        <v>99</v>
      </c>
    </row>
    <row r="6">
      <c r="A6" s="1"/>
      <c r="B6" s="34" t="s">
        <v>11</v>
      </c>
      <c r="C6" s="18">
        <f>DATE(2025,9,30)</f>
        <v>45930</v>
      </c>
      <c r="D6" s="18">
        <f>DATE(2025,12,31)</f>
        <v>46022</v>
      </c>
      <c r="E6" s="18">
        <f>DATE(2026,3,31)</f>
        <v>46112</v>
      </c>
      <c r="F6" s="18">
        <f>DATE(2026,6,30)</f>
        <v>46203</v>
      </c>
      <c r="G6" s="18">
        <f>DATE(2025,12,31)</f>
        <v>46022</v>
      </c>
      <c r="H6" s="55">
        <f>DATE(2026,9,30)</f>
        <v>46295</v>
      </c>
      <c r="I6" s="34"/>
    </row>
    <row r="7">
      <c r="A7" s="1"/>
      <c r="B7" s="12" t="s">
        <v>12</v>
      </c>
      <c r="C7" s="6">
        <f>C6-EOMONTH(C6,-3)</f>
        <v>92</v>
      </c>
      <c r="D7" s="6">
        <f>D6-EOMONTH(D6,-3)</f>
        <v>92</v>
      </c>
      <c r="E7" s="6">
        <f>E6-EOMONTH(E6,-3)</f>
        <v>90</v>
      </c>
      <c r="F7" s="6">
        <f>F6-EOMONTH(F6,-3)</f>
        <v>91</v>
      </c>
      <c r="G7" s="6">
        <f>G6-EOMONTH(G6,-12)</f>
        <v>365</v>
      </c>
      <c r="H7" s="17">
        <f>H6-EOMONTH(H6,-3)</f>
        <v>92</v>
      </c>
      <c r="I7" s="12"/>
    </row>
    <row r="8">
      <c r="A8" s="1"/>
      <c r="B8" s="1"/>
      <c r="C8" s="1"/>
      <c r="D8" s="1"/>
      <c r="E8" s="1"/>
      <c r="F8" s="1"/>
      <c r="G8" s="1"/>
      <c r="H8" s="53"/>
      <c r="I8" s="1"/>
    </row>
    <row r="9">
      <c r="A9" s="1"/>
      <c r="B9" s="41" t="s">
        <v>497</v>
      </c>
      <c r="C9" s="1"/>
      <c r="D9" s="1"/>
      <c r="E9" s="1"/>
      <c r="F9" s="1"/>
      <c r="G9" s="1"/>
      <c r="H9" s="53"/>
      <c r="I9" s="13"/>
    </row>
    <row r="10">
      <c r="A10" s="1"/>
      <c r="B10" s="1" t="s">
        <v>498</v>
      </c>
      <c r="C10" s="16">
        <f>Inputs!$D$156</f>
        <v>3014</v>
      </c>
      <c r="D10" s="16">
        <f>Inputs!$E$156</f>
        <v>3036</v>
      </c>
      <c r="E10" s="16">
        <f>Inputs!$F$156</f>
        <v>2819</v>
      </c>
      <c r="F10" s="16">
        <f>Inputs!$G$156</f>
        <v>2743</v>
      </c>
      <c r="G10" s="22">
        <f>D10</f>
        <v>3036</v>
      </c>
      <c r="H10" s="73">
        <f>'Cash Flow Statement'!H116</f>
        <v>2884.3454213900004</v>
      </c>
      <c r="I10" s="13"/>
    </row>
    <row r="11">
      <c r="A11" s="1"/>
      <c r="B11" s="15" t="s">
        <v>130</v>
      </c>
      <c r="C11" s="5">
        <f>C10-C128</f>
        <v>-72</v>
      </c>
      <c r="D11" s="5">
        <f>D10-D128</f>
        <v>-508</v>
      </c>
      <c r="E11" s="5">
        <f>E10-E128</f>
        <v>-117</v>
      </c>
      <c r="F11" s="5">
        <f>F10-F128</f>
        <v>-493</v>
      </c>
      <c r="G11" s="5">
        <f>G10-G128</f>
        <v>-508</v>
      </c>
      <c r="H11" s="21">
        <f>H10-H128</f>
        <v>-129.6545786099996</v>
      </c>
      <c r="I11" s="13"/>
    </row>
    <row r="12">
      <c r="A12" s="1"/>
      <c r="B12" s="15" t="s">
        <v>131</v>
      </c>
      <c r="C12" s="5">
        <f>C10-F128</f>
        <v>-222</v>
      </c>
      <c r="D12" s="5">
        <f>D10-C10</f>
        <v>22</v>
      </c>
      <c r="E12" s="5">
        <f>E10-D10</f>
        <v>-217</v>
      </c>
      <c r="F12" s="5">
        <f>F10-E10</f>
        <v>-76</v>
      </c>
      <c r="G12" s="5" t="s">
        <v>44</v>
      </c>
      <c r="H12" s="21">
        <f>H10-F10</f>
        <v>141.3454213900004</v>
      </c>
      <c r="I12" s="13"/>
    </row>
    <row r="13">
      <c r="A13" s="1"/>
      <c r="B13" s="1" t="s">
        <v>499</v>
      </c>
      <c r="C13" s="9">
        <v>571</v>
      </c>
      <c r="D13" s="9">
        <v>1176</v>
      </c>
      <c r="E13" s="9">
        <v>568</v>
      </c>
      <c r="F13" s="9">
        <v>1328</v>
      </c>
      <c r="G13" s="22">
        <f>D13</f>
        <v>1176</v>
      </c>
      <c r="H13" s="73">
        <f>F13-'Cash Flow Statement'!H72</f>
        <v>1328</v>
      </c>
      <c r="I13" s="13"/>
    </row>
    <row r="14">
      <c r="A14" s="1"/>
      <c r="B14" s="15" t="s">
        <v>130</v>
      </c>
      <c r="C14" s="5">
        <f>C13-C129</f>
        <v>-805</v>
      </c>
      <c r="D14" s="5">
        <f>D13-D129</f>
        <v>51</v>
      </c>
      <c r="E14" s="5">
        <f>E13-E129</f>
        <v>-393</v>
      </c>
      <c r="F14" s="5">
        <f>F13-F129</f>
        <v>817</v>
      </c>
      <c r="G14" s="5">
        <f>G13-G129</f>
        <v>51</v>
      </c>
      <c r="H14" s="21">
        <f>H13-H129</f>
        <v>757</v>
      </c>
      <c r="I14" s="13"/>
    </row>
    <row r="15">
      <c r="A15" s="1"/>
      <c r="B15" s="15" t="s">
        <v>131</v>
      </c>
      <c r="C15" s="5">
        <f>C13-F129</f>
        <v>60</v>
      </c>
      <c r="D15" s="5">
        <f>D13-C13</f>
        <v>605</v>
      </c>
      <c r="E15" s="5">
        <f>E13-D13</f>
        <v>-608</v>
      </c>
      <c r="F15" s="5">
        <f>F13-E13</f>
        <v>760</v>
      </c>
      <c r="G15" s="5" t="s">
        <v>44</v>
      </c>
      <c r="H15" s="21">
        <f>H13-F13</f>
        <v>0</v>
      </c>
      <c r="I15" s="13"/>
    </row>
    <row r="16">
      <c r="A16" s="1"/>
      <c r="B16" s="1" t="s">
        <v>500</v>
      </c>
      <c r="C16" s="9">
        <v>9101</v>
      </c>
      <c r="D16" s="9">
        <v>8689</v>
      </c>
      <c r="E16" s="9">
        <v>9037</v>
      </c>
      <c r="F16" s="9">
        <v>9132</v>
      </c>
      <c r="G16" s="22">
        <f>D16</f>
        <v>8689</v>
      </c>
      <c r="H16" s="37">
        <f>H112*H114/H111</f>
        <v>9268.006513999999</v>
      </c>
      <c r="I16" s="13"/>
    </row>
    <row r="17">
      <c r="A17" s="1"/>
      <c r="B17" s="15" t="s">
        <v>130</v>
      </c>
      <c r="C17" s="5">
        <f>C16-C130</f>
        <v>841</v>
      </c>
      <c r="D17" s="5">
        <f>D16-D130</f>
        <v>678</v>
      </c>
      <c r="E17" s="5">
        <f>E16-E130</f>
        <v>433</v>
      </c>
      <c r="F17" s="5">
        <f>F16-F130</f>
        <v>546</v>
      </c>
      <c r="G17" s="5">
        <f>G16-G130</f>
        <v>678</v>
      </c>
      <c r="H17" s="21">
        <f>H16-H130</f>
        <v>167.0065139999988</v>
      </c>
      <c r="I17" s="13"/>
    </row>
    <row r="18">
      <c r="A18" s="1"/>
      <c r="B18" s="15" t="s">
        <v>131</v>
      </c>
      <c r="C18" s="5">
        <f>C16-F130</f>
        <v>515</v>
      </c>
      <c r="D18" s="5">
        <f>D16-C16</f>
        <v>-412</v>
      </c>
      <c r="E18" s="5">
        <f>E16-D16</f>
        <v>348</v>
      </c>
      <c r="F18" s="5">
        <f>F16-E16</f>
        <v>95</v>
      </c>
      <c r="G18" s="5" t="s">
        <v>44</v>
      </c>
      <c r="H18" s="21">
        <f>H16-F16</f>
        <v>136.0065139999988</v>
      </c>
      <c r="I18" s="13"/>
    </row>
    <row r="19">
      <c r="A19" s="1"/>
      <c r="B19" s="1" t="s">
        <v>501</v>
      </c>
      <c r="C19" s="9">
        <v>5321</v>
      </c>
      <c r="D19" s="9">
        <v>5032</v>
      </c>
      <c r="E19" s="9">
        <v>5274</v>
      </c>
      <c r="F19" s="9">
        <v>5436</v>
      </c>
      <c r="G19" s="22">
        <f>D19</f>
        <v>5032</v>
      </c>
      <c r="H19" s="37">
        <f>H113*H117/H111</f>
        <v>5392.640447999999</v>
      </c>
      <c r="I19" s="13"/>
    </row>
    <row r="20">
      <c r="A20" s="1"/>
      <c r="B20" s="15" t="s">
        <v>130</v>
      </c>
      <c r="C20" s="5">
        <f>C19-C131</f>
        <v>748</v>
      </c>
      <c r="D20" s="5">
        <f>D19-D131</f>
        <v>657</v>
      </c>
      <c r="E20" s="5">
        <f>E19-E131</f>
        <v>624</v>
      </c>
      <c r="F20" s="5">
        <f>F19-F131</f>
        <v>696</v>
      </c>
      <c r="G20" s="5">
        <f>G19-G131</f>
        <v>657</v>
      </c>
      <c r="H20" s="21">
        <f>H19-H131</f>
        <v>71.6404479999992</v>
      </c>
      <c r="I20" s="13"/>
    </row>
    <row r="21">
      <c r="A21" s="1"/>
      <c r="B21" s="15" t="s">
        <v>131</v>
      </c>
      <c r="C21" s="5">
        <f>C19-F131</f>
        <v>581</v>
      </c>
      <c r="D21" s="5">
        <f>D19-C19</f>
        <v>-289</v>
      </c>
      <c r="E21" s="5">
        <f>E19-D19</f>
        <v>242</v>
      </c>
      <c r="F21" s="5">
        <f>F19-E19</f>
        <v>162</v>
      </c>
      <c r="G21" s="5" t="s">
        <v>44</v>
      </c>
      <c r="H21" s="21">
        <f>H19-F19</f>
        <v>-43.359552000000804</v>
      </c>
      <c r="I21" s="13"/>
    </row>
    <row r="22">
      <c r="A22" s="1"/>
      <c r="B22" s="1" t="s">
        <v>502</v>
      </c>
      <c r="C22" s="9">
        <v>1461</v>
      </c>
      <c r="D22" s="9">
        <v>1580</v>
      </c>
      <c r="E22" s="9">
        <v>1637</v>
      </c>
      <c r="F22" s="9">
        <v>1605</v>
      </c>
      <c r="G22" s="22">
        <f>D22</f>
        <v>1580</v>
      </c>
      <c r="H22" s="73">
        <f>F22-'Cash Flow Statement'!H34</f>
        <v>1605</v>
      </c>
      <c r="I22" s="13"/>
    </row>
    <row r="23">
      <c r="A23" s="1"/>
      <c r="B23" s="15" t="s">
        <v>130</v>
      </c>
      <c r="C23" s="5">
        <f>C22-C132</f>
        <v>-45</v>
      </c>
      <c r="D23" s="5">
        <f>D22-D132</f>
        <v>65</v>
      </c>
      <c r="E23" s="5">
        <f>E22-E132</f>
        <v>193</v>
      </c>
      <c r="F23" s="5">
        <f>F22-F132</f>
        <v>225</v>
      </c>
      <c r="G23" s="5">
        <f>G22-G132</f>
        <v>65</v>
      </c>
      <c r="H23" s="21">
        <f>H22-H132</f>
        <v>144</v>
      </c>
      <c r="I23" s="13"/>
    </row>
    <row r="24">
      <c r="A24" s="1"/>
      <c r="B24" s="15" t="s">
        <v>131</v>
      </c>
      <c r="C24" s="5">
        <f>C22-F132</f>
        <v>81</v>
      </c>
      <c r="D24" s="5">
        <f>D22-C22</f>
        <v>119</v>
      </c>
      <c r="E24" s="5">
        <f>E22-D22</f>
        <v>57</v>
      </c>
      <c r="F24" s="5">
        <f>F22-E22</f>
        <v>-32</v>
      </c>
      <c r="G24" s="5" t="s">
        <v>44</v>
      </c>
      <c r="H24" s="21">
        <f>H22-F22</f>
        <v>0</v>
      </c>
      <c r="I24" s="13"/>
    </row>
    <row r="25">
      <c r="A25" s="1"/>
      <c r="B25" s="45" t="s">
        <v>503</v>
      </c>
      <c r="C25" s="29">
        <f>C10+C13+C16+C19+C22</f>
        <v>19468</v>
      </c>
      <c r="D25" s="29">
        <f>D10+D13+D16+D19+D22</f>
        <v>19513</v>
      </c>
      <c r="E25" s="29">
        <f>E10+E13+E16+E19+E22</f>
        <v>19335</v>
      </c>
      <c r="F25" s="29">
        <f>F10+F13+F16+F19+F22</f>
        <v>20244</v>
      </c>
      <c r="G25" s="29">
        <f>D25</f>
        <v>19513</v>
      </c>
      <c r="H25" s="47">
        <f>H10+H13+H16+H19+H22</f>
        <v>20477.99238339</v>
      </c>
      <c r="I25" s="13"/>
    </row>
    <row r="26">
      <c r="A26" s="1"/>
      <c r="B26" s="15" t="s">
        <v>122</v>
      </c>
      <c r="C26" s="5">
        <f>C25-C133</f>
        <v>667</v>
      </c>
      <c r="D26" s="5">
        <f>D25-D133</f>
        <v>943</v>
      </c>
      <c r="E26" s="5">
        <f>E25-E133</f>
        <v>740</v>
      </c>
      <c r="F26" s="5">
        <f>F25-F133</f>
        <v>1791</v>
      </c>
      <c r="G26" s="5">
        <f>G25-G133</f>
        <v>943</v>
      </c>
      <c r="H26" s="21">
        <f>H25-H133</f>
        <v>1009.9923833899993</v>
      </c>
      <c r="I26" s="13"/>
    </row>
    <row r="27">
      <c r="A27" s="1"/>
      <c r="B27" s="15" t="s">
        <v>123</v>
      </c>
      <c r="C27" s="5">
        <f>C25-F133</f>
        <v>1015</v>
      </c>
      <c r="D27" s="5">
        <f>D25-C25</f>
        <v>45</v>
      </c>
      <c r="E27" s="5">
        <f>E25-D25</f>
        <v>-178</v>
      </c>
      <c r="F27" s="5">
        <f>F25-E25</f>
        <v>909</v>
      </c>
      <c r="G27" s="5" t="s">
        <v>44</v>
      </c>
      <c r="H27" s="21">
        <f>H25-F25</f>
        <v>233.9923833899993</v>
      </c>
      <c r="I27" s="13"/>
    </row>
    <row r="28" ht="24">
      <c r="A28" s="1"/>
      <c r="B28" s="4" t="s">
        <v>504</v>
      </c>
      <c r="C28" s="9">
        <v>1691</v>
      </c>
      <c r="D28" s="9">
        <v>1783</v>
      </c>
      <c r="E28" s="9">
        <v>1784</v>
      </c>
      <c r="F28" s="9">
        <v>1691</v>
      </c>
      <c r="G28" s="22">
        <f>D28</f>
        <v>1783</v>
      </c>
      <c r="H28" s="73">
        <f>F28-'Cash Flow Statement'!H25</f>
        <v>1711</v>
      </c>
      <c r="I28" s="13"/>
    </row>
    <row r="29">
      <c r="A29" s="1"/>
      <c r="B29" s="15" t="s">
        <v>130</v>
      </c>
      <c r="C29" s="5">
        <f>C28-C134</f>
        <v>-53</v>
      </c>
      <c r="D29" s="5">
        <f>D28-D134</f>
        <v>148</v>
      </c>
      <c r="E29" s="5">
        <f>E28-E134</f>
        <v>143</v>
      </c>
      <c r="F29" s="5">
        <f>F28-F134</f>
        <v>15</v>
      </c>
      <c r="G29" s="5">
        <f>G28-G134</f>
        <v>148</v>
      </c>
      <c r="H29" s="21">
        <f>H28-H134</f>
        <v>20</v>
      </c>
      <c r="I29" s="13"/>
    </row>
    <row r="30">
      <c r="A30" s="1"/>
      <c r="B30" s="15" t="s">
        <v>131</v>
      </c>
      <c r="C30" s="5">
        <f>C28-F134</f>
        <v>15</v>
      </c>
      <c r="D30" s="5">
        <f>D28-C28</f>
        <v>92</v>
      </c>
      <c r="E30" s="5">
        <f>E28-D28</f>
        <v>1</v>
      </c>
      <c r="F30" s="5">
        <f>F28-E28</f>
        <v>-93</v>
      </c>
      <c r="G30" s="5" t="s">
        <v>44</v>
      </c>
      <c r="H30" s="21">
        <f>H28-F28</f>
        <v>20</v>
      </c>
      <c r="I30" s="13"/>
    </row>
    <row r="31">
      <c r="A31" s="1"/>
      <c r="B31" s="1" t="s">
        <v>505</v>
      </c>
      <c r="C31" s="9">
        <v>7999</v>
      </c>
      <c r="D31" s="9">
        <v>7894</v>
      </c>
      <c r="E31" s="9">
        <v>7747</v>
      </c>
      <c r="F31" s="9">
        <v>7745</v>
      </c>
      <c r="G31" s="22">
        <f>D31</f>
        <v>7894</v>
      </c>
      <c r="H31" s="73">
        <f>F31-'Cash Flow Statement'!H57-'Income Statement'!H103</f>
        <v>7711</v>
      </c>
      <c r="I31" s="13"/>
    </row>
    <row r="32">
      <c r="A32" s="1"/>
      <c r="B32" s="15" t="s">
        <v>130</v>
      </c>
      <c r="C32" s="5">
        <f>C31-C135</f>
        <v>639</v>
      </c>
      <c r="D32" s="5">
        <f>D31-D135</f>
        <v>535</v>
      </c>
      <c r="E32" s="5">
        <f>E31-E135</f>
        <v>348</v>
      </c>
      <c r="F32" s="5">
        <f>F31-F135</f>
        <v>346</v>
      </c>
      <c r="G32" s="5">
        <f>G31-G135</f>
        <v>535</v>
      </c>
      <c r="H32" s="21">
        <f>H31-H135</f>
        <v>-288</v>
      </c>
      <c r="I32" s="13"/>
    </row>
    <row r="33">
      <c r="A33" s="1"/>
      <c r="B33" s="15" t="s">
        <v>131</v>
      </c>
      <c r="C33" s="5">
        <f>C31-F135</f>
        <v>600</v>
      </c>
      <c r="D33" s="5">
        <f>D31-C31</f>
        <v>-105</v>
      </c>
      <c r="E33" s="5">
        <f>E31-D31</f>
        <v>-147</v>
      </c>
      <c r="F33" s="5">
        <f>F31-E31</f>
        <v>-2</v>
      </c>
      <c r="G33" s="5" t="s">
        <v>44</v>
      </c>
      <c r="H33" s="21">
        <f>H31-F31</f>
        <v>-34</v>
      </c>
      <c r="I33" s="13"/>
    </row>
    <row r="34">
      <c r="A34" s="1"/>
      <c r="B34" s="1" t="s">
        <v>506</v>
      </c>
      <c r="C34" s="9">
        <v>17007</v>
      </c>
      <c r="D34" s="9">
        <v>16794</v>
      </c>
      <c r="E34" s="9">
        <v>16852</v>
      </c>
      <c r="F34" s="9">
        <v>17001</v>
      </c>
      <c r="G34" s="22">
        <f>D34</f>
        <v>16794</v>
      </c>
      <c r="H34" s="73">
        <f>F34-'Cash Flow Statement'!H66</f>
        <v>17001</v>
      </c>
      <c r="I34" s="13"/>
    </row>
    <row r="35">
      <c r="A35" s="1"/>
      <c r="B35" s="15" t="s">
        <v>130</v>
      </c>
      <c r="C35" s="5">
        <f>C34-C136</f>
        <v>2448</v>
      </c>
      <c r="D35" s="5">
        <f>D34-D136</f>
        <v>2201</v>
      </c>
      <c r="E35" s="5">
        <f>E34-E136</f>
        <v>2215</v>
      </c>
      <c r="F35" s="5">
        <f>F34-F136</f>
        <v>2343</v>
      </c>
      <c r="G35" s="5">
        <f>G34-G136</f>
        <v>2201</v>
      </c>
      <c r="H35" s="21">
        <f>H34-H136</f>
        <v>-6</v>
      </c>
      <c r="I35" s="13"/>
    </row>
    <row r="36">
      <c r="A36" s="1"/>
      <c r="B36" s="15" t="s">
        <v>131</v>
      </c>
      <c r="C36" s="5">
        <f>C34-F136</f>
        <v>2349</v>
      </c>
      <c r="D36" s="5">
        <f>D34-C34</f>
        <v>-213</v>
      </c>
      <c r="E36" s="5">
        <f>E34-D34</f>
        <v>58</v>
      </c>
      <c r="F36" s="5">
        <f>F34-E34</f>
        <v>149</v>
      </c>
      <c r="G36" s="5" t="s">
        <v>44</v>
      </c>
      <c r="H36" s="21">
        <f>H34-F34</f>
        <v>0</v>
      </c>
      <c r="I36" s="13"/>
    </row>
    <row r="37">
      <c r="A37" s="1"/>
      <c r="B37" s="1" t="s">
        <v>507</v>
      </c>
      <c r="C37" s="9">
        <v>5089</v>
      </c>
      <c r="D37" s="9">
        <v>4988</v>
      </c>
      <c r="E37" s="9">
        <v>4901</v>
      </c>
      <c r="F37" s="9">
        <v>4876</v>
      </c>
      <c r="G37" s="22">
        <f>D37</f>
        <v>4988</v>
      </c>
      <c r="H37" s="73">
        <f>F37-'Income Statement'!H106</f>
        <v>4765</v>
      </c>
      <c r="I37" s="13"/>
    </row>
    <row r="38">
      <c r="A38" s="1"/>
      <c r="B38" s="15" t="s">
        <v>130</v>
      </c>
      <c r="C38" s="5">
        <f>C37-C137</f>
        <v>1967</v>
      </c>
      <c r="D38" s="5">
        <f>D37-D137</f>
        <v>1976</v>
      </c>
      <c r="E38" s="5">
        <f>E37-E137</f>
        <v>1938</v>
      </c>
      <c r="F38" s="5">
        <f>F37-F137</f>
        <v>1983</v>
      </c>
      <c r="G38" s="5">
        <f>G37-G137</f>
        <v>1976</v>
      </c>
      <c r="H38" s="21">
        <f>H37-H137</f>
        <v>-324</v>
      </c>
      <c r="I38" s="13"/>
    </row>
    <row r="39">
      <c r="A39" s="1"/>
      <c r="B39" s="15" t="s">
        <v>131</v>
      </c>
      <c r="C39" s="5">
        <f>C37-F137</f>
        <v>2196</v>
      </c>
      <c r="D39" s="5">
        <f>D37-C37</f>
        <v>-101</v>
      </c>
      <c r="E39" s="5">
        <f>E37-D37</f>
        <v>-87</v>
      </c>
      <c r="F39" s="5">
        <f>F37-E37</f>
        <v>-25</v>
      </c>
      <c r="G39" s="5" t="s">
        <v>44</v>
      </c>
      <c r="H39" s="21">
        <f>H37-F37</f>
        <v>-111</v>
      </c>
      <c r="I39" s="13"/>
    </row>
    <row r="40" ht="24">
      <c r="A40" s="1"/>
      <c r="B40" s="4" t="s">
        <v>508</v>
      </c>
      <c r="C40" s="9">
        <v>3839</v>
      </c>
      <c r="D40" s="9">
        <v>3896</v>
      </c>
      <c r="E40" s="9">
        <v>3907</v>
      </c>
      <c r="F40" s="9">
        <v>3975</v>
      </c>
      <c r="G40" s="22">
        <f>D40</f>
        <v>3896</v>
      </c>
      <c r="H40" s="73">
        <f>F40-'Cash Flow Statement'!H60-'Cash Flow Statement'!H63-'Cash Flow Statement'!H69-'Cash Flow Statement'!H75-'Cash Flow Statement'!H78-'Cash Flow Statement'!H37-'Income Statement'!H109-'Income Statement'!H112</f>
        <v>4049</v>
      </c>
      <c r="I40" s="13"/>
    </row>
    <row r="41">
      <c r="A41" s="1"/>
      <c r="B41" s="15" t="s">
        <v>130</v>
      </c>
      <c r="C41" s="5">
        <f>C40-C138</f>
        <v>-350</v>
      </c>
      <c r="D41" s="5">
        <f>D40-D138</f>
        <v>130</v>
      </c>
      <c r="E41" s="5">
        <f>E40-E138</f>
        <v>140</v>
      </c>
      <c r="F41" s="5">
        <f>F40-F138</f>
        <v>285</v>
      </c>
      <c r="G41" s="5">
        <f>G40-G138</f>
        <v>130</v>
      </c>
      <c r="H41" s="21">
        <f>H40-H138</f>
        <v>210</v>
      </c>
      <c r="I41" s="13"/>
    </row>
    <row r="42">
      <c r="A42" s="1"/>
      <c r="B42" s="15" t="s">
        <v>131</v>
      </c>
      <c r="C42" s="5">
        <f>C40-F138</f>
        <v>149</v>
      </c>
      <c r="D42" s="5">
        <f>D40-C40</f>
        <v>57</v>
      </c>
      <c r="E42" s="5">
        <f>E40-D40</f>
        <v>11</v>
      </c>
      <c r="F42" s="5">
        <f>F40-E40</f>
        <v>68</v>
      </c>
      <c r="G42" s="5" t="s">
        <v>44</v>
      </c>
      <c r="H42" s="21">
        <f>H40-F40</f>
        <v>74</v>
      </c>
      <c r="I42" s="13"/>
    </row>
    <row r="43">
      <c r="A43" s="1"/>
      <c r="B43" s="45" t="s">
        <v>509</v>
      </c>
      <c r="C43" s="29">
        <f>C25+C28+C31+C34+C37+C40</f>
        <v>55093</v>
      </c>
      <c r="D43" s="29">
        <f>D25+D28+D31+D34+D37+D40</f>
        <v>54868</v>
      </c>
      <c r="E43" s="29">
        <f>E25+E28+E31+E34+E37+E40</f>
        <v>54526</v>
      </c>
      <c r="F43" s="29">
        <f>F25+F28+F31+F34+F37+F40</f>
        <v>55532</v>
      </c>
      <c r="G43" s="29">
        <f>D43</f>
        <v>54868</v>
      </c>
      <c r="H43" s="47">
        <f>H25+H28+H31+H34+H37+H40</f>
        <v>55714.992383389996</v>
      </c>
      <c r="I43" s="13"/>
    </row>
    <row r="44">
      <c r="A44" s="1"/>
      <c r="B44" s="15" t="s">
        <v>122</v>
      </c>
      <c r="C44" s="5">
        <f>C43-C139</f>
        <v>5318</v>
      </c>
      <c r="D44" s="5">
        <f>D43-D139</f>
        <v>5933</v>
      </c>
      <c r="E44" s="5">
        <f>E43-E139</f>
        <v>5524</v>
      </c>
      <c r="F44" s="5">
        <f>F43-F139</f>
        <v>6763</v>
      </c>
      <c r="G44" s="5">
        <f>G43-G139</f>
        <v>5933</v>
      </c>
      <c r="H44" s="21">
        <f>H43-H139</f>
        <v>621.9923833899957</v>
      </c>
      <c r="I44" s="13"/>
    </row>
    <row r="45">
      <c r="A45" s="1"/>
      <c r="B45" s="15" t="s">
        <v>123</v>
      </c>
      <c r="C45" s="5">
        <f>C43-F139</f>
        <v>6324</v>
      </c>
      <c r="D45" s="5">
        <f>D43-C43</f>
        <v>-225</v>
      </c>
      <c r="E45" s="5">
        <f>E43-D43</f>
        <v>-342</v>
      </c>
      <c r="F45" s="5">
        <f>F43-E43</f>
        <v>1006</v>
      </c>
      <c r="G45" s="5" t="s">
        <v>44</v>
      </c>
      <c r="H45" s="21">
        <f>H43-F43</f>
        <v>182.99238338999567</v>
      </c>
      <c r="I45" s="13"/>
    </row>
    <row r="46">
      <c r="A46" s="1"/>
      <c r="B46" s="15" t="s">
        <v>102</v>
      </c>
      <c r="C46" s="11">
        <f>IFERROR(C43/C139-1,"n/a")</f>
        <v>0.10684078352586646</v>
      </c>
      <c r="D46" s="11">
        <f>IFERROR(D43/D139-1,"n/a")</f>
        <v>0.12124246449371623</v>
      </c>
      <c r="E46" s="11">
        <f>IFERROR(E43/E139-1,"n/a")</f>
        <v>0.11273009264927958</v>
      </c>
      <c r="F46" s="11">
        <f>IFERROR(F43/F139-1,"n/a")</f>
        <v>0.13867415776415348</v>
      </c>
      <c r="G46" s="11">
        <f>IFERROR(G43/G139-1,"n/a")</f>
        <v>0.12124246449371623</v>
      </c>
      <c r="H46" s="50">
        <f>IFERROR(H43/H139-1,"n/a")</f>
        <v>0.011289862294483699</v>
      </c>
      <c r="I46" s="13"/>
    </row>
    <row r="47">
      <c r="A47" s="1"/>
      <c r="B47" s="41" t="s">
        <v>510</v>
      </c>
      <c r="C47" s="1"/>
      <c r="D47" s="1"/>
      <c r="E47" s="1"/>
      <c r="F47" s="1"/>
      <c r="G47" s="1"/>
      <c r="H47" s="53"/>
      <c r="I47" s="13"/>
    </row>
    <row r="48" ht="24">
      <c r="A48" s="1"/>
      <c r="B48" s="4" t="s">
        <v>511</v>
      </c>
      <c r="C48" s="9">
        <v>10857</v>
      </c>
      <c r="D48" s="9">
        <v>11490</v>
      </c>
      <c r="E48" s="9">
        <v>11140</v>
      </c>
      <c r="F48" s="9">
        <v>11210</v>
      </c>
      <c r="G48" s="22">
        <f>D48</f>
        <v>11490</v>
      </c>
      <c r="H48" s="37">
        <f>H113*H120/H111</f>
        <v>11375.100944999998</v>
      </c>
      <c r="I48" s="13"/>
    </row>
    <row r="49">
      <c r="A49" s="1"/>
      <c r="B49" s="15" t="s">
        <v>130</v>
      </c>
      <c r="C49" s="5">
        <f>C48-C140</f>
        <v>511</v>
      </c>
      <c r="D49" s="5">
        <f>D48-D140</f>
        <v>1115</v>
      </c>
      <c r="E49" s="5">
        <f>E48-E140</f>
        <v>919</v>
      </c>
      <c r="F49" s="5">
        <f>F48-F140</f>
        <v>1217</v>
      </c>
      <c r="G49" s="5">
        <f>G48-G140</f>
        <v>1115</v>
      </c>
      <c r="H49" s="21">
        <f>H48-H140</f>
        <v>518.1009449999983</v>
      </c>
      <c r="I49" s="13"/>
    </row>
    <row r="50">
      <c r="A50" s="1"/>
      <c r="B50" s="15" t="s">
        <v>131</v>
      </c>
      <c r="C50" s="5">
        <f>C48-F140</f>
        <v>864</v>
      </c>
      <c r="D50" s="5">
        <f>D48-C48</f>
        <v>633</v>
      </c>
      <c r="E50" s="5">
        <f>E48-D48</f>
        <v>-350</v>
      </c>
      <c r="F50" s="5">
        <f>F48-E48</f>
        <v>70</v>
      </c>
      <c r="G50" s="5" t="s">
        <v>44</v>
      </c>
      <c r="H50" s="21">
        <f>H48-F48</f>
        <v>165.10094499999832</v>
      </c>
      <c r="I50" s="13"/>
    </row>
    <row r="51" ht="24">
      <c r="A51" s="1"/>
      <c r="B51" s="4" t="s">
        <v>512</v>
      </c>
      <c r="C51" s="9">
        <v>814</v>
      </c>
      <c r="D51" s="9">
        <v>894</v>
      </c>
      <c r="E51" s="9">
        <v>878</v>
      </c>
      <c r="F51" s="9">
        <v>742</v>
      </c>
      <c r="G51" s="22">
        <f>D51</f>
        <v>894</v>
      </c>
      <c r="H51" s="73">
        <f>F51+'Cash Flow Statement'!H43</f>
        <v>762</v>
      </c>
      <c r="I51" s="13"/>
    </row>
    <row r="52">
      <c r="A52" s="1"/>
      <c r="B52" s="15" t="s">
        <v>130</v>
      </c>
      <c r="C52" s="5">
        <f>C51-C141</f>
        <v>-74</v>
      </c>
      <c r="D52" s="5">
        <f>D51-D141</f>
        <v>-88</v>
      </c>
      <c r="E52" s="5">
        <f>E51-E141</f>
        <v>-58</v>
      </c>
      <c r="F52" s="5">
        <f>F51-F141</f>
        <v>-91</v>
      </c>
      <c r="G52" s="5">
        <f>G51-G141</f>
        <v>-88</v>
      </c>
      <c r="H52" s="21">
        <f>H51-H141</f>
        <v>-52</v>
      </c>
      <c r="I52" s="13"/>
    </row>
    <row r="53">
      <c r="A53" s="1"/>
      <c r="B53" s="15" t="s">
        <v>131</v>
      </c>
      <c r="C53" s="5">
        <f>C51-F141</f>
        <v>-19</v>
      </c>
      <c r="D53" s="5">
        <f>D51-C51</f>
        <v>80</v>
      </c>
      <c r="E53" s="5">
        <f>E51-D51</f>
        <v>-16</v>
      </c>
      <c r="F53" s="5">
        <f>F51-E51</f>
        <v>-136</v>
      </c>
      <c r="G53" s="5" t="s">
        <v>44</v>
      </c>
      <c r="H53" s="21">
        <f>H51-F51</f>
        <v>20</v>
      </c>
      <c r="I53" s="13"/>
    </row>
    <row r="54" ht="34.5">
      <c r="A54" s="1"/>
      <c r="B54" s="4" t="s">
        <v>513</v>
      </c>
      <c r="C54" s="9">
        <v>1923</v>
      </c>
      <c r="D54" s="9">
        <v>1894</v>
      </c>
      <c r="E54" s="9">
        <v>1938</v>
      </c>
      <c r="F54" s="9">
        <v>1658</v>
      </c>
      <c r="G54" s="22">
        <f>D54</f>
        <v>1894</v>
      </c>
      <c r="H54" s="73">
        <f>F54+'Cash Flow Statement'!H100</f>
        <v>1658</v>
      </c>
      <c r="I54" s="13"/>
    </row>
    <row r="55">
      <c r="A55" s="1"/>
      <c r="B55" s="15" t="s">
        <v>130</v>
      </c>
      <c r="C55" s="5">
        <f>C54-C142</f>
        <v>864</v>
      </c>
      <c r="D55" s="5">
        <f>D54-D142</f>
        <v>843</v>
      </c>
      <c r="E55" s="5">
        <f>E54-E142</f>
        <v>-1537</v>
      </c>
      <c r="F55" s="5">
        <f>F54-F142</f>
        <v>-1149</v>
      </c>
      <c r="G55" s="5">
        <f>G54-G142</f>
        <v>843</v>
      </c>
      <c r="H55" s="21">
        <f>H54-H142</f>
        <v>-265</v>
      </c>
      <c r="I55" s="13"/>
    </row>
    <row r="56">
      <c r="A56" s="1"/>
      <c r="B56" s="15" t="s">
        <v>131</v>
      </c>
      <c r="C56" s="5">
        <f>C54-F142</f>
        <v>-884</v>
      </c>
      <c r="D56" s="5">
        <f>D54-C54</f>
        <v>-29</v>
      </c>
      <c r="E56" s="5">
        <f>E54-D54</f>
        <v>44</v>
      </c>
      <c r="F56" s="5">
        <f>F54-E54</f>
        <v>-280</v>
      </c>
      <c r="G56" s="5" t="s">
        <v>44</v>
      </c>
      <c r="H56" s="21">
        <f>H54-F54</f>
        <v>0</v>
      </c>
      <c r="I56" s="13"/>
    </row>
    <row r="57">
      <c r="A57" s="1"/>
      <c r="B57" s="1" t="s">
        <v>514</v>
      </c>
      <c r="C57" s="9">
        <v>443</v>
      </c>
      <c r="D57" s="9">
        <v>443</v>
      </c>
      <c r="E57" s="9">
        <v>457</v>
      </c>
      <c r="F57" s="9">
        <v>456</v>
      </c>
      <c r="G57" s="22">
        <f>D57</f>
        <v>443</v>
      </c>
      <c r="H57" s="73">
        <f>F57+'Share Count'!H31+'Cash Flow Statement'!H85</f>
        <v>453.6012626262626</v>
      </c>
      <c r="I57" s="13" t="s">
        <v>515</v>
      </c>
    </row>
    <row r="58">
      <c r="A58" s="1"/>
      <c r="B58" s="15" t="s">
        <v>130</v>
      </c>
      <c r="C58" s="5">
        <f>C57-C143</f>
        <v>37</v>
      </c>
      <c r="D58" s="5">
        <f>D57-D143</f>
        <v>40</v>
      </c>
      <c r="E58" s="5">
        <f>E57-E143</f>
        <v>53</v>
      </c>
      <c r="F58" s="5">
        <f>F57-F143</f>
        <v>54</v>
      </c>
      <c r="G58" s="5">
        <f>G57-G143</f>
        <v>40</v>
      </c>
      <c r="H58" s="21">
        <f>H57-H143</f>
        <v>10.60126262626261</v>
      </c>
      <c r="I58" s="13"/>
    </row>
    <row r="59">
      <c r="A59" s="1"/>
      <c r="B59" s="15" t="s">
        <v>131</v>
      </c>
      <c r="C59" s="5">
        <f>C57-F143</f>
        <v>41</v>
      </c>
      <c r="D59" s="5">
        <f>D57-C57</f>
        <v>0</v>
      </c>
      <c r="E59" s="5">
        <f>E57-D57</f>
        <v>14</v>
      </c>
      <c r="F59" s="5">
        <f>F57-E57</f>
        <v>-1</v>
      </c>
      <c r="G59" s="5" t="s">
        <v>44</v>
      </c>
      <c r="H59" s="21">
        <f>H57-F57</f>
        <v>-2.39873737373739</v>
      </c>
      <c r="I59" s="13"/>
    </row>
    <row r="60">
      <c r="A60" s="1"/>
      <c r="B60" s="45" t="s">
        <v>516</v>
      </c>
      <c r="C60" s="29">
        <f>C48+C51+C54+C57</f>
        <v>14037</v>
      </c>
      <c r="D60" s="29">
        <f>D48+D51+D54+D57</f>
        <v>14721</v>
      </c>
      <c r="E60" s="29">
        <f>E48+E51+E54+E57</f>
        <v>14413</v>
      </c>
      <c r="F60" s="29">
        <f>F48+F51+F54+F57</f>
        <v>14066</v>
      </c>
      <c r="G60" s="29">
        <f>D60</f>
        <v>14721</v>
      </c>
      <c r="H60" s="47">
        <f>H48+H51+H54+H57</f>
        <v>14248.70220762626</v>
      </c>
      <c r="I60" s="13"/>
    </row>
    <row r="61">
      <c r="A61" s="1"/>
      <c r="B61" s="15" t="s">
        <v>122</v>
      </c>
      <c r="C61" s="5">
        <f>C60-C144</f>
        <v>1338</v>
      </c>
      <c r="D61" s="5">
        <f>D60-D144</f>
        <v>1910</v>
      </c>
      <c r="E61" s="5">
        <f>E60-E144</f>
        <v>-623</v>
      </c>
      <c r="F61" s="5">
        <f>F60-F144</f>
        <v>31</v>
      </c>
      <c r="G61" s="5">
        <f>G60-G144</f>
        <v>1910</v>
      </c>
      <c r="H61" s="21">
        <f>H60-H144</f>
        <v>211.70220762626013</v>
      </c>
      <c r="I61" s="13"/>
    </row>
    <row r="62">
      <c r="A62" s="1"/>
      <c r="B62" s="15" t="s">
        <v>123</v>
      </c>
      <c r="C62" s="5">
        <f>C60-F144</f>
        <v>2</v>
      </c>
      <c r="D62" s="5">
        <f>D60-C60</f>
        <v>684</v>
      </c>
      <c r="E62" s="5">
        <f>E60-D60</f>
        <v>-308</v>
      </c>
      <c r="F62" s="5">
        <f>F60-E60</f>
        <v>-347</v>
      </c>
      <c r="G62" s="5" t="s">
        <v>44</v>
      </c>
      <c r="H62" s="21">
        <f>H60-F60</f>
        <v>182.70220762626013</v>
      </c>
      <c r="I62" s="13"/>
    </row>
    <row r="63">
      <c r="A63" s="1"/>
      <c r="B63" s="1" t="s">
        <v>517</v>
      </c>
      <c r="C63" s="9">
        <v>10843</v>
      </c>
      <c r="D63" s="9">
        <v>9742</v>
      </c>
      <c r="E63" s="9">
        <v>9670</v>
      </c>
      <c r="F63" s="9">
        <v>11140</v>
      </c>
      <c r="G63" s="22">
        <f>D63</f>
        <v>9742</v>
      </c>
      <c r="H63" s="73">
        <f>F63+'Cash Flow Statement'!H97</f>
        <v>11140</v>
      </c>
      <c r="I63" s="13"/>
    </row>
    <row r="64">
      <c r="A64" s="1"/>
      <c r="B64" s="15" t="s">
        <v>130</v>
      </c>
      <c r="C64" s="5">
        <f>C63-C145</f>
        <v>-1021</v>
      </c>
      <c r="D64" s="5">
        <f>D63-D145</f>
        <v>-1281</v>
      </c>
      <c r="E64" s="5">
        <f>E63-E145</f>
        <v>-857</v>
      </c>
      <c r="F64" s="5">
        <f>F63-F145</f>
        <v>249</v>
      </c>
      <c r="G64" s="5">
        <f>G63-G145</f>
        <v>-1281</v>
      </c>
      <c r="H64" s="21">
        <f>H63-H145</f>
        <v>297</v>
      </c>
      <c r="I64" s="13"/>
    </row>
    <row r="65">
      <c r="A65" s="1"/>
      <c r="B65" s="15" t="s">
        <v>131</v>
      </c>
      <c r="C65" s="5">
        <f>C63-F145</f>
        <v>-48</v>
      </c>
      <c r="D65" s="5">
        <f>D63-C63</f>
        <v>-1101</v>
      </c>
      <c r="E65" s="5">
        <f>E63-D63</f>
        <v>-72</v>
      </c>
      <c r="F65" s="5">
        <f>F63-E63</f>
        <v>1470</v>
      </c>
      <c r="G65" s="5" t="s">
        <v>44</v>
      </c>
      <c r="H65" s="21">
        <f>H63-F63</f>
        <v>0</v>
      </c>
      <c r="I65" s="13"/>
    </row>
    <row r="66">
      <c r="A66" s="1"/>
      <c r="B66" s="1" t="s">
        <v>518</v>
      </c>
      <c r="C66" s="9">
        <v>502</v>
      </c>
      <c r="D66" s="9">
        <v>479</v>
      </c>
      <c r="E66" s="9">
        <v>474</v>
      </c>
      <c r="F66" s="9">
        <v>475</v>
      </c>
      <c r="G66" s="22">
        <f>D66</f>
        <v>479</v>
      </c>
      <c r="H66" s="37">
        <f>F66</f>
        <v>475</v>
      </c>
      <c r="I66" s="13"/>
    </row>
    <row r="67">
      <c r="A67" s="1"/>
      <c r="B67" s="15" t="s">
        <v>130</v>
      </c>
      <c r="C67" s="5">
        <f>C66-C146</f>
        <v>326</v>
      </c>
      <c r="D67" s="5">
        <f>D66-D146</f>
        <v>-33</v>
      </c>
      <c r="E67" s="5">
        <f>E66-E146</f>
        <v>-33</v>
      </c>
      <c r="F67" s="5">
        <f>F66-F146</f>
        <v>-27</v>
      </c>
      <c r="G67" s="5">
        <f>G66-G146</f>
        <v>-33</v>
      </c>
      <c r="H67" s="21">
        <f>H66-H146</f>
        <v>-27</v>
      </c>
      <c r="I67" s="13"/>
    </row>
    <row r="68">
      <c r="A68" s="1"/>
      <c r="B68" s="15" t="s">
        <v>131</v>
      </c>
      <c r="C68" s="5">
        <f>C66-F146</f>
        <v>0</v>
      </c>
      <c r="D68" s="5">
        <f>D66-C66</f>
        <v>-23</v>
      </c>
      <c r="E68" s="5">
        <f>E66-D66</f>
        <v>-5</v>
      </c>
      <c r="F68" s="5">
        <f>F66-E66</f>
        <v>1</v>
      </c>
      <c r="G68" s="5" t="s">
        <v>44</v>
      </c>
      <c r="H68" s="21">
        <f>H66-F66</f>
        <v>0</v>
      </c>
      <c r="I68" s="13"/>
    </row>
    <row r="69">
      <c r="A69" s="1"/>
      <c r="B69" s="1" t="s">
        <v>519</v>
      </c>
      <c r="C69" s="9">
        <v>827</v>
      </c>
      <c r="D69" s="9">
        <v>644</v>
      </c>
      <c r="E69" s="9">
        <v>704</v>
      </c>
      <c r="F69" s="9">
        <v>669</v>
      </c>
      <c r="G69" s="22">
        <f>D69</f>
        <v>644</v>
      </c>
      <c r="H69" s="73">
        <f>F69+'Cash Flow Statement'!H19</f>
        <v>669</v>
      </c>
      <c r="I69" s="13"/>
    </row>
    <row r="70">
      <c r="A70" s="1"/>
      <c r="B70" s="15" t="s">
        <v>130</v>
      </c>
      <c r="C70" s="5">
        <f>C69-C147</f>
        <v>656</v>
      </c>
      <c r="D70" s="5">
        <f>D69-D147</f>
        <v>577</v>
      </c>
      <c r="E70" s="5">
        <f>E69-E147</f>
        <v>667</v>
      </c>
      <c r="F70" s="5">
        <f>F69-F147</f>
        <v>657</v>
      </c>
      <c r="G70" s="5">
        <f>G69-G147</f>
        <v>577</v>
      </c>
      <c r="H70" s="21">
        <f>H69-H147</f>
        <v>-158</v>
      </c>
      <c r="I70" s="13"/>
    </row>
    <row r="71">
      <c r="A71" s="1"/>
      <c r="B71" s="15" t="s">
        <v>131</v>
      </c>
      <c r="C71" s="5">
        <f>C69-F147</f>
        <v>815</v>
      </c>
      <c r="D71" s="5">
        <f>D69-C69</f>
        <v>-183</v>
      </c>
      <c r="E71" s="5">
        <f>E69-D69</f>
        <v>60</v>
      </c>
      <c r="F71" s="5">
        <f>F69-E69</f>
        <v>-35</v>
      </c>
      <c r="G71" s="5" t="s">
        <v>44</v>
      </c>
      <c r="H71" s="21">
        <f>H69-F69</f>
        <v>0</v>
      </c>
      <c r="I71" s="13"/>
    </row>
    <row r="72">
      <c r="A72" s="1"/>
      <c r="B72" s="1" t="s">
        <v>520</v>
      </c>
      <c r="C72" s="9">
        <v>1962</v>
      </c>
      <c r="D72" s="9">
        <v>1991</v>
      </c>
      <c r="E72" s="9">
        <v>1912</v>
      </c>
      <c r="F72" s="9">
        <v>1928</v>
      </c>
      <c r="G72" s="22">
        <f>D72</f>
        <v>1991</v>
      </c>
      <c r="H72" s="73">
        <f>F72+'Cash Flow Statement'!H46+'Cash Flow Statement'!H49+'Cash Flow Statement'!H16</f>
        <v>1928</v>
      </c>
      <c r="I72" s="13"/>
    </row>
    <row r="73">
      <c r="A73" s="1"/>
      <c r="B73" s="15" t="s">
        <v>130</v>
      </c>
      <c r="C73" s="5">
        <f>C72-C148</f>
        <v>-175</v>
      </c>
      <c r="D73" s="5">
        <f>D72-D148</f>
        <v>-181</v>
      </c>
      <c r="E73" s="5">
        <f>E72-E148</f>
        <v>-235</v>
      </c>
      <c r="F73" s="5">
        <f>F72-F148</f>
        <v>150</v>
      </c>
      <c r="G73" s="5">
        <f>G72-G148</f>
        <v>-181</v>
      </c>
      <c r="H73" s="21">
        <f>H72-H148</f>
        <v>-34</v>
      </c>
      <c r="I73" s="13"/>
    </row>
    <row r="74">
      <c r="A74" s="1"/>
      <c r="B74" s="15" t="s">
        <v>131</v>
      </c>
      <c r="C74" s="5">
        <f>C72-F148</f>
        <v>184</v>
      </c>
      <c r="D74" s="5">
        <f>D72-C72</f>
        <v>29</v>
      </c>
      <c r="E74" s="5">
        <f>E72-D72</f>
        <v>-79</v>
      </c>
      <c r="F74" s="5">
        <f>F72-E72</f>
        <v>16</v>
      </c>
      <c r="G74" s="5" t="s">
        <v>44</v>
      </c>
      <c r="H74" s="21">
        <f>H72-F72</f>
        <v>0</v>
      </c>
      <c r="I74" s="13"/>
    </row>
    <row r="75">
      <c r="A75" s="1"/>
      <c r="B75" s="45" t="s">
        <v>521</v>
      </c>
      <c r="C75" s="29">
        <f>C60+C63+C66+C69+C72</f>
        <v>28171</v>
      </c>
      <c r="D75" s="29">
        <f>D60+D63+D66+D69+D72</f>
        <v>27577</v>
      </c>
      <c r="E75" s="29">
        <f>E60+E63+E66+E69+E72</f>
        <v>27173</v>
      </c>
      <c r="F75" s="29">
        <f>F60+F63+F66+F69+F72</f>
        <v>28278</v>
      </c>
      <c r="G75" s="29">
        <f>D75</f>
        <v>27577</v>
      </c>
      <c r="H75" s="47">
        <f>H60+H63+H66+H69+H72</f>
        <v>28460.70220762626</v>
      </c>
      <c r="I75" s="13"/>
    </row>
    <row r="76">
      <c r="A76" s="1"/>
      <c r="B76" s="15" t="s">
        <v>122</v>
      </c>
      <c r="C76" s="5">
        <f>C75-C149</f>
        <v>1124</v>
      </c>
      <c r="D76" s="5">
        <f>D75-D149</f>
        <v>992</v>
      </c>
      <c r="E76" s="5">
        <f>E75-E149</f>
        <v>-1081</v>
      </c>
      <c r="F76" s="5">
        <f>F75-F149</f>
        <v>1060</v>
      </c>
      <c r="G76" s="5">
        <f>G75-G149</f>
        <v>992</v>
      </c>
      <c r="H76" s="21">
        <f>H75-H149</f>
        <v>289.7022076262583</v>
      </c>
      <c r="I76" s="13"/>
    </row>
    <row r="77">
      <c r="A77" s="1"/>
      <c r="B77" s="15" t="s">
        <v>123</v>
      </c>
      <c r="C77" s="5">
        <f>C75-F149</f>
        <v>953</v>
      </c>
      <c r="D77" s="5">
        <f>D75-C75</f>
        <v>-594</v>
      </c>
      <c r="E77" s="5">
        <f>E75-D75</f>
        <v>-404</v>
      </c>
      <c r="F77" s="5">
        <f>F75-E75</f>
        <v>1105</v>
      </c>
      <c r="G77" s="5" t="s">
        <v>44</v>
      </c>
      <c r="H77" s="21">
        <f>H75-F75</f>
        <v>182.7022076262583</v>
      </c>
      <c r="I77" s="13"/>
    </row>
    <row r="78">
      <c r="A78" s="1"/>
      <c r="B78" s="41" t="s">
        <v>522</v>
      </c>
      <c r="C78" s="1"/>
      <c r="D78" s="1"/>
      <c r="E78" s="1"/>
      <c r="F78" s="1"/>
      <c r="G78" s="1"/>
      <c r="H78" s="53"/>
      <c r="I78" s="13"/>
    </row>
    <row r="79">
      <c r="A79" s="1"/>
      <c r="B79" s="1" t="s">
        <v>523</v>
      </c>
      <c r="C79" s="9">
        <v>16338</v>
      </c>
      <c r="D79" s="9">
        <v>16354</v>
      </c>
      <c r="E79" s="9">
        <v>16198</v>
      </c>
      <c r="F79" s="9">
        <v>16260</v>
      </c>
      <c r="G79" s="22">
        <f>D79</f>
        <v>16354</v>
      </c>
      <c r="H79" s="73">
        <f>F79+'Cash Flow Statement'!H22+'Cash Flow Statement'!H91+'Cash Flow Statement'!H94</f>
        <v>16455</v>
      </c>
      <c r="I79" s="13"/>
    </row>
    <row r="80">
      <c r="A80" s="1"/>
      <c r="B80" s="15" t="s">
        <v>130</v>
      </c>
      <c r="C80" s="5">
        <f>C79-C150</f>
        <v>4930</v>
      </c>
      <c r="D80" s="5">
        <f>D79-D150</f>
        <v>4896</v>
      </c>
      <c r="E80" s="5">
        <f>E79-E150</f>
        <v>5371</v>
      </c>
      <c r="F80" s="5">
        <f>F79-F150</f>
        <v>4906</v>
      </c>
      <c r="G80" s="5">
        <f>G79-G150</f>
        <v>4896</v>
      </c>
      <c r="H80" s="21">
        <f>H79-H150</f>
        <v>117</v>
      </c>
      <c r="I80" s="13"/>
    </row>
    <row r="81">
      <c r="A81" s="1"/>
      <c r="B81" s="15" t="s">
        <v>131</v>
      </c>
      <c r="C81" s="5">
        <f>C79-F150</f>
        <v>4984</v>
      </c>
      <c r="D81" s="5">
        <f>D79-C79</f>
        <v>16</v>
      </c>
      <c r="E81" s="5">
        <f>E79-D79</f>
        <v>-156</v>
      </c>
      <c r="F81" s="5">
        <f>F79-E79</f>
        <v>62</v>
      </c>
      <c r="G81" s="5" t="s">
        <v>44</v>
      </c>
      <c r="H81" s="21">
        <f>H79-F79</f>
        <v>195</v>
      </c>
      <c r="I81" s="13"/>
    </row>
    <row r="82">
      <c r="A82" s="1"/>
      <c r="B82" s="1" t="s">
        <v>524</v>
      </c>
      <c r="C82" s="9">
        <v>-3636</v>
      </c>
      <c r="D82" s="9">
        <v>-3576</v>
      </c>
      <c r="E82" s="9">
        <v>-3650</v>
      </c>
      <c r="F82" s="9">
        <v>-4253</v>
      </c>
      <c r="G82" s="22">
        <f>D82</f>
        <v>-3576</v>
      </c>
      <c r="H82" s="73">
        <f>F82+'Cash Flow Statement'!H88</f>
        <v>-4903</v>
      </c>
      <c r="I82" s="13"/>
    </row>
    <row r="83">
      <c r="A83" s="1"/>
      <c r="B83" s="15" t="s">
        <v>130</v>
      </c>
      <c r="C83" s="5">
        <f>C82-C151</f>
        <v>-2342</v>
      </c>
      <c r="D83" s="5">
        <f>D82-D151</f>
        <v>-1803</v>
      </c>
      <c r="E83" s="5">
        <f>E82-E151</f>
        <v>-358</v>
      </c>
      <c r="F83" s="5">
        <f>F82-F151</f>
        <v>-511</v>
      </c>
      <c r="G83" s="5">
        <f>G82-G151</f>
        <v>-1803</v>
      </c>
      <c r="H83" s="21">
        <f>H82-H151</f>
        <v>-1267</v>
      </c>
      <c r="I83" s="13"/>
    </row>
    <row r="84">
      <c r="A84" s="1"/>
      <c r="B84" s="15" t="s">
        <v>131</v>
      </c>
      <c r="C84" s="5">
        <f>C82-F151</f>
        <v>106</v>
      </c>
      <c r="D84" s="5">
        <f>D82-C82</f>
        <v>60</v>
      </c>
      <c r="E84" s="5">
        <f>E82-D82</f>
        <v>-74</v>
      </c>
      <c r="F84" s="5">
        <f>F82-E82</f>
        <v>-603</v>
      </c>
      <c r="G84" s="5" t="s">
        <v>44</v>
      </c>
      <c r="H84" s="21">
        <f>H82-F82</f>
        <v>-650</v>
      </c>
      <c r="I84" s="13"/>
    </row>
    <row r="85">
      <c r="A85" s="1"/>
      <c r="B85" s="1" t="s">
        <v>525</v>
      </c>
      <c r="C85" s="9">
        <v>17746</v>
      </c>
      <c r="D85" s="9">
        <v>18067</v>
      </c>
      <c r="E85" s="9">
        <v>18369</v>
      </c>
      <c r="F85" s="9">
        <v>18710</v>
      </c>
      <c r="G85" s="22">
        <f>D85</f>
        <v>18067</v>
      </c>
      <c r="H85" s="73">
        <f>F85+'Income Statement'!H83-'Share Count'!H31</f>
        <v>19146.290175763737</v>
      </c>
      <c r="I85" s="13"/>
    </row>
    <row r="86">
      <c r="A86" s="1"/>
      <c r="B86" s="15" t="s">
        <v>130</v>
      </c>
      <c r="C86" s="5">
        <f>C85-C152</f>
        <v>2059</v>
      </c>
      <c r="D86" s="5">
        <f>D85-D152</f>
        <v>1672</v>
      </c>
      <c r="E86" s="5">
        <f>E85-E152</f>
        <v>1565</v>
      </c>
      <c r="F86" s="5">
        <f>F85-F152</f>
        <v>1277</v>
      </c>
      <c r="G86" s="5">
        <f>G85-G152</f>
        <v>1672</v>
      </c>
      <c r="H86" s="21">
        <f>H85-H152</f>
        <v>1400.2901757637374</v>
      </c>
      <c r="I86" s="13"/>
    </row>
    <row r="87">
      <c r="A87" s="1"/>
      <c r="B87" s="15" t="s">
        <v>131</v>
      </c>
      <c r="C87" s="5">
        <f>C85-F152</f>
        <v>313</v>
      </c>
      <c r="D87" s="5">
        <f>D85-C85</f>
        <v>321</v>
      </c>
      <c r="E87" s="5">
        <f>E85-D85</f>
        <v>302</v>
      </c>
      <c r="F87" s="5">
        <f>F85-E85</f>
        <v>341</v>
      </c>
      <c r="G87" s="5" t="s">
        <v>44</v>
      </c>
      <c r="H87" s="21">
        <f>H85-F85</f>
        <v>436.29017576373735</v>
      </c>
      <c r="I87" s="13"/>
    </row>
    <row r="88" ht="24">
      <c r="A88" s="1"/>
      <c r="B88" s="4" t="s">
        <v>526</v>
      </c>
      <c r="C88" s="9">
        <v>-4813</v>
      </c>
      <c r="D88" s="9">
        <v>-4736</v>
      </c>
      <c r="E88" s="9">
        <v>-4740</v>
      </c>
      <c r="F88" s="9">
        <v>-4643</v>
      </c>
      <c r="G88" s="22">
        <f>D88</f>
        <v>-4736</v>
      </c>
      <c r="H88" s="73">
        <f>F88+'Cash Flow Statement'!H110</f>
        <v>-4643</v>
      </c>
      <c r="I88" s="13"/>
    </row>
    <row r="89">
      <c r="A89" s="1"/>
      <c r="B89" s="15" t="s">
        <v>130</v>
      </c>
      <c r="C89" s="5">
        <f>C88-C153</f>
        <v>-523</v>
      </c>
      <c r="D89" s="5">
        <f>D88-D153</f>
        <v>214</v>
      </c>
      <c r="E89" s="5">
        <f>E88-E153</f>
        <v>84</v>
      </c>
      <c r="F89" s="5">
        <f>F88-F153</f>
        <v>100</v>
      </c>
      <c r="G89" s="5">
        <f>G88-G153</f>
        <v>214</v>
      </c>
      <c r="H89" s="21">
        <f>H88-H153</f>
        <v>170</v>
      </c>
      <c r="I89" s="13"/>
    </row>
    <row r="90">
      <c r="A90" s="1"/>
      <c r="B90" s="15" t="s">
        <v>131</v>
      </c>
      <c r="C90" s="5">
        <f>C88-F153</f>
        <v>-70</v>
      </c>
      <c r="D90" s="5">
        <f>D88-C88</f>
        <v>77</v>
      </c>
      <c r="E90" s="5">
        <f>E88-D88</f>
        <v>-4</v>
      </c>
      <c r="F90" s="5">
        <f>F88-E88</f>
        <v>97</v>
      </c>
      <c r="G90" s="5" t="s">
        <v>44</v>
      </c>
      <c r="H90" s="21">
        <f>H88-F88</f>
        <v>0</v>
      </c>
      <c r="I90" s="13"/>
    </row>
    <row r="91">
      <c r="A91" s="1"/>
      <c r="B91" s="45" t="s">
        <v>527</v>
      </c>
      <c r="C91" s="29">
        <f>C79+C82+C85+C88</f>
        <v>25635</v>
      </c>
      <c r="D91" s="29">
        <f>D79+D82+D85+D88</f>
        <v>26109</v>
      </c>
      <c r="E91" s="29">
        <f>E79+E82+E85+E88</f>
        <v>26177</v>
      </c>
      <c r="F91" s="29">
        <f>F79+F82+F85+F88</f>
        <v>26074</v>
      </c>
      <c r="G91" s="29">
        <f>D91</f>
        <v>26109</v>
      </c>
      <c r="H91" s="47">
        <f>H79+H82+H85+H88</f>
        <v>26055.290175763737</v>
      </c>
      <c r="I91" s="13"/>
    </row>
    <row r="92">
      <c r="A92" s="1"/>
      <c r="B92" s="15" t="s">
        <v>122</v>
      </c>
      <c r="C92" s="5">
        <f>C91-C154</f>
        <v>4124</v>
      </c>
      <c r="D92" s="5">
        <f>D91-D154</f>
        <v>4979</v>
      </c>
      <c r="E92" s="5">
        <f>E91-E154</f>
        <v>6662</v>
      </c>
      <c r="F92" s="5">
        <f>F91-F154</f>
        <v>5772</v>
      </c>
      <c r="G92" s="5">
        <f>G91-G154</f>
        <v>4979</v>
      </c>
      <c r="H92" s="21">
        <f>H91-H154</f>
        <v>420.29017576373735</v>
      </c>
      <c r="I92" s="13"/>
    </row>
    <row r="93">
      <c r="A93" s="1"/>
      <c r="B93" s="15" t="s">
        <v>123</v>
      </c>
      <c r="C93" s="5">
        <f>C91-F154</f>
        <v>5333</v>
      </c>
      <c r="D93" s="5">
        <f>D91-C91</f>
        <v>474</v>
      </c>
      <c r="E93" s="5">
        <f>E91-D91</f>
        <v>68</v>
      </c>
      <c r="F93" s="5">
        <f>F91-E91</f>
        <v>-103</v>
      </c>
      <c r="G93" s="5" t="s">
        <v>44</v>
      </c>
      <c r="H93" s="21">
        <f>H91-F91</f>
        <v>-18.709824236262648</v>
      </c>
      <c r="I93" s="13"/>
    </row>
    <row r="94">
      <c r="A94" s="1"/>
      <c r="B94" s="1" t="s">
        <v>528</v>
      </c>
      <c r="C94" s="9">
        <v>1287</v>
      </c>
      <c r="D94" s="9">
        <v>1182</v>
      </c>
      <c r="E94" s="9">
        <v>1176</v>
      </c>
      <c r="F94" s="9">
        <v>1180</v>
      </c>
      <c r="G94" s="22">
        <f>D94</f>
        <v>1182</v>
      </c>
      <c r="H94" s="73">
        <f>F94+'Income Statement'!H79+'Cash Flow Statement'!H103</f>
        <v>1199</v>
      </c>
      <c r="I94" s="13"/>
    </row>
    <row r="95">
      <c r="A95" s="1"/>
      <c r="B95" s="15" t="s">
        <v>130</v>
      </c>
      <c r="C95" s="5">
        <f>C94-C155</f>
        <v>70</v>
      </c>
      <c r="D95" s="5">
        <f>D94-D155</f>
        <v>-38</v>
      </c>
      <c r="E95" s="5">
        <f>E94-E155</f>
        <v>-57</v>
      </c>
      <c r="F95" s="5">
        <f>F94-F155</f>
        <v>-69</v>
      </c>
      <c r="G95" s="5">
        <f>G94-G155</f>
        <v>-38</v>
      </c>
      <c r="H95" s="21">
        <f>H94-H155</f>
        <v>-88</v>
      </c>
      <c r="I95" s="13"/>
    </row>
    <row r="96">
      <c r="A96" s="1"/>
      <c r="B96" s="15" t="s">
        <v>131</v>
      </c>
      <c r="C96" s="5">
        <f>C94-F155</f>
        <v>38</v>
      </c>
      <c r="D96" s="5">
        <f>D94-C94</f>
        <v>-105</v>
      </c>
      <c r="E96" s="5">
        <f>E94-D94</f>
        <v>-6</v>
      </c>
      <c r="F96" s="5">
        <f>F94-E94</f>
        <v>4</v>
      </c>
      <c r="G96" s="5" t="s">
        <v>44</v>
      </c>
      <c r="H96" s="21">
        <f>H94-F94</f>
        <v>19</v>
      </c>
      <c r="I96" s="13"/>
    </row>
    <row r="97">
      <c r="A97" s="1"/>
      <c r="B97" s="45" t="s">
        <v>529</v>
      </c>
      <c r="C97" s="29">
        <f>C91+C94</f>
        <v>26922</v>
      </c>
      <c r="D97" s="29">
        <f>D91+D94</f>
        <v>27291</v>
      </c>
      <c r="E97" s="29">
        <f>E91+E94</f>
        <v>27353</v>
      </c>
      <c r="F97" s="29">
        <f>F91+F94</f>
        <v>27254</v>
      </c>
      <c r="G97" s="29">
        <f>D97</f>
        <v>27291</v>
      </c>
      <c r="H97" s="47">
        <f>H91+H94</f>
        <v>27254.290175763737</v>
      </c>
      <c r="I97" s="13"/>
    </row>
    <row r="98">
      <c r="A98" s="1"/>
      <c r="B98" s="15" t="s">
        <v>122</v>
      </c>
      <c r="C98" s="5">
        <f>C97-C156</f>
        <v>4194</v>
      </c>
      <c r="D98" s="5">
        <f>D97-D156</f>
        <v>4941</v>
      </c>
      <c r="E98" s="5">
        <f>E97-E156</f>
        <v>6605</v>
      </c>
      <c r="F98" s="5">
        <f>F97-F156</f>
        <v>5703</v>
      </c>
      <c r="G98" s="5">
        <f>G97-G156</f>
        <v>4941</v>
      </c>
      <c r="H98" s="21">
        <f>H97-H156</f>
        <v>332.29017576373735</v>
      </c>
      <c r="I98" s="13"/>
    </row>
    <row r="99">
      <c r="A99" s="1"/>
      <c r="B99" s="15" t="s">
        <v>123</v>
      </c>
      <c r="C99" s="5">
        <f>C97-F156</f>
        <v>5371</v>
      </c>
      <c r="D99" s="5">
        <f>D97-C97</f>
        <v>369</v>
      </c>
      <c r="E99" s="5">
        <f>E97-D97</f>
        <v>62</v>
      </c>
      <c r="F99" s="5">
        <f>F97-E97</f>
        <v>-99</v>
      </c>
      <c r="G99" s="5" t="s">
        <v>44</v>
      </c>
      <c r="H99" s="21">
        <f>H97-F97</f>
        <v>0.2901757637373521</v>
      </c>
      <c r="I99" s="13"/>
    </row>
    <row r="100">
      <c r="A100" s="1"/>
      <c r="B100" s="45" t="s">
        <v>530</v>
      </c>
      <c r="C100" s="29">
        <f>C75+C97</f>
        <v>55093</v>
      </c>
      <c r="D100" s="29">
        <f>D75+D97</f>
        <v>54868</v>
      </c>
      <c r="E100" s="29">
        <f>E75+E97</f>
        <v>54526</v>
      </c>
      <c r="F100" s="29">
        <f>F75+F97</f>
        <v>55532</v>
      </c>
      <c r="G100" s="29">
        <f>D100</f>
        <v>54868</v>
      </c>
      <c r="H100" s="47">
        <f>H75+H97</f>
        <v>55714.992383389996</v>
      </c>
      <c r="I100" s="13"/>
    </row>
    <row r="101">
      <c r="A101" s="1"/>
      <c r="B101" s="15" t="s">
        <v>122</v>
      </c>
      <c r="C101" s="5">
        <f>C100-C157</f>
        <v>5318</v>
      </c>
      <c r="D101" s="5">
        <f>D100-D157</f>
        <v>5933</v>
      </c>
      <c r="E101" s="5">
        <f>E100-E157</f>
        <v>5524</v>
      </c>
      <c r="F101" s="5">
        <f>F100-F157</f>
        <v>6763</v>
      </c>
      <c r="G101" s="5">
        <f>G100-G157</f>
        <v>5933</v>
      </c>
      <c r="H101" s="21">
        <f>H100-H157</f>
        <v>621.9923833899957</v>
      </c>
      <c r="I101" s="13"/>
    </row>
    <row r="102">
      <c r="A102" s="1"/>
      <c r="B102" s="15" t="s">
        <v>123</v>
      </c>
      <c r="C102" s="5">
        <f>C100-F157</f>
        <v>6324</v>
      </c>
      <c r="D102" s="5">
        <f>D100-C100</f>
        <v>-225</v>
      </c>
      <c r="E102" s="5">
        <f>E100-D100</f>
        <v>-342</v>
      </c>
      <c r="F102" s="5">
        <f>F100-E100</f>
        <v>1006</v>
      </c>
      <c r="G102" s="5" t="s">
        <v>44</v>
      </c>
      <c r="H102" s="21">
        <f>H100-F100</f>
        <v>182.99238338999567</v>
      </c>
      <c r="I102" s="13"/>
    </row>
    <row r="103" ht="24">
      <c r="A103" s="1"/>
      <c r="B103" s="26" t="s">
        <v>531</v>
      </c>
      <c r="C103" s="29">
        <f>C43-C75-C97</f>
        <v>0</v>
      </c>
      <c r="D103" s="29">
        <f>D43-D75-D97</f>
        <v>0</v>
      </c>
      <c r="E103" s="29">
        <f>E43-E75-E97</f>
        <v>0</v>
      </c>
      <c r="F103" s="29">
        <f>F43-F75-F97</f>
        <v>0</v>
      </c>
      <c r="G103" s="29">
        <f>G43-G75-G97</f>
        <v>0</v>
      </c>
      <c r="H103" s="47">
        <f>H43-H75-H97</f>
        <v>0</v>
      </c>
      <c r="I103" s="13"/>
    </row>
    <row r="104" ht="24">
      <c r="A104" s="1"/>
      <c r="B104" s="4" t="s">
        <v>532</v>
      </c>
      <c r="C104" s="38" t="b">
        <f>ROUND(C103,6)=0</f>
        <v>1</v>
      </c>
      <c r="D104" s="38" t="b">
        <f>ROUND(D103,6)=0</f>
        <v>1</v>
      </c>
      <c r="E104" s="38" t="b">
        <f>ROUND(E103,6)=0</f>
        <v>1</v>
      </c>
      <c r="F104" s="38" t="b">
        <f>ROUND(F103,6)=0</f>
        <v>1</v>
      </c>
      <c r="G104" s="38" t="b">
        <f>ROUND(G103,6)=0</f>
        <v>1</v>
      </c>
      <c r="H104" s="68" t="b">
        <f>ROUND(H103,6)=0</f>
        <v>1</v>
      </c>
      <c r="I104" s="13"/>
    </row>
    <row r="105">
      <c r="A105" s="1"/>
      <c r="B105" s="41" t="s">
        <v>533</v>
      </c>
      <c r="C105" s="1"/>
      <c r="D105" s="1"/>
      <c r="E105" s="1"/>
      <c r="F105" s="1"/>
      <c r="G105" s="1"/>
      <c r="H105" s="53"/>
      <c r="I105" s="13"/>
    </row>
    <row r="106" ht="34.5">
      <c r="A106" s="1"/>
      <c r="B106" s="26" t="s">
        <v>534</v>
      </c>
      <c r="C106" s="29">
        <f>C54+C63-C10-C13</f>
        <v>9181</v>
      </c>
      <c r="D106" s="29">
        <f>D54+D63-D10-D13</f>
        <v>7424</v>
      </c>
      <c r="E106" s="29">
        <f>E54+E63-E10-E13</f>
        <v>8221</v>
      </c>
      <c r="F106" s="29">
        <f>F54+F63-F10-F13</f>
        <v>8727</v>
      </c>
      <c r="G106" s="29">
        <f>G54+G63-G10-G13</f>
        <v>7424</v>
      </c>
      <c r="H106" s="47">
        <f>H54+H63-H10-H13</f>
        <v>8585.65457861</v>
      </c>
      <c r="I106" s="13"/>
    </row>
    <row r="107">
      <c r="A107" s="1"/>
      <c r="B107" s="15" t="s">
        <v>102</v>
      </c>
      <c r="C107" s="11">
        <f>IFERROR(C106/C158-1,"n/a")</f>
        <v>0.08509632431154701</v>
      </c>
      <c r="D107" s="11">
        <f>IFERROR(D106/D158-1,"n/a")</f>
        <v>0.0025658338960161675</v>
      </c>
      <c r="E107" s="11">
        <f>IFERROR(E106/E158-1,"n/a")</f>
        <v>-0.18644235526966846</v>
      </c>
      <c r="F107" s="11">
        <f>IFERROR(F106/F158-1,"n/a")</f>
        <v>-0.12300271329514623</v>
      </c>
      <c r="G107" s="11">
        <f>IFERROR(G106/G158-1,"n/a")</f>
        <v>0.0025658338960161675</v>
      </c>
      <c r="H107" s="50">
        <f>IFERROR(H106/H158-1,"n/a")</f>
        <v>-0.0648453786504738</v>
      </c>
      <c r="I107" s="13"/>
    </row>
    <row r="108">
      <c r="A108" s="1"/>
      <c r="B108" s="15" t="s">
        <v>123</v>
      </c>
      <c r="C108" s="5">
        <f>C106-F158</f>
        <v>-770</v>
      </c>
      <c r="D108" s="5">
        <f>D106-C106</f>
        <v>-1757</v>
      </c>
      <c r="E108" s="5">
        <f>E106-D106</f>
        <v>797</v>
      </c>
      <c r="F108" s="5">
        <f>F106-E106</f>
        <v>506</v>
      </c>
      <c r="G108" s="5" t="s">
        <v>44</v>
      </c>
      <c r="H108" s="21">
        <f>H106-F106</f>
        <v>-141.3454213900004</v>
      </c>
      <c r="I108" s="13"/>
    </row>
    <row r="109" ht="24">
      <c r="A109" s="1"/>
      <c r="B109" s="57" t="s">
        <v>535</v>
      </c>
      <c r="C109" s="91" t="s">
        <v>44</v>
      </c>
      <c r="D109" s="91" t="s">
        <v>44</v>
      </c>
      <c r="E109" s="91" t="s">
        <v>44</v>
      </c>
      <c r="F109" s="94">
        <f>F106/('Income Statement'!C164+'Income Statement'!D164+'Income Statement'!E164+'Income Statement'!F164)</f>
        <v>1.0822172619047619</v>
      </c>
      <c r="G109" s="94">
        <f>G106/'Income Statement'!G164</f>
        <v>0.8772302965851353</v>
      </c>
      <c r="H109" s="90">
        <f>H106/('Income Statement'!D164+'Income Statement'!E164+'Income Statement'!F164+'Income Statement'!H164)</f>
        <v>1.0711868491322851</v>
      </c>
      <c r="I109" s="13" t="s">
        <v>536</v>
      </c>
    </row>
    <row r="110">
      <c r="A110" s="1"/>
      <c r="B110" s="15" t="s">
        <v>537</v>
      </c>
      <c r="C110" s="91" t="s">
        <v>44</v>
      </c>
      <c r="D110" s="91" t="s">
        <v>44</v>
      </c>
      <c r="E110" s="91" t="s">
        <v>44</v>
      </c>
      <c r="F110" s="91" t="s">
        <v>44</v>
      </c>
      <c r="G110" s="91" t="s">
        <v>44</v>
      </c>
      <c r="H110" s="87">
        <f>H109-F109</f>
        <v>-0.011030412772476739</v>
      </c>
      <c r="I110" s="13"/>
    </row>
    <row r="111">
      <c r="A111" s="1"/>
      <c r="B111" s="1" t="s">
        <v>538</v>
      </c>
      <c r="C111" s="92">
        <f>C$7</f>
        <v>92</v>
      </c>
      <c r="D111" s="92">
        <f>D$7</f>
        <v>92</v>
      </c>
      <c r="E111" s="92">
        <f>E$7</f>
        <v>90</v>
      </c>
      <c r="F111" s="92">
        <f>F$7</f>
        <v>91</v>
      </c>
      <c r="G111" s="92">
        <f>G$7</f>
        <v>365</v>
      </c>
      <c r="H111" s="89">
        <f>H$7</f>
        <v>92</v>
      </c>
      <c r="I111" s="13"/>
    </row>
    <row r="112">
      <c r="A112" s="1"/>
      <c r="B112" s="1" t="s">
        <v>539</v>
      </c>
      <c r="C112" s="16">
        <f>'Income Statement'!C10</f>
        <v>8928</v>
      </c>
      <c r="D112" s="16">
        <f>'Income Statement'!D10</f>
        <v>9745</v>
      </c>
      <c r="E112" s="16">
        <f>'Income Statement'!E10</f>
        <v>8721</v>
      </c>
      <c r="F112" s="16">
        <f>'Income Statement'!F10</f>
        <v>8972</v>
      </c>
      <c r="G112" s="16">
        <f>'Income Statement'!G10</f>
        <v>35709</v>
      </c>
      <c r="H112" s="73">
        <f>'Income Statement'!H10</f>
        <v>9268.006513999999</v>
      </c>
      <c r="I112" s="13"/>
    </row>
    <row r="113" ht="24">
      <c r="A113" s="1"/>
      <c r="B113" s="4" t="s">
        <v>540</v>
      </c>
      <c r="C113" s="16">
        <f>'Income Statement'!C27</f>
        <v>7370</v>
      </c>
      <c r="D113" s="16">
        <f>'Income Statement'!D27</f>
        <v>8017</v>
      </c>
      <c r="E113" s="16">
        <f>'Income Statement'!E27</f>
        <v>7390</v>
      </c>
      <c r="F113" s="16">
        <f>'Income Statement'!F27</f>
        <v>7577</v>
      </c>
      <c r="G113" s="16">
        <f>'Income Statement'!G27</f>
        <v>29205</v>
      </c>
      <c r="H113" s="73">
        <f>'Income Statement'!H27</f>
        <v>7751.920643999999</v>
      </c>
      <c r="I113" s="13"/>
    </row>
    <row r="114" ht="34.5">
      <c r="A114" s="1"/>
      <c r="B114" s="57" t="s">
        <v>541</v>
      </c>
      <c r="C114" s="84">
        <f>C16/C112*C111</f>
        <v>93.78270609318996</v>
      </c>
      <c r="D114" s="84">
        <f>D16/D112*D111</f>
        <v>82.03057978450487</v>
      </c>
      <c r="E114" s="84">
        <f>E16/E112*E111</f>
        <v>93.26109391124872</v>
      </c>
      <c r="F114" s="84">
        <f>F16/F112*F111</f>
        <v>92.62282657155595</v>
      </c>
      <c r="G114" s="84">
        <f>G16/G112*G111</f>
        <v>88.81472457923773</v>
      </c>
      <c r="H114" s="85">
        <v>92</v>
      </c>
      <c r="I114" s="13" t="s">
        <v>542</v>
      </c>
    </row>
    <row r="115">
      <c r="A115" s="1"/>
      <c r="B115" s="15" t="s">
        <v>543</v>
      </c>
      <c r="C115" s="84">
        <f>C114-F160</f>
        <v>2.356775833419306</v>
      </c>
      <c r="D115" s="84">
        <f>D114-C114</f>
        <v>-11.752126308685092</v>
      </c>
      <c r="E115" s="84">
        <f>E114-D114</f>
        <v>11.230514126743856</v>
      </c>
      <c r="F115" s="84">
        <f>F114-E114</f>
        <v>-0.6382673396927743</v>
      </c>
      <c r="G115" s="84" t="s">
        <v>44</v>
      </c>
      <c r="H115" s="83">
        <f>H114-F114</f>
        <v>-0.6228265715559473</v>
      </c>
      <c r="I115" s="13"/>
    </row>
    <row r="116">
      <c r="A116" s="1"/>
      <c r="B116" s="15" t="s">
        <v>544</v>
      </c>
      <c r="C116" s="84">
        <f>C114-C160</f>
        <v>10.812949569552018</v>
      </c>
      <c r="D116" s="84">
        <f>D114-D160</f>
        <v>2.645400982264462</v>
      </c>
      <c r="E116" s="84">
        <f>E114-E160</f>
        <v>2.0526133458777025</v>
      </c>
      <c r="F116" s="84">
        <f>F114-F160</f>
        <v>1.196896311785295</v>
      </c>
      <c r="G116" s="84">
        <f>G114-G160</f>
        <v>8.018174660529581</v>
      </c>
      <c r="H116" s="83">
        <f>H114-C114</f>
        <v>-1.782706093189958</v>
      </c>
      <c r="I116" s="13"/>
    </row>
    <row r="117" ht="34.5">
      <c r="A117" s="1"/>
      <c r="B117" s="57" t="s">
        <v>545</v>
      </c>
      <c r="C117" s="84">
        <f>C19/C113*C111</f>
        <v>66.42225237449118</v>
      </c>
      <c r="D117" s="84">
        <f>D19/D113*D111</f>
        <v>57.74529125608083</v>
      </c>
      <c r="E117" s="84">
        <f>E19/E113*E111</f>
        <v>64.23004059539919</v>
      </c>
      <c r="F117" s="84">
        <f>F19/F113*F111</f>
        <v>65.28652500989838</v>
      </c>
      <c r="G117" s="84">
        <f>G19/G113*G111</f>
        <v>62.889231296010955</v>
      </c>
      <c r="H117" s="85">
        <v>64</v>
      </c>
      <c r="I117" s="13" t="s">
        <v>546</v>
      </c>
    </row>
    <row r="118">
      <c r="A118" s="1"/>
      <c r="B118" s="15" t="s">
        <v>543</v>
      </c>
      <c r="C118" s="84">
        <f>C117-F161</f>
        <v>4.215733770510788</v>
      </c>
      <c r="D118" s="84">
        <f>D117-C117</f>
        <v>-8.676961118410347</v>
      </c>
      <c r="E118" s="84">
        <f>E117-D117</f>
        <v>6.4847493393183555</v>
      </c>
      <c r="F118" s="84">
        <f>F117-E117</f>
        <v>1.0564844144991952</v>
      </c>
      <c r="G118" s="84" t="s">
        <v>44</v>
      </c>
      <c r="H118" s="83">
        <f>H117-F117</f>
        <v>-1.2865250098983836</v>
      </c>
      <c r="I118" s="13"/>
    </row>
    <row r="119">
      <c r="A119" s="1"/>
      <c r="B119" s="15" t="s">
        <v>544</v>
      </c>
      <c r="C119" s="84">
        <f>C117-C161</f>
        <v>8.288218935220769</v>
      </c>
      <c r="D119" s="84">
        <f>D117-D161</f>
        <v>2.7739719444173545</v>
      </c>
      <c r="E119" s="84">
        <f>E117-E161</f>
        <v>3.4368970741905827</v>
      </c>
      <c r="F119" s="84">
        <f>F117-F161</f>
        <v>3.0800064059179917</v>
      </c>
      <c r="G119" s="84">
        <f>G117-G161</f>
        <v>7.346201707749138</v>
      </c>
      <c r="H119" s="83">
        <f>H117-C117</f>
        <v>-2.4222523744911797</v>
      </c>
      <c r="I119" s="13"/>
    </row>
    <row r="120" ht="34.5">
      <c r="A120" s="1"/>
      <c r="B120" s="57" t="s">
        <v>547</v>
      </c>
      <c r="C120" s="84">
        <f>C48/C113*C111</f>
        <v>135.52835820895524</v>
      </c>
      <c r="D120" s="84">
        <f>D48/D113*D111</f>
        <v>131.8548085318698</v>
      </c>
      <c r="E120" s="84">
        <f>E48/E113*E111</f>
        <v>135.6698240866035</v>
      </c>
      <c r="F120" s="84">
        <f>F48/F113*F111</f>
        <v>134.6324402797941</v>
      </c>
      <c r="G120" s="84">
        <f>G48/G113*G111</f>
        <v>143.6004108885465</v>
      </c>
      <c r="H120" s="85">
        <v>135</v>
      </c>
      <c r="I120" s="13" t="s">
        <v>548</v>
      </c>
    </row>
    <row r="121">
      <c r="A121" s="1"/>
      <c r="B121" s="15" t="s">
        <v>543</v>
      </c>
      <c r="C121" s="84">
        <f>C120-F162</f>
        <v>4.382843354614323</v>
      </c>
      <c r="D121" s="84">
        <f>D120-C120</f>
        <v>-3.6735496770854468</v>
      </c>
      <c r="E121" s="84">
        <f>E120-D120</f>
        <v>3.8150155547337192</v>
      </c>
      <c r="F121" s="84">
        <f>F120-E120</f>
        <v>-1.0373838068094017</v>
      </c>
      <c r="G121" s="84" t="s">
        <v>44</v>
      </c>
      <c r="H121" s="83">
        <f>H120-F120</f>
        <v>0.36755972020588956</v>
      </c>
      <c r="I121" s="13"/>
    </row>
    <row r="122">
      <c r="A122" s="1"/>
      <c r="B122" s="15" t="s">
        <v>544</v>
      </c>
      <c r="C122" s="84">
        <f>C120-C162</f>
        <v>4.005351438193884</v>
      </c>
      <c r="D122" s="84">
        <f>D120-D162</f>
        <v>1.4942513070678274</v>
      </c>
      <c r="E122" s="84">
        <f>E120-E162</f>
        <v>2.0425724886953276</v>
      </c>
      <c r="F122" s="84">
        <f>F120-F162</f>
        <v>3.486925425453194</v>
      </c>
      <c r="G122" s="84">
        <f>G120-G162</f>
        <v>11.884083579239899</v>
      </c>
      <c r="H122" s="83">
        <f>H120-C120</f>
        <v>-0.5283582089552397</v>
      </c>
      <c r="I122" s="13"/>
    </row>
    <row r="123" ht="34.5">
      <c r="A123" s="1"/>
      <c r="B123" s="4" t="s">
        <v>549</v>
      </c>
      <c r="C123" s="22">
        <f>C16+C19-C48</f>
        <v>3565</v>
      </c>
      <c r="D123" s="22">
        <f>D16+D19-D48</f>
        <v>2231</v>
      </c>
      <c r="E123" s="22">
        <f>E16+E19-E48</f>
        <v>3171</v>
      </c>
      <c r="F123" s="22">
        <f>F16+F19-F48</f>
        <v>3358</v>
      </c>
      <c r="G123" s="22">
        <f>G16+G19-G48</f>
        <v>2231</v>
      </c>
      <c r="H123" s="37">
        <f>H16+H19-H48</f>
        <v>3285.5460170000006</v>
      </c>
      <c r="I123" s="13"/>
    </row>
    <row r="124">
      <c r="A124" s="1"/>
      <c r="B124" s="15" t="s">
        <v>550</v>
      </c>
      <c r="C124" s="5">
        <f>C123-C163</f>
        <v>1078</v>
      </c>
      <c r="D124" s="5">
        <f>D123-D163</f>
        <v>220</v>
      </c>
      <c r="E124" s="5">
        <f>E123-E163</f>
        <v>138</v>
      </c>
      <c r="F124" s="5">
        <f>F123-F163</f>
        <v>25</v>
      </c>
      <c r="G124" s="5">
        <f>G123-G163</f>
        <v>220</v>
      </c>
      <c r="H124" s="21">
        <f>H123-H163</f>
        <v>-279.4539829999994</v>
      </c>
      <c r="I124" s="13"/>
    </row>
    <row r="125">
      <c r="A125" s="1"/>
      <c r="B125" s="15" t="s">
        <v>551</v>
      </c>
      <c r="C125" s="5">
        <f>C123-F163</f>
        <v>232</v>
      </c>
      <c r="D125" s="5">
        <f>D123-C123</f>
        <v>-1334</v>
      </c>
      <c r="E125" s="5">
        <f>E123-D123</f>
        <v>940</v>
      </c>
      <c r="F125" s="5">
        <f>F123-E123</f>
        <v>187</v>
      </c>
      <c r="G125" s="5" t="s">
        <v>44</v>
      </c>
      <c r="H125" s="21">
        <f>H123-F123</f>
        <v>-72.45398299999943</v>
      </c>
      <c r="I125" s="13"/>
    </row>
    <row r="126">
      <c r="A126" s="1"/>
      <c r="B126" s="1"/>
      <c r="C126" s="1"/>
      <c r="D126" s="1"/>
      <c r="E126" s="1"/>
      <c r="F126" s="1"/>
      <c r="G126" s="1"/>
      <c r="H126" s="53"/>
      <c r="I126" s="13"/>
    </row>
    <row r="127">
      <c r="A127" s="1"/>
      <c r="B127" s="41" t="s">
        <v>155</v>
      </c>
      <c r="C127" s="1"/>
      <c r="D127" s="1"/>
      <c r="E127" s="1"/>
      <c r="F127" s="1"/>
      <c r="G127" s="1"/>
      <c r="H127" s="53"/>
      <c r="I127" s="13" t="s">
        <v>156</v>
      </c>
    </row>
    <row r="128">
      <c r="A128" s="1"/>
      <c r="B128" s="1" t="s">
        <v>552</v>
      </c>
      <c r="C128" s="16">
        <f>Inputs!$I$156</f>
        <v>3086</v>
      </c>
      <c r="D128" s="16">
        <f>Inputs!$J$156</f>
        <v>3544</v>
      </c>
      <c r="E128" s="16">
        <f>Inputs!$K$156</f>
        <v>2936</v>
      </c>
      <c r="F128" s="16">
        <f>Inputs!$C$156</f>
        <v>3236</v>
      </c>
      <c r="G128" s="22">
        <f>D128</f>
        <v>3544</v>
      </c>
      <c r="H128" s="37">
        <f>C10</f>
        <v>3014</v>
      </c>
      <c r="I128" s="13"/>
    </row>
    <row r="129" ht="24">
      <c r="A129" s="1"/>
      <c r="B129" s="4" t="s">
        <v>553</v>
      </c>
      <c r="C129" s="9">
        <v>1376</v>
      </c>
      <c r="D129" s="9">
        <v>1125</v>
      </c>
      <c r="E129" s="9">
        <v>961</v>
      </c>
      <c r="F129" s="9">
        <v>511</v>
      </c>
      <c r="G129" s="22">
        <f>D129</f>
        <v>1125</v>
      </c>
      <c r="H129" s="37">
        <f>C13</f>
        <v>571</v>
      </c>
      <c r="I129" s="13"/>
    </row>
    <row r="130">
      <c r="A130" s="1"/>
      <c r="B130" s="1" t="s">
        <v>554</v>
      </c>
      <c r="C130" s="9">
        <v>8260</v>
      </c>
      <c r="D130" s="9">
        <v>8011</v>
      </c>
      <c r="E130" s="9">
        <v>8604</v>
      </c>
      <c r="F130" s="9">
        <v>8586</v>
      </c>
      <c r="G130" s="22">
        <f>D130</f>
        <v>8011</v>
      </c>
      <c r="H130" s="37">
        <f>C16</f>
        <v>9101</v>
      </c>
      <c r="I130" s="13"/>
    </row>
    <row r="131">
      <c r="A131" s="1"/>
      <c r="B131" s="1" t="s">
        <v>555</v>
      </c>
      <c r="C131" s="9">
        <v>4573</v>
      </c>
      <c r="D131" s="9">
        <v>4375</v>
      </c>
      <c r="E131" s="9">
        <v>4650</v>
      </c>
      <c r="F131" s="9">
        <v>4740</v>
      </c>
      <c r="G131" s="22">
        <f>D131</f>
        <v>4375</v>
      </c>
      <c r="H131" s="37">
        <f>C19</f>
        <v>5321</v>
      </c>
      <c r="I131" s="13"/>
    </row>
    <row r="132" ht="24">
      <c r="A132" s="1"/>
      <c r="B132" s="4" t="s">
        <v>556</v>
      </c>
      <c r="C132" s="9">
        <v>1506</v>
      </c>
      <c r="D132" s="9">
        <v>1515</v>
      </c>
      <c r="E132" s="9">
        <v>1444</v>
      </c>
      <c r="F132" s="9">
        <v>1380</v>
      </c>
      <c r="G132" s="22">
        <f>D132</f>
        <v>1515</v>
      </c>
      <c r="H132" s="37">
        <f>C22</f>
        <v>1461</v>
      </c>
      <c r="I132" s="13"/>
    </row>
    <row r="133" ht="24">
      <c r="A133" s="1"/>
      <c r="B133" s="4" t="s">
        <v>557</v>
      </c>
      <c r="C133" s="22">
        <f>C128+C129+C130+C131+C132</f>
        <v>18801</v>
      </c>
      <c r="D133" s="22">
        <f>D128+D129+D130+D131+D132</f>
        <v>18570</v>
      </c>
      <c r="E133" s="22">
        <f>E128+E129+E130+E131+E132</f>
        <v>18595</v>
      </c>
      <c r="F133" s="22">
        <f>F128+F129+F130+F131+F132</f>
        <v>18453</v>
      </c>
      <c r="G133" s="22">
        <f>D133</f>
        <v>18570</v>
      </c>
      <c r="H133" s="37">
        <f>C25</f>
        <v>19468</v>
      </c>
      <c r="I133" s="13"/>
    </row>
    <row r="134" ht="24">
      <c r="A134" s="1"/>
      <c r="B134" s="4" t="s">
        <v>558</v>
      </c>
      <c r="C134" s="9">
        <v>1744</v>
      </c>
      <c r="D134" s="9">
        <v>1635</v>
      </c>
      <c r="E134" s="9">
        <v>1641</v>
      </c>
      <c r="F134" s="9">
        <v>1676</v>
      </c>
      <c r="G134" s="22">
        <f>D134</f>
        <v>1635</v>
      </c>
      <c r="H134" s="37">
        <f>C28</f>
        <v>1691</v>
      </c>
      <c r="I134" s="13"/>
    </row>
    <row r="135" ht="24">
      <c r="A135" s="1"/>
      <c r="B135" s="4" t="s">
        <v>559</v>
      </c>
      <c r="C135" s="9">
        <v>7360</v>
      </c>
      <c r="D135" s="9">
        <v>7359</v>
      </c>
      <c r="E135" s="9">
        <v>7399</v>
      </c>
      <c r="F135" s="9">
        <v>7399</v>
      </c>
      <c r="G135" s="22">
        <f>D135</f>
        <v>7359</v>
      </c>
      <c r="H135" s="37">
        <f>C31</f>
        <v>7999</v>
      </c>
      <c r="I135" s="13"/>
    </row>
    <row r="136">
      <c r="A136" s="1"/>
      <c r="B136" s="1" t="s">
        <v>560</v>
      </c>
      <c r="C136" s="9">
        <v>14559</v>
      </c>
      <c r="D136" s="9">
        <v>14593</v>
      </c>
      <c r="E136" s="9">
        <v>14637</v>
      </c>
      <c r="F136" s="9">
        <v>14658</v>
      </c>
      <c r="G136" s="22">
        <f>D136</f>
        <v>14593</v>
      </c>
      <c r="H136" s="37">
        <f>C34</f>
        <v>17007</v>
      </c>
      <c r="I136" s="13"/>
    </row>
    <row r="137" ht="24">
      <c r="A137" s="1"/>
      <c r="B137" s="4" t="s">
        <v>561</v>
      </c>
      <c r="C137" s="9">
        <v>3122</v>
      </c>
      <c r="D137" s="9">
        <v>3012</v>
      </c>
      <c r="E137" s="9">
        <v>2963</v>
      </c>
      <c r="F137" s="9">
        <v>2893</v>
      </c>
      <c r="G137" s="22">
        <f>D137</f>
        <v>3012</v>
      </c>
      <c r="H137" s="37">
        <f>C37</f>
        <v>5089</v>
      </c>
      <c r="I137" s="13"/>
    </row>
    <row r="138" ht="34.5">
      <c r="A138" s="1"/>
      <c r="B138" s="4" t="s">
        <v>562</v>
      </c>
      <c r="C138" s="9">
        <v>4189</v>
      </c>
      <c r="D138" s="9">
        <v>3766</v>
      </c>
      <c r="E138" s="9">
        <v>3767</v>
      </c>
      <c r="F138" s="9">
        <v>3690</v>
      </c>
      <c r="G138" s="22">
        <f>D138</f>
        <v>3766</v>
      </c>
      <c r="H138" s="37">
        <f>C40</f>
        <v>3839</v>
      </c>
      <c r="I138" s="13"/>
    </row>
    <row r="139">
      <c r="A139" s="1"/>
      <c r="B139" s="1" t="s">
        <v>563</v>
      </c>
      <c r="C139" s="22">
        <f>C133+C134+C135+C136+C137+C138</f>
        <v>49775</v>
      </c>
      <c r="D139" s="22">
        <f>D133+D134+D135+D136+D137+D138</f>
        <v>48935</v>
      </c>
      <c r="E139" s="22">
        <f>E133+E134+E135+E136+E137+E138</f>
        <v>49002</v>
      </c>
      <c r="F139" s="22">
        <f>F133+F134+F135+F136+F137+F138</f>
        <v>48769</v>
      </c>
      <c r="G139" s="22">
        <f>D139</f>
        <v>48935</v>
      </c>
      <c r="H139" s="37">
        <f>C43</f>
        <v>55093</v>
      </c>
      <c r="I139" s="13"/>
    </row>
    <row r="140" ht="34.5">
      <c r="A140" s="1"/>
      <c r="B140" s="4" t="s">
        <v>564</v>
      </c>
      <c r="C140" s="9">
        <v>10346</v>
      </c>
      <c r="D140" s="9">
        <v>10375</v>
      </c>
      <c r="E140" s="9">
        <v>10221</v>
      </c>
      <c r="F140" s="9">
        <v>9993</v>
      </c>
      <c r="G140" s="22">
        <f>D140</f>
        <v>10375</v>
      </c>
      <c r="H140" s="37">
        <f>C48</f>
        <v>10857</v>
      </c>
      <c r="I140" s="13"/>
    </row>
    <row r="141" ht="34.5">
      <c r="A141" s="1"/>
      <c r="B141" s="4" t="s">
        <v>565</v>
      </c>
      <c r="C141" s="9">
        <v>888</v>
      </c>
      <c r="D141" s="9">
        <v>982</v>
      </c>
      <c r="E141" s="9">
        <v>936</v>
      </c>
      <c r="F141" s="9">
        <v>833</v>
      </c>
      <c r="G141" s="22">
        <f>D141</f>
        <v>982</v>
      </c>
      <c r="H141" s="37">
        <f>C51</f>
        <v>814</v>
      </c>
      <c r="I141" s="13"/>
    </row>
    <row r="142" ht="34.5">
      <c r="A142" s="1"/>
      <c r="B142" s="4" t="s">
        <v>566</v>
      </c>
      <c r="C142" s="9">
        <v>1059</v>
      </c>
      <c r="D142" s="9">
        <v>1051</v>
      </c>
      <c r="E142" s="9">
        <v>3475</v>
      </c>
      <c r="F142" s="9">
        <v>2807</v>
      </c>
      <c r="G142" s="22">
        <f>D142</f>
        <v>1051</v>
      </c>
      <c r="H142" s="37">
        <f>C54</f>
        <v>1923</v>
      </c>
      <c r="I142" s="13"/>
    </row>
    <row r="143" ht="24">
      <c r="A143" s="1"/>
      <c r="B143" s="4" t="s">
        <v>567</v>
      </c>
      <c r="C143" s="9">
        <v>406</v>
      </c>
      <c r="D143" s="9">
        <v>403</v>
      </c>
      <c r="E143" s="9">
        <v>404</v>
      </c>
      <c r="F143" s="9">
        <v>402</v>
      </c>
      <c r="G143" s="22">
        <f>D143</f>
        <v>403</v>
      </c>
      <c r="H143" s="37">
        <f>C57</f>
        <v>443</v>
      </c>
      <c r="I143" s="13"/>
    </row>
    <row r="144" ht="24">
      <c r="A144" s="1"/>
      <c r="B144" s="4" t="s">
        <v>568</v>
      </c>
      <c r="C144" s="22">
        <f>C140+C141+C142+C143</f>
        <v>12699</v>
      </c>
      <c r="D144" s="22">
        <f>D140+D141+D142+D143</f>
        <v>12811</v>
      </c>
      <c r="E144" s="22">
        <f>E140+E141+E142+E143</f>
        <v>15036</v>
      </c>
      <c r="F144" s="22">
        <f>F140+F141+F142+F143</f>
        <v>14035</v>
      </c>
      <c r="G144" s="22">
        <f>D144</f>
        <v>12811</v>
      </c>
      <c r="H144" s="37">
        <f>C60</f>
        <v>14037</v>
      </c>
      <c r="I144" s="13"/>
    </row>
    <row r="145">
      <c r="A145" s="1"/>
      <c r="B145" s="1" t="s">
        <v>569</v>
      </c>
      <c r="C145" s="9">
        <v>11864</v>
      </c>
      <c r="D145" s="9">
        <v>11023</v>
      </c>
      <c r="E145" s="9">
        <v>10527</v>
      </c>
      <c r="F145" s="9">
        <v>10891</v>
      </c>
      <c r="G145" s="22">
        <f>D145</f>
        <v>11023</v>
      </c>
      <c r="H145" s="37">
        <f>C63</f>
        <v>10843</v>
      </c>
      <c r="I145" s="13"/>
    </row>
    <row r="146" ht="24">
      <c r="A146" s="1"/>
      <c r="B146" s="4" t="s">
        <v>570</v>
      </c>
      <c r="C146" s="9">
        <v>176</v>
      </c>
      <c r="D146" s="9">
        <v>512</v>
      </c>
      <c r="E146" s="9">
        <v>507</v>
      </c>
      <c r="F146" s="9">
        <v>502</v>
      </c>
      <c r="G146" s="22">
        <f>D146</f>
        <v>512</v>
      </c>
      <c r="H146" s="37">
        <f>C66</f>
        <v>502</v>
      </c>
      <c r="I146" s="13"/>
    </row>
    <row r="147">
      <c r="A147" s="1"/>
      <c r="B147" s="1" t="s">
        <v>571</v>
      </c>
      <c r="C147" s="9">
        <v>171</v>
      </c>
      <c r="D147" s="9">
        <v>67</v>
      </c>
      <c r="E147" s="9">
        <v>37</v>
      </c>
      <c r="F147" s="9">
        <v>12</v>
      </c>
      <c r="G147" s="22">
        <f>D147</f>
        <v>67</v>
      </c>
      <c r="H147" s="37">
        <f>C69</f>
        <v>827</v>
      </c>
      <c r="I147" s="13"/>
    </row>
    <row r="148" ht="24">
      <c r="A148" s="1"/>
      <c r="B148" s="4" t="s">
        <v>572</v>
      </c>
      <c r="C148" s="9">
        <v>2137</v>
      </c>
      <c r="D148" s="9">
        <v>2172</v>
      </c>
      <c r="E148" s="9">
        <v>2147</v>
      </c>
      <c r="F148" s="9">
        <v>1778</v>
      </c>
      <c r="G148" s="22">
        <f>D148</f>
        <v>2172</v>
      </c>
      <c r="H148" s="37">
        <f>C72</f>
        <v>1962</v>
      </c>
      <c r="I148" s="13"/>
    </row>
    <row r="149" ht="24">
      <c r="A149" s="1"/>
      <c r="B149" s="4" t="s">
        <v>573</v>
      </c>
      <c r="C149" s="22">
        <f>C144+C145+C146+C147+C148</f>
        <v>27047</v>
      </c>
      <c r="D149" s="22">
        <f>D144+D145+D146+D147+D148</f>
        <v>26585</v>
      </c>
      <c r="E149" s="22">
        <f>E144+E145+E146+E147+E148</f>
        <v>28254</v>
      </c>
      <c r="F149" s="22">
        <f>F144+F145+F146+F147+F148</f>
        <v>27218</v>
      </c>
      <c r="G149" s="22">
        <f>D149</f>
        <v>26585</v>
      </c>
      <c r="H149" s="37">
        <f>C75</f>
        <v>28171</v>
      </c>
      <c r="I149" s="13"/>
    </row>
    <row r="150">
      <c r="A150" s="1"/>
      <c r="B150" s="1" t="s">
        <v>574</v>
      </c>
      <c r="C150" s="9">
        <v>11408</v>
      </c>
      <c r="D150" s="9">
        <v>11458</v>
      </c>
      <c r="E150" s="9">
        <v>10827</v>
      </c>
      <c r="F150" s="9">
        <v>11354</v>
      </c>
      <c r="G150" s="22">
        <f>D150</f>
        <v>11458</v>
      </c>
      <c r="H150" s="37">
        <f>C79</f>
        <v>16338</v>
      </c>
      <c r="I150" s="13"/>
    </row>
    <row r="151">
      <c r="A151" s="1"/>
      <c r="B151" s="1" t="s">
        <v>575</v>
      </c>
      <c r="C151" s="9">
        <v>-1294</v>
      </c>
      <c r="D151" s="9">
        <v>-1773</v>
      </c>
      <c r="E151" s="9">
        <v>-3292</v>
      </c>
      <c r="F151" s="9">
        <v>-3742</v>
      </c>
      <c r="G151" s="22">
        <f>D151</f>
        <v>-1773</v>
      </c>
      <c r="H151" s="37">
        <f>C82</f>
        <v>-3636</v>
      </c>
      <c r="I151" s="13"/>
    </row>
    <row r="152" ht="24">
      <c r="A152" s="1"/>
      <c r="B152" s="4" t="s">
        <v>576</v>
      </c>
      <c r="C152" s="9">
        <v>15687</v>
      </c>
      <c r="D152" s="9">
        <v>16395</v>
      </c>
      <c r="E152" s="9">
        <v>16804</v>
      </c>
      <c r="F152" s="9">
        <v>17433</v>
      </c>
      <c r="G152" s="22">
        <f>D152</f>
        <v>16395</v>
      </c>
      <c r="H152" s="37">
        <f>C85</f>
        <v>17746</v>
      </c>
      <c r="I152" s="13"/>
    </row>
    <row r="153" ht="24">
      <c r="A153" s="1"/>
      <c r="B153" s="4" t="s">
        <v>577</v>
      </c>
      <c r="C153" s="9">
        <v>-4290</v>
      </c>
      <c r="D153" s="9">
        <v>-4950</v>
      </c>
      <c r="E153" s="9">
        <v>-4824</v>
      </c>
      <c r="F153" s="9">
        <v>-4743</v>
      </c>
      <c r="G153" s="22">
        <f>D153</f>
        <v>-4950</v>
      </c>
      <c r="H153" s="37">
        <f>C88</f>
        <v>-4813</v>
      </c>
      <c r="I153" s="13"/>
    </row>
    <row r="154" ht="24">
      <c r="A154" s="1"/>
      <c r="B154" s="4" t="s">
        <v>578</v>
      </c>
      <c r="C154" s="22">
        <f>C150+C151+C152+C153</f>
        <v>21511</v>
      </c>
      <c r="D154" s="22">
        <f>D150+D151+D152+D153</f>
        <v>21130</v>
      </c>
      <c r="E154" s="22">
        <f>E150+E151+E152+E153</f>
        <v>19515</v>
      </c>
      <c r="F154" s="22">
        <f>F150+F151+F152+F153</f>
        <v>20302</v>
      </c>
      <c r="G154" s="22">
        <f>D154</f>
        <v>21130</v>
      </c>
      <c r="H154" s="37">
        <f>C91</f>
        <v>25635</v>
      </c>
      <c r="I154" s="13"/>
    </row>
    <row r="155" ht="24">
      <c r="A155" s="1"/>
      <c r="B155" s="4" t="s">
        <v>579</v>
      </c>
      <c r="C155" s="9">
        <v>1217</v>
      </c>
      <c r="D155" s="9">
        <v>1220</v>
      </c>
      <c r="E155" s="9">
        <v>1233</v>
      </c>
      <c r="F155" s="9">
        <v>1249</v>
      </c>
      <c r="G155" s="22">
        <f>D155</f>
        <v>1220</v>
      </c>
      <c r="H155" s="37">
        <f>C94</f>
        <v>1287</v>
      </c>
      <c r="I155" s="13"/>
    </row>
    <row r="156">
      <c r="A156" s="1"/>
      <c r="B156" s="1" t="s">
        <v>580</v>
      </c>
      <c r="C156" s="22">
        <f>C154+C155</f>
        <v>22728</v>
      </c>
      <c r="D156" s="22">
        <f>D154+D155</f>
        <v>22350</v>
      </c>
      <c r="E156" s="22">
        <f>E154+E155</f>
        <v>20748</v>
      </c>
      <c r="F156" s="22">
        <f>F154+F155</f>
        <v>21551</v>
      </c>
      <c r="G156" s="22">
        <f>D156</f>
        <v>22350</v>
      </c>
      <c r="H156" s="37">
        <f>C97</f>
        <v>26922</v>
      </c>
      <c r="I156" s="13"/>
    </row>
    <row r="157" ht="24">
      <c r="A157" s="1"/>
      <c r="B157" s="4" t="s">
        <v>581</v>
      </c>
      <c r="C157" s="22">
        <f>C149+C156</f>
        <v>49775</v>
      </c>
      <c r="D157" s="22">
        <f>D149+D156</f>
        <v>48935</v>
      </c>
      <c r="E157" s="22">
        <f>E149+E156</f>
        <v>49002</v>
      </c>
      <c r="F157" s="22">
        <f>F149+F156</f>
        <v>48769</v>
      </c>
      <c r="G157" s="22">
        <f>D157</f>
        <v>48935</v>
      </c>
      <c r="H157" s="37">
        <f>C100</f>
        <v>55093</v>
      </c>
      <c r="I157" s="13"/>
    </row>
    <row r="158">
      <c r="A158" s="1"/>
      <c r="B158" s="1" t="s">
        <v>582</v>
      </c>
      <c r="C158" s="22">
        <f>C142+C145-C128-C129</f>
        <v>8461</v>
      </c>
      <c r="D158" s="22">
        <f>D142+D145-D128-D129</f>
        <v>7405</v>
      </c>
      <c r="E158" s="22">
        <f>E142+E145-E128-E129</f>
        <v>10105</v>
      </c>
      <c r="F158" s="22">
        <f>F142+F145-F128-F129</f>
        <v>9951</v>
      </c>
      <c r="G158" s="22">
        <f>G142+G145-G128-G129</f>
        <v>7405</v>
      </c>
      <c r="H158" s="37">
        <f>C106</f>
        <v>9181</v>
      </c>
      <c r="I158" s="13"/>
    </row>
    <row r="159">
      <c r="A159" s="1"/>
      <c r="B159" s="1" t="s">
        <v>583</v>
      </c>
      <c r="C159" s="92">
        <f>EDATE(C$6,-12)-EOMONTH(EDATE(C$6,-12),-3)</f>
        <v>92</v>
      </c>
      <c r="D159" s="92">
        <f>EDATE(D$6,-12)-EOMONTH(EDATE(D$6,-12),-3)</f>
        <v>92</v>
      </c>
      <c r="E159" s="92">
        <f>EDATE(E$6,-12)-EOMONTH(EDATE(E$6,-12),-3)</f>
        <v>90</v>
      </c>
      <c r="F159" s="92">
        <f>EDATE(F$6,-12)-EOMONTH(EDATE(F$6,-12),-3)</f>
        <v>91</v>
      </c>
      <c r="G159" s="92">
        <f>EDATE(G$6,-12)-EOMONTH(EDATE(G$6,-12),-12)</f>
        <v>366</v>
      </c>
      <c r="H159" s="89">
        <f>C111</f>
        <v>92</v>
      </c>
      <c r="I159" s="13"/>
    </row>
    <row r="160" ht="24">
      <c r="A160" s="1"/>
      <c r="B160" s="57" t="s">
        <v>584</v>
      </c>
      <c r="C160" s="82">
        <f>C130/'Income Statement'!C235*C159</f>
        <v>82.96975652363794</v>
      </c>
      <c r="D160" s="82">
        <f>D130/'Income Statement'!D235*D159</f>
        <v>79.3851788022404</v>
      </c>
      <c r="E160" s="82">
        <f>E130/'Income Statement'!E235*E159</f>
        <v>91.20848056537102</v>
      </c>
      <c r="F160" s="82">
        <f>F130/'Income Statement'!F235*F159</f>
        <v>91.42593025977065</v>
      </c>
      <c r="G160" s="82">
        <f>G130/'Income Statement'!G235*G159</f>
        <v>80.79654991870815</v>
      </c>
      <c r="H160" s="83">
        <f>C114</f>
        <v>93.78270609318996</v>
      </c>
      <c r="I160" s="13"/>
    </row>
    <row r="161">
      <c r="A161" s="1"/>
      <c r="B161" s="15" t="s">
        <v>585</v>
      </c>
      <c r="C161" s="82">
        <f>C131/'Income Statement'!C239*C159</f>
        <v>58.13403343927041</v>
      </c>
      <c r="D161" s="82">
        <f>D131/'Income Statement'!D239*D159</f>
        <v>54.97131931166348</v>
      </c>
      <c r="E161" s="82">
        <f>E131/'Income Statement'!E239*E159</f>
        <v>60.793143521208606</v>
      </c>
      <c r="F161" s="82">
        <f>F131/'Income Statement'!F239*F159</f>
        <v>62.20651860398039</v>
      </c>
      <c r="G161" s="82">
        <f>G131/'Income Statement'!G239*G159</f>
        <v>55.54302958826182</v>
      </c>
      <c r="H161" s="83">
        <f>C117</f>
        <v>66.42225237449118</v>
      </c>
      <c r="I161" s="13"/>
    </row>
    <row r="162" ht="24">
      <c r="A162" s="1"/>
      <c r="B162" s="57" t="s">
        <v>586</v>
      </c>
      <c r="C162" s="82">
        <f>C140/'Income Statement'!C239*C159</f>
        <v>131.52300677076136</v>
      </c>
      <c r="D162" s="82">
        <f>D140/'Income Statement'!D239*D159</f>
        <v>130.36055722480197</v>
      </c>
      <c r="E162" s="82">
        <f>E140/'Income Statement'!E239*E159</f>
        <v>133.62725159790818</v>
      </c>
      <c r="F162" s="82">
        <f>F140/'Income Statement'!F239*F159</f>
        <v>131.14551485434092</v>
      </c>
      <c r="G162" s="82">
        <f>G140/'Income Statement'!G239*G159</f>
        <v>131.7163273093066</v>
      </c>
      <c r="H162" s="83">
        <f>C120</f>
        <v>135.52835820895524</v>
      </c>
      <c r="I162" s="13"/>
    </row>
    <row r="163" ht="24">
      <c r="A163" s="1"/>
      <c r="B163" s="4" t="s">
        <v>587</v>
      </c>
      <c r="C163" s="22">
        <f>C130+C131-C140</f>
        <v>2487</v>
      </c>
      <c r="D163" s="22">
        <f>D130+D131-D140</f>
        <v>2011</v>
      </c>
      <c r="E163" s="22">
        <f>E130+E131-E140</f>
        <v>3033</v>
      </c>
      <c r="F163" s="22">
        <f>F130+F131-F140</f>
        <v>3333</v>
      </c>
      <c r="G163" s="22">
        <f>G130+G131-G140</f>
        <v>2011</v>
      </c>
      <c r="H163" s="37">
        <f>C123</f>
        <v>3565</v>
      </c>
      <c r="I163" s="13"/>
    </row>
    <row r="164">
      <c r="A164" s="1"/>
      <c r="B164" s="1"/>
      <c r="C164" s="1"/>
      <c r="D164" s="1"/>
      <c r="E164" s="1"/>
      <c r="F164" s="1"/>
      <c r="G164" s="1"/>
      <c r="H164" s="1"/>
      <c r="I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</row>
  </sheetData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8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51" t="s">
        <v>1</v>
      </c>
      <c r="C2" s="1"/>
      <c r="D2" s="1"/>
      <c r="E2" s="1"/>
      <c r="F2" s="1"/>
      <c r="G2" s="1"/>
      <c r="H2" s="1"/>
      <c r="I2" s="1"/>
    </row>
    <row r="3">
      <c r="A3" s="1"/>
      <c r="B3" s="33" t="s">
        <v>588</v>
      </c>
      <c r="C3" s="1"/>
      <c r="D3" s="1"/>
      <c r="E3" s="1"/>
      <c r="F3" s="1"/>
      <c r="G3" s="1"/>
      <c r="H3" s="1"/>
      <c r="I3" s="1"/>
    </row>
    <row r="4">
      <c r="A4" s="1"/>
      <c r="B4" s="15" t="s">
        <v>3</v>
      </c>
      <c r="C4" s="1"/>
      <c r="D4" s="1"/>
      <c r="E4" s="1"/>
      <c r="F4" s="1"/>
      <c r="G4" s="1"/>
      <c r="H4" s="1"/>
      <c r="I4" s="1"/>
    </row>
    <row r="5">
      <c r="A5" s="1"/>
      <c r="B5" s="4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58" t="s">
        <v>10</v>
      </c>
      <c r="I5" s="46" t="s">
        <v>99</v>
      </c>
    </row>
    <row r="6">
      <c r="A6" s="1"/>
      <c r="B6" s="34" t="s">
        <v>11</v>
      </c>
      <c r="C6" s="18">
        <f>DATE(2025,9,30)</f>
        <v>45930</v>
      </c>
      <c r="D6" s="18">
        <f>DATE(2025,12,31)</f>
        <v>46022</v>
      </c>
      <c r="E6" s="18">
        <f>DATE(2026,3,31)</f>
        <v>46112</v>
      </c>
      <c r="F6" s="18">
        <f>DATE(2026,6,30)</f>
        <v>46203</v>
      </c>
      <c r="G6" s="18">
        <f>DATE(2025,12,31)</f>
        <v>46022</v>
      </c>
      <c r="H6" s="55">
        <f>DATE(2026,9,30)</f>
        <v>46295</v>
      </c>
      <c r="I6" s="34"/>
    </row>
    <row r="7">
      <c r="A7" s="1"/>
      <c r="B7" s="12" t="s">
        <v>12</v>
      </c>
      <c r="C7" s="6">
        <f>C6-EOMONTH(C6,-3)</f>
        <v>92</v>
      </c>
      <c r="D7" s="6">
        <f>D6-EOMONTH(D6,-3)</f>
        <v>92</v>
      </c>
      <c r="E7" s="6">
        <f>E6-EOMONTH(E6,-3)</f>
        <v>90</v>
      </c>
      <c r="F7" s="6">
        <f>F6-EOMONTH(F6,-3)</f>
        <v>91</v>
      </c>
      <c r="G7" s="6">
        <f>G6-EOMONTH(G6,-12)</f>
        <v>365</v>
      </c>
      <c r="H7" s="17">
        <f>H6-EOMONTH(H6,-3)</f>
        <v>92</v>
      </c>
      <c r="I7" s="12"/>
    </row>
    <row r="8">
      <c r="A8" s="1"/>
      <c r="B8" s="1"/>
      <c r="C8" s="1"/>
      <c r="D8" s="1"/>
      <c r="E8" s="1"/>
      <c r="F8" s="1"/>
      <c r="G8" s="1"/>
      <c r="H8" s="53"/>
      <c r="I8" s="1"/>
    </row>
    <row r="9">
      <c r="A9" s="1"/>
      <c r="B9" s="41" t="s">
        <v>589</v>
      </c>
      <c r="C9" s="1"/>
      <c r="D9" s="1"/>
      <c r="E9" s="1"/>
      <c r="F9" s="1"/>
      <c r="G9" s="1"/>
      <c r="H9" s="53"/>
      <c r="I9" s="13"/>
    </row>
    <row r="10" ht="24">
      <c r="A10" s="1"/>
      <c r="B10" s="4" t="s">
        <v>590</v>
      </c>
      <c r="C10" s="16">
        <f>Inputs!$D$122-Inputs!$C$122</f>
        <v>774</v>
      </c>
      <c r="D10" s="16">
        <f>Inputs!$E$122-Inputs!$D$122</f>
        <v>800</v>
      </c>
      <c r="E10" s="16">
        <f>Inputs!$F$122</f>
        <v>761</v>
      </c>
      <c r="F10" s="16">
        <f>Inputs!$G$122-Inputs!$F$122</f>
        <v>815</v>
      </c>
      <c r="G10" s="16">
        <f>Inputs!$E$122</f>
        <v>3451</v>
      </c>
      <c r="H10" s="73">
        <f>'Income Statement'!H76</f>
        <v>900.6714383899999</v>
      </c>
      <c r="I10" s="13"/>
    </row>
    <row r="11">
      <c r="A11" s="1"/>
      <c r="B11" s="15" t="s">
        <v>130</v>
      </c>
      <c r="C11" s="5">
        <f>C10-C141</f>
        <v>-444</v>
      </c>
      <c r="D11" s="5">
        <f>D10-D141</f>
        <v>-318</v>
      </c>
      <c r="E11" s="5">
        <f>E10-E141</f>
        <v>-68</v>
      </c>
      <c r="F11" s="5">
        <f>F10-F141</f>
        <v>-233</v>
      </c>
      <c r="G11" s="5">
        <f>G10-G141</f>
        <v>-1128</v>
      </c>
      <c r="H11" s="21">
        <f>H10-H141</f>
        <v>126.67143838999993</v>
      </c>
      <c r="I11" s="13"/>
    </row>
    <row r="12">
      <c r="A12" s="1"/>
      <c r="B12" s="15" t="s">
        <v>131</v>
      </c>
      <c r="C12" s="5">
        <f>C10-F141</f>
        <v>-274</v>
      </c>
      <c r="D12" s="5">
        <f>D10-C10</f>
        <v>26</v>
      </c>
      <c r="E12" s="5">
        <f>E10-D10</f>
        <v>-39</v>
      </c>
      <c r="F12" s="5">
        <f>F10-E10</f>
        <v>54</v>
      </c>
      <c r="G12" s="5" t="s">
        <v>44</v>
      </c>
      <c r="H12" s="21">
        <f>H10-F10</f>
        <v>85.67143838999993</v>
      </c>
      <c r="I12" s="13"/>
    </row>
    <row r="13">
      <c r="A13" s="1"/>
      <c r="B13" s="1" t="s">
        <v>591</v>
      </c>
      <c r="C13" s="16">
        <f>Inputs!$D$123-Inputs!$C$123</f>
        <v>638</v>
      </c>
      <c r="D13" s="16">
        <f>Inputs!$E$123-Inputs!$D$123</f>
        <v>732</v>
      </c>
      <c r="E13" s="16">
        <f>Inputs!$F$123</f>
        <v>685</v>
      </c>
      <c r="F13" s="16">
        <f>Inputs!$G$123-Inputs!$F$123</f>
        <v>712</v>
      </c>
      <c r="G13" s="16">
        <f>Inputs!$E$123</f>
        <v>2643</v>
      </c>
      <c r="H13" s="73">
        <f>'Income Statement'!H97</f>
        <v>711</v>
      </c>
      <c r="I13" s="13"/>
    </row>
    <row r="14">
      <c r="A14" s="1"/>
      <c r="B14" s="15" t="s">
        <v>130</v>
      </c>
      <c r="C14" s="5">
        <f>C13-C142</f>
        <v>-2</v>
      </c>
      <c r="D14" s="5">
        <f>D13-D142</f>
        <v>84</v>
      </c>
      <c r="E14" s="5">
        <f>E13-E142</f>
        <v>45</v>
      </c>
      <c r="F14" s="5">
        <f>F13-F142</f>
        <v>79</v>
      </c>
      <c r="G14" s="5">
        <f>G13-G142</f>
        <v>124</v>
      </c>
      <c r="H14" s="21">
        <f>H13-H142</f>
        <v>73</v>
      </c>
      <c r="I14" s="13"/>
    </row>
    <row r="15">
      <c r="A15" s="1"/>
      <c r="B15" s="15" t="s">
        <v>131</v>
      </c>
      <c r="C15" s="5">
        <f>C13-F142</f>
        <v>5</v>
      </c>
      <c r="D15" s="5">
        <f>D13-C13</f>
        <v>94</v>
      </c>
      <c r="E15" s="5">
        <f>E13-D13</f>
        <v>-47</v>
      </c>
      <c r="F15" s="5">
        <f>F13-E13</f>
        <v>27</v>
      </c>
      <c r="G15" s="5" t="s">
        <v>44</v>
      </c>
      <c r="H15" s="21">
        <f>H13-F13</f>
        <v>-1</v>
      </c>
      <c r="I15" s="13"/>
    </row>
    <row r="16" ht="34.5">
      <c r="A16" s="1"/>
      <c r="B16" s="4" t="s">
        <v>592</v>
      </c>
      <c r="C16" s="16">
        <f>Inputs!$D$124-Inputs!$C$124</f>
        <v>52</v>
      </c>
      <c r="D16" s="16">
        <f>Inputs!$E$124-Inputs!$D$124</f>
        <v>376</v>
      </c>
      <c r="E16" s="16">
        <f>Inputs!$F$124</f>
        <v>0</v>
      </c>
      <c r="F16" s="16">
        <f>Inputs!$G$124-Inputs!$F$124</f>
        <v>0</v>
      </c>
      <c r="G16" s="16">
        <f>Inputs!$E$124</f>
        <v>348</v>
      </c>
      <c r="H16" s="8">
        <v>0</v>
      </c>
      <c r="I16" s="13"/>
    </row>
    <row r="17">
      <c r="A17" s="1"/>
      <c r="B17" s="15" t="s">
        <v>130</v>
      </c>
      <c r="C17" s="5">
        <f>C16-C143</f>
        <v>52</v>
      </c>
      <c r="D17" s="5">
        <f>D16-D143</f>
        <v>195</v>
      </c>
      <c r="E17" s="5">
        <f>E16-E143</f>
        <v>0</v>
      </c>
      <c r="F17" s="5">
        <f>F16-F143</f>
        <v>80</v>
      </c>
      <c r="G17" s="5">
        <f>G16-G143</f>
        <v>167</v>
      </c>
      <c r="H17" s="21">
        <f>H16-H143</f>
        <v>-52</v>
      </c>
      <c r="I17" s="13"/>
    </row>
    <row r="18">
      <c r="A18" s="1"/>
      <c r="B18" s="15" t="s">
        <v>131</v>
      </c>
      <c r="C18" s="5">
        <f>C16-F143</f>
        <v>132</v>
      </c>
      <c r="D18" s="5">
        <f>D16-C16</f>
        <v>324</v>
      </c>
      <c r="E18" s="5">
        <f>E16-D16</f>
        <v>-376</v>
      </c>
      <c r="F18" s="5">
        <f>F16-E16</f>
        <v>0</v>
      </c>
      <c r="G18" s="5" t="s">
        <v>44</v>
      </c>
      <c r="H18" s="21">
        <f>H16-F16</f>
        <v>0</v>
      </c>
      <c r="I18" s="13"/>
    </row>
    <row r="19">
      <c r="A19" s="1"/>
      <c r="B19" s="1" t="s">
        <v>519</v>
      </c>
      <c r="C19" s="16">
        <f>Inputs!$D$125-Inputs!$C$125</f>
        <v>-29</v>
      </c>
      <c r="D19" s="16">
        <f>Inputs!$E$125-Inputs!$D$125</f>
        <v>-190</v>
      </c>
      <c r="E19" s="16">
        <f>Inputs!$F$125</f>
        <v>53</v>
      </c>
      <c r="F19" s="16">
        <f>Inputs!$G$125-Inputs!$F$125</f>
        <v>-58</v>
      </c>
      <c r="G19" s="16">
        <f>Inputs!$E$125</f>
        <v>-279</v>
      </c>
      <c r="H19" s="8">
        <v>0</v>
      </c>
      <c r="I19" s="13"/>
    </row>
    <row r="20">
      <c r="A20" s="1"/>
      <c r="B20" s="15" t="s">
        <v>130</v>
      </c>
      <c r="C20" s="5">
        <f>C19-C144</f>
        <v>-90</v>
      </c>
      <c r="D20" s="5">
        <f>D19-D144</f>
        <v>-117</v>
      </c>
      <c r="E20" s="5">
        <f>E19-E144</f>
        <v>90</v>
      </c>
      <c r="F20" s="5">
        <f>F19-F144</f>
        <v>-35</v>
      </c>
      <c r="G20" s="5">
        <f>G19-G144</f>
        <v>-238</v>
      </c>
      <c r="H20" s="21">
        <f>H19-H144</f>
        <v>29</v>
      </c>
      <c r="I20" s="13"/>
    </row>
    <row r="21">
      <c r="A21" s="1"/>
      <c r="B21" s="15" t="s">
        <v>131</v>
      </c>
      <c r="C21" s="5">
        <f>C19-F144</f>
        <v>-6</v>
      </c>
      <c r="D21" s="5">
        <f>D19-C19</f>
        <v>-161</v>
      </c>
      <c r="E21" s="5">
        <f>E19-D19</f>
        <v>243</v>
      </c>
      <c r="F21" s="5">
        <f>F19-E19</f>
        <v>-111</v>
      </c>
      <c r="G21" s="5" t="s">
        <v>44</v>
      </c>
      <c r="H21" s="21">
        <f>H19-F19</f>
        <v>58</v>
      </c>
      <c r="I21" s="13"/>
    </row>
    <row r="22">
      <c r="A22" s="1"/>
      <c r="B22" s="1" t="s">
        <v>593</v>
      </c>
      <c r="C22" s="16">
        <f>Inputs!$D$126-Inputs!$C$126</f>
        <v>89</v>
      </c>
      <c r="D22" s="16">
        <f>Inputs!$E$126-Inputs!$D$126</f>
        <v>75</v>
      </c>
      <c r="E22" s="16">
        <f>Inputs!$F$126</f>
        <v>101</v>
      </c>
      <c r="F22" s="16">
        <f>Inputs!$G$126-Inputs!$F$126</f>
        <v>78</v>
      </c>
      <c r="G22" s="16">
        <f>Inputs!$E$126</f>
        <v>332</v>
      </c>
      <c r="H22" s="8">
        <v>85</v>
      </c>
      <c r="I22" s="13" t="s">
        <v>594</v>
      </c>
    </row>
    <row r="23">
      <c r="A23" s="1"/>
      <c r="B23" s="15" t="s">
        <v>130</v>
      </c>
      <c r="C23" s="5">
        <f>C22-C145</f>
        <v>18</v>
      </c>
      <c r="D23" s="5">
        <f>D22-D145</f>
        <v>3</v>
      </c>
      <c r="E23" s="5">
        <f>E22-E145</f>
        <v>10</v>
      </c>
      <c r="F23" s="5">
        <f>F22-F145</f>
        <v>1</v>
      </c>
      <c r="G23" s="5">
        <f>G22-G145</f>
        <v>16</v>
      </c>
      <c r="H23" s="21">
        <f>H22-H145</f>
        <v>-4</v>
      </c>
      <c r="I23" s="13"/>
    </row>
    <row r="24">
      <c r="A24" s="1"/>
      <c r="B24" s="15" t="s">
        <v>131</v>
      </c>
      <c r="C24" s="5">
        <f>C22-F145</f>
        <v>12</v>
      </c>
      <c r="D24" s="5">
        <f>D22-C22</f>
        <v>-14</v>
      </c>
      <c r="E24" s="5">
        <f>E22-D22</f>
        <v>26</v>
      </c>
      <c r="F24" s="5">
        <f>F22-E22</f>
        <v>-23</v>
      </c>
      <c r="G24" s="5" t="s">
        <v>44</v>
      </c>
      <c r="H24" s="21">
        <f>H22-F22</f>
        <v>7</v>
      </c>
      <c r="I24" s="13"/>
    </row>
    <row r="25" ht="24">
      <c r="A25" s="1"/>
      <c r="B25" s="4" t="s">
        <v>595</v>
      </c>
      <c r="C25" s="16">
        <f>Inputs!$D$127-Inputs!$C$127</f>
        <v>-12</v>
      </c>
      <c r="D25" s="16">
        <f>Inputs!$E$127-Inputs!$D$127</f>
        <v>0</v>
      </c>
      <c r="E25" s="16">
        <f>Inputs!$F$127</f>
        <v>3</v>
      </c>
      <c r="F25" s="16">
        <f>Inputs!$G$127-Inputs!$F$127</f>
        <v>-24</v>
      </c>
      <c r="G25" s="16">
        <f>Inputs!$E$127</f>
        <v>-59</v>
      </c>
      <c r="H25" s="8">
        <v>-20</v>
      </c>
      <c r="I25" s="13" t="s">
        <v>596</v>
      </c>
    </row>
    <row r="26">
      <c r="A26" s="1"/>
      <c r="B26" s="15" t="s">
        <v>130</v>
      </c>
      <c r="C26" s="5">
        <f>C25-C146</f>
        <v>9</v>
      </c>
      <c r="D26" s="5">
        <f>D25-D146</f>
        <v>9</v>
      </c>
      <c r="E26" s="5">
        <f>E25-E146</f>
        <v>13</v>
      </c>
      <c r="F26" s="5">
        <f>F25-F146</f>
        <v>13</v>
      </c>
      <c r="G26" s="5">
        <f>G25-G146</f>
        <v>-41</v>
      </c>
      <c r="H26" s="21">
        <f>H25-H146</f>
        <v>-8</v>
      </c>
      <c r="I26" s="13"/>
    </row>
    <row r="27">
      <c r="A27" s="1"/>
      <c r="B27" s="15" t="s">
        <v>131</v>
      </c>
      <c r="C27" s="5">
        <f>C25-F146</f>
        <v>25</v>
      </c>
      <c r="D27" s="5">
        <f>D25-C25</f>
        <v>12</v>
      </c>
      <c r="E27" s="5">
        <f>E25-D25</f>
        <v>3</v>
      </c>
      <c r="F27" s="5">
        <f>F25-E25</f>
        <v>-27</v>
      </c>
      <c r="G27" s="5" t="s">
        <v>44</v>
      </c>
      <c r="H27" s="21">
        <f>H25-F25</f>
        <v>4</v>
      </c>
      <c r="I27" s="13"/>
    </row>
    <row r="28">
      <c r="A28" s="1"/>
      <c r="B28" s="1" t="s">
        <v>597</v>
      </c>
      <c r="C28" s="16">
        <f>Inputs!$D$128-Inputs!$C$128</f>
        <v>-48</v>
      </c>
      <c r="D28" s="16">
        <f>Inputs!$E$128-Inputs!$D$128</f>
        <v>453</v>
      </c>
      <c r="E28" s="16">
        <f>Inputs!$F$128</f>
        <v>-338</v>
      </c>
      <c r="F28" s="16">
        <f>Inputs!$G$128-Inputs!$F$128</f>
        <v>31</v>
      </c>
      <c r="G28" s="16">
        <f>Inputs!$E$128</f>
        <v>-75</v>
      </c>
      <c r="H28" s="73">
        <f>-('Balance Sheet'!H16-'Balance Sheet'!F16)</f>
        <v>-136.0065139999988</v>
      </c>
      <c r="I28" s="13" t="s">
        <v>598</v>
      </c>
    </row>
    <row r="29">
      <c r="A29" s="1"/>
      <c r="B29" s="15" t="s">
        <v>130</v>
      </c>
      <c r="C29" s="5">
        <f>C28-C147</f>
        <v>-407</v>
      </c>
      <c r="D29" s="5">
        <f>D28-D147</f>
        <v>293</v>
      </c>
      <c r="E29" s="5">
        <f>E28-E147</f>
        <v>134</v>
      </c>
      <c r="F29" s="5">
        <f>F28-F147</f>
        <v>39</v>
      </c>
      <c r="G29" s="5">
        <f>G28-G147</f>
        <v>161</v>
      </c>
      <c r="H29" s="21">
        <f>H28-H147</f>
        <v>-88.00651399999879</v>
      </c>
      <c r="I29" s="13"/>
    </row>
    <row r="30">
      <c r="A30" s="1"/>
      <c r="B30" s="15" t="s">
        <v>131</v>
      </c>
      <c r="C30" s="5">
        <f>C28-F147</f>
        <v>-40</v>
      </c>
      <c r="D30" s="5">
        <f>D28-C28</f>
        <v>501</v>
      </c>
      <c r="E30" s="5">
        <f>E28-D28</f>
        <v>-791</v>
      </c>
      <c r="F30" s="5">
        <f>F28-E28</f>
        <v>369</v>
      </c>
      <c r="G30" s="5" t="s">
        <v>44</v>
      </c>
      <c r="H30" s="21">
        <f>H28-F28</f>
        <v>-167.0065139999988</v>
      </c>
      <c r="I30" s="13"/>
    </row>
    <row r="31">
      <c r="A31" s="1"/>
      <c r="B31" s="1" t="s">
        <v>599</v>
      </c>
      <c r="C31" s="16">
        <f>Inputs!$D$129-Inputs!$C$129</f>
        <v>39</v>
      </c>
      <c r="D31" s="16">
        <f>Inputs!$E$129-Inputs!$D$129</f>
        <v>177</v>
      </c>
      <c r="E31" s="16">
        <f>Inputs!$F$129</f>
        <v>-224</v>
      </c>
      <c r="F31" s="16">
        <f>Inputs!$G$129-Inputs!$F$129</f>
        <v>-138</v>
      </c>
      <c r="G31" s="16">
        <f>Inputs!$E$129</f>
        <v>-72</v>
      </c>
      <c r="H31" s="73">
        <f>-('Balance Sheet'!H19-'Balance Sheet'!F19)</f>
        <v>43.359552000000804</v>
      </c>
      <c r="I31" s="13" t="s">
        <v>600</v>
      </c>
    </row>
    <row r="32">
      <c r="A32" s="1"/>
      <c r="B32" s="15" t="s">
        <v>130</v>
      </c>
      <c r="C32" s="5">
        <f>C31-C148</f>
        <v>133</v>
      </c>
      <c r="D32" s="5">
        <f>D31-D148</f>
        <v>35</v>
      </c>
      <c r="E32" s="5">
        <f>E31-E148</f>
        <v>-10</v>
      </c>
      <c r="F32" s="5">
        <f>F31-F148</f>
        <v>-64</v>
      </c>
      <c r="G32" s="5">
        <f>G31-G148</f>
        <v>29</v>
      </c>
      <c r="H32" s="21">
        <f>H31-H148</f>
        <v>4.359552000000804</v>
      </c>
      <c r="I32" s="13"/>
    </row>
    <row r="33">
      <c r="A33" s="1"/>
      <c r="B33" s="15" t="s">
        <v>131</v>
      </c>
      <c r="C33" s="5">
        <f>C31-F148</f>
        <v>113</v>
      </c>
      <c r="D33" s="5">
        <f>D31-C31</f>
        <v>138</v>
      </c>
      <c r="E33" s="5">
        <f>E31-D31</f>
        <v>-401</v>
      </c>
      <c r="F33" s="5">
        <f>F31-E31</f>
        <v>86</v>
      </c>
      <c r="G33" s="5" t="s">
        <v>44</v>
      </c>
      <c r="H33" s="21">
        <f>H31-F31</f>
        <v>181.3595520000008</v>
      </c>
      <c r="I33" s="13"/>
    </row>
    <row r="34" ht="24">
      <c r="A34" s="1"/>
      <c r="B34" s="4" t="s">
        <v>601</v>
      </c>
      <c r="C34" s="16">
        <f>Inputs!$D$130-Inputs!$C$130</f>
        <v>1</v>
      </c>
      <c r="D34" s="16">
        <f>Inputs!$E$130-Inputs!$D$130</f>
        <v>-77</v>
      </c>
      <c r="E34" s="16">
        <f>Inputs!$F$130</f>
        <v>-55</v>
      </c>
      <c r="F34" s="16">
        <f>Inputs!$G$130-Inputs!$F$130</f>
        <v>25</v>
      </c>
      <c r="G34" s="16">
        <f>Inputs!$E$130</f>
        <v>10</v>
      </c>
      <c r="H34" s="8">
        <v>0</v>
      </c>
      <c r="I34" s="13"/>
    </row>
    <row r="35">
      <c r="A35" s="1"/>
      <c r="B35" s="15" t="s">
        <v>130</v>
      </c>
      <c r="C35" s="5">
        <f>C34-C149</f>
        <v>85</v>
      </c>
      <c r="D35" s="5">
        <f>D34-D149</f>
        <v>-57</v>
      </c>
      <c r="E35" s="5">
        <f>E34-E149</f>
        <v>-135</v>
      </c>
      <c r="F35" s="5">
        <f>F34-F149</f>
        <v>19</v>
      </c>
      <c r="G35" s="5">
        <f>G34-G149</f>
        <v>7</v>
      </c>
      <c r="H35" s="21">
        <f>H34-H149</f>
        <v>-1</v>
      </c>
      <c r="I35" s="13"/>
    </row>
    <row r="36">
      <c r="A36" s="1"/>
      <c r="B36" s="15" t="s">
        <v>131</v>
      </c>
      <c r="C36" s="5">
        <f>C34-F149</f>
        <v>-5</v>
      </c>
      <c r="D36" s="5">
        <f>D34-C34</f>
        <v>-78</v>
      </c>
      <c r="E36" s="5">
        <f>E34-D34</f>
        <v>22</v>
      </c>
      <c r="F36" s="5">
        <f>F34-E34</f>
        <v>80</v>
      </c>
      <c r="G36" s="5" t="s">
        <v>44</v>
      </c>
      <c r="H36" s="21">
        <f>H34-F34</f>
        <v>-25</v>
      </c>
      <c r="I36" s="13"/>
    </row>
    <row r="37">
      <c r="A37" s="1"/>
      <c r="B37" s="1" t="s">
        <v>602</v>
      </c>
      <c r="C37" s="16">
        <f>Inputs!$D$131-Inputs!$C$131</f>
        <v>5</v>
      </c>
      <c r="D37" s="16">
        <f>Inputs!$E$131-Inputs!$D$131</f>
        <v>17</v>
      </c>
      <c r="E37" s="16">
        <f>Inputs!$F$131</f>
        <v>3</v>
      </c>
      <c r="F37" s="16">
        <f>Inputs!$G$131-Inputs!$F$131</f>
        <v>3</v>
      </c>
      <c r="G37" s="16">
        <f>Inputs!$E$131</f>
        <v>-22</v>
      </c>
      <c r="H37" s="8">
        <v>0</v>
      </c>
      <c r="I37" s="13"/>
    </row>
    <row r="38">
      <c r="A38" s="1"/>
      <c r="B38" s="15" t="s">
        <v>130</v>
      </c>
      <c r="C38" s="5">
        <f>C37-C150</f>
        <v>3</v>
      </c>
      <c r="D38" s="5">
        <f>D37-D150</f>
        <v>1</v>
      </c>
      <c r="E38" s="5">
        <f>E37-E150</f>
        <v>14</v>
      </c>
      <c r="F38" s="5">
        <f>F37-F150</f>
        <v>36</v>
      </c>
      <c r="G38" s="5">
        <f>G37-G150</f>
        <v>-35</v>
      </c>
      <c r="H38" s="21">
        <f>H37-H150</f>
        <v>-5</v>
      </c>
      <c r="I38" s="13"/>
    </row>
    <row r="39">
      <c r="A39" s="1"/>
      <c r="B39" s="15" t="s">
        <v>131</v>
      </c>
      <c r="C39" s="5">
        <f>C37-F150</f>
        <v>38</v>
      </c>
      <c r="D39" s="5">
        <f>D37-C37</f>
        <v>12</v>
      </c>
      <c r="E39" s="5">
        <f>E37-D37</f>
        <v>-14</v>
      </c>
      <c r="F39" s="5">
        <f>F37-E37</f>
        <v>0</v>
      </c>
      <c r="G39" s="5" t="s">
        <v>44</v>
      </c>
      <c r="H39" s="21">
        <f>H37-F37</f>
        <v>-3</v>
      </c>
      <c r="I39" s="13"/>
    </row>
    <row r="40" ht="24">
      <c r="A40" s="1"/>
      <c r="B40" s="4" t="s">
        <v>603</v>
      </c>
      <c r="C40" s="16">
        <f>Inputs!$D$132-Inputs!$C$132</f>
        <v>176</v>
      </c>
      <c r="D40" s="16">
        <f>Inputs!$E$132-Inputs!$D$132</f>
        <v>599</v>
      </c>
      <c r="E40" s="16">
        <f>Inputs!$F$132</f>
        <v>-383</v>
      </c>
      <c r="F40" s="16">
        <f>Inputs!$G$132-Inputs!$F$132</f>
        <v>-23</v>
      </c>
      <c r="G40" s="16">
        <f>Inputs!$E$132</f>
        <v>218</v>
      </c>
      <c r="H40" s="73">
        <f>'Balance Sheet'!H48-'Balance Sheet'!F48</f>
        <v>165.10094499999832</v>
      </c>
      <c r="I40" s="13" t="s">
        <v>604</v>
      </c>
    </row>
    <row r="41">
      <c r="A41" s="1"/>
      <c r="B41" s="15" t="s">
        <v>130</v>
      </c>
      <c r="C41" s="5">
        <f>C40-C151</f>
        <v>-34</v>
      </c>
      <c r="D41" s="5">
        <f>D40-D151</f>
        <v>502</v>
      </c>
      <c r="E41" s="5">
        <f>E40-E151</f>
        <v>-108</v>
      </c>
      <c r="F41" s="5">
        <f>F40-F151</f>
        <v>259</v>
      </c>
      <c r="G41" s="5">
        <f>G40-G151</f>
        <v>853</v>
      </c>
      <c r="H41" s="21">
        <f>H40-H151</f>
        <v>-10.899055000001681</v>
      </c>
      <c r="I41" s="13"/>
    </row>
    <row r="42">
      <c r="A42" s="1"/>
      <c r="B42" s="15" t="s">
        <v>131</v>
      </c>
      <c r="C42" s="5">
        <f>C40-F151</f>
        <v>458</v>
      </c>
      <c r="D42" s="5">
        <f>D40-C40</f>
        <v>423</v>
      </c>
      <c r="E42" s="5">
        <f>E40-D40</f>
        <v>-982</v>
      </c>
      <c r="F42" s="5">
        <f>F40-E40</f>
        <v>360</v>
      </c>
      <c r="G42" s="5" t="s">
        <v>44</v>
      </c>
      <c r="H42" s="21">
        <f>H40-F40</f>
        <v>188.10094499999832</v>
      </c>
      <c r="I42" s="13"/>
    </row>
    <row r="43" ht="24">
      <c r="A43" s="1"/>
      <c r="B43" s="4" t="s">
        <v>605</v>
      </c>
      <c r="C43" s="16">
        <f>Inputs!$D$133-Inputs!$C$133</f>
        <v>-40</v>
      </c>
      <c r="D43" s="16">
        <f>Inputs!$E$133-Inputs!$D$133</f>
        <v>61</v>
      </c>
      <c r="E43" s="16">
        <f>Inputs!$F$133</f>
        <v>-102</v>
      </c>
      <c r="F43" s="16">
        <f>Inputs!$G$133-Inputs!$F$133</f>
        <v>-137</v>
      </c>
      <c r="G43" s="16">
        <f>Inputs!$E$133</f>
        <v>-141</v>
      </c>
      <c r="H43" s="8">
        <v>20</v>
      </c>
      <c r="I43" s="13" t="s">
        <v>606</v>
      </c>
    </row>
    <row r="44">
      <c r="A44" s="1"/>
      <c r="B44" s="15" t="s">
        <v>130</v>
      </c>
      <c r="C44" s="5">
        <f>C43-C152</f>
        <v>-60</v>
      </c>
      <c r="D44" s="5">
        <f>D43-D152</f>
        <v>-35</v>
      </c>
      <c r="E44" s="5">
        <f>E43-E152</f>
        <v>-46</v>
      </c>
      <c r="F44" s="5">
        <f>F43-F152</f>
        <v>-31</v>
      </c>
      <c r="G44" s="5">
        <f>G43-G152</f>
        <v>-90</v>
      </c>
      <c r="H44" s="21">
        <f>H43-H152</f>
        <v>60</v>
      </c>
      <c r="I44" s="13"/>
    </row>
    <row r="45">
      <c r="A45" s="1"/>
      <c r="B45" s="15" t="s">
        <v>131</v>
      </c>
      <c r="C45" s="5">
        <f>C43-F152</f>
        <v>66</v>
      </c>
      <c r="D45" s="5">
        <f>D43-C43</f>
        <v>101</v>
      </c>
      <c r="E45" s="5">
        <f>E43-D43</f>
        <v>-163</v>
      </c>
      <c r="F45" s="5">
        <f>F43-E43</f>
        <v>-35</v>
      </c>
      <c r="G45" s="5" t="s">
        <v>44</v>
      </c>
      <c r="H45" s="21">
        <f>H43-F43</f>
        <v>157</v>
      </c>
      <c r="I45" s="13"/>
    </row>
    <row r="46">
      <c r="A46" s="1"/>
      <c r="B46" s="1" t="s">
        <v>607</v>
      </c>
      <c r="C46" s="16">
        <f>Inputs!$D$134-Inputs!$C$134</f>
        <v>-33</v>
      </c>
      <c r="D46" s="16">
        <f>Inputs!$E$134-Inputs!$D$134</f>
        <v>-2</v>
      </c>
      <c r="E46" s="16">
        <f>Inputs!$F$134</f>
        <v>-26</v>
      </c>
      <c r="F46" s="16">
        <f>Inputs!$G$134-Inputs!$F$134</f>
        <v>26</v>
      </c>
      <c r="G46" s="16">
        <f>Inputs!$E$134</f>
        <v>38</v>
      </c>
      <c r="H46" s="8">
        <v>0</v>
      </c>
      <c r="I46" s="13"/>
    </row>
    <row r="47">
      <c r="A47" s="1"/>
      <c r="B47" s="15" t="s">
        <v>130</v>
      </c>
      <c r="C47" s="5">
        <f>C46-C153</f>
        <v>-53</v>
      </c>
      <c r="D47" s="5">
        <f>D46-D153</f>
        <v>3</v>
      </c>
      <c r="E47" s="5">
        <f>E46-E153</f>
        <v>-53</v>
      </c>
      <c r="F47" s="5">
        <f>F46-F153</f>
        <v>-20</v>
      </c>
      <c r="G47" s="5">
        <f>G46-G153</f>
        <v>4</v>
      </c>
      <c r="H47" s="21">
        <f>H46-H153</f>
        <v>33</v>
      </c>
      <c r="I47" s="13"/>
    </row>
    <row r="48">
      <c r="A48" s="1"/>
      <c r="B48" s="15" t="s">
        <v>131</v>
      </c>
      <c r="C48" s="5">
        <f>C46-F153</f>
        <v>-79</v>
      </c>
      <c r="D48" s="5">
        <f>D46-C46</f>
        <v>31</v>
      </c>
      <c r="E48" s="5">
        <f>E46-D46</f>
        <v>-24</v>
      </c>
      <c r="F48" s="5">
        <f>F46-E46</f>
        <v>52</v>
      </c>
      <c r="G48" s="5" t="s">
        <v>44</v>
      </c>
      <c r="H48" s="21">
        <f>H46-F46</f>
        <v>-26</v>
      </c>
      <c r="I48" s="13"/>
    </row>
    <row r="49">
      <c r="A49" s="1"/>
      <c r="B49" s="1" t="s">
        <v>608</v>
      </c>
      <c r="C49" s="16">
        <f>Inputs!$D$135-Inputs!$C$135</f>
        <v>70</v>
      </c>
      <c r="D49" s="16">
        <f>Inputs!$E$135-Inputs!$D$135</f>
        <v>-16</v>
      </c>
      <c r="E49" s="16">
        <f>Inputs!$F$135</f>
        <v>9</v>
      </c>
      <c r="F49" s="16">
        <f>Inputs!$G$135-Inputs!$F$135</f>
        <v>49</v>
      </c>
      <c r="G49" s="16">
        <f>Inputs!$E$135</f>
        <v>97</v>
      </c>
      <c r="H49" s="8">
        <v>0</v>
      </c>
      <c r="I49" s="13"/>
    </row>
    <row r="50">
      <c r="A50" s="1"/>
      <c r="B50" s="15" t="s">
        <v>130</v>
      </c>
      <c r="C50" s="5">
        <f>C49-C154</f>
        <v>23</v>
      </c>
      <c r="D50" s="5">
        <f>D49-D154</f>
        <v>17</v>
      </c>
      <c r="E50" s="5">
        <f>E49-E154</f>
        <v>-59</v>
      </c>
      <c r="F50" s="5">
        <f>F49-F154</f>
        <v>74</v>
      </c>
      <c r="G50" s="5">
        <f>G49-G154</f>
        <v>58</v>
      </c>
      <c r="H50" s="21">
        <f>H49-H154</f>
        <v>-70</v>
      </c>
      <c r="I50" s="13"/>
    </row>
    <row r="51">
      <c r="A51" s="1"/>
      <c r="B51" s="15" t="s">
        <v>131</v>
      </c>
      <c r="C51" s="5">
        <f>C49-F154</f>
        <v>95</v>
      </c>
      <c r="D51" s="5">
        <f>D49-C49</f>
        <v>-86</v>
      </c>
      <c r="E51" s="5">
        <f>E49-D49</f>
        <v>25</v>
      </c>
      <c r="F51" s="5">
        <f>F49-E49</f>
        <v>40</v>
      </c>
      <c r="G51" s="5" t="s">
        <v>44</v>
      </c>
      <c r="H51" s="21">
        <f>H49-F49</f>
        <v>-49</v>
      </c>
      <c r="I51" s="13"/>
    </row>
    <row r="52">
      <c r="A52" s="1"/>
      <c r="B52" s="45" t="s">
        <v>609</v>
      </c>
      <c r="C52" s="29">
        <f>C10+C13+C16+C19+C22+C25+C28+C31+C34+C37+C40+C43+C46+C49</f>
        <v>1682</v>
      </c>
      <c r="D52" s="29">
        <f>D10+D13+D16+D19+D22+D25+D28+D31+D34+D37+D40+D43+D46+D49</f>
        <v>3005</v>
      </c>
      <c r="E52" s="29">
        <f>E10+E13+E16+E19+E22+E25+E28+E31+E34+E37+E40+E43+E46+E49</f>
        <v>487</v>
      </c>
      <c r="F52" s="29">
        <f>F10+F13+F16+F19+F22+F25+F28+F31+F34+F37+F40+F43+F46+F49</f>
        <v>1359</v>
      </c>
      <c r="G52" s="29">
        <f>G10+G13+G16+G19+G22+G25+G28+G31+G34+G37+G40+G43+G46+G49</f>
        <v>6489</v>
      </c>
      <c r="H52" s="47">
        <f>H10+H13+H16+H19+H22+H25+H28+H31+H34+H37+H40+H43+H46+H49</f>
        <v>1769.1254213900002</v>
      </c>
      <c r="I52" s="13"/>
    </row>
    <row r="53">
      <c r="A53" s="1"/>
      <c r="B53" s="15" t="s">
        <v>102</v>
      </c>
      <c r="C53" s="11">
        <f>IFERROR(C52/C155-1,"n/a")</f>
        <v>-0.31318905675786035</v>
      </c>
      <c r="D53" s="11">
        <f>IFERROR(D52/D155-1,"n/a")</f>
        <v>0.2573221757322175</v>
      </c>
      <c r="E53" s="11">
        <f>IFERROR(E52/E155-1,"n/a")</f>
        <v>-0.2621212121212121</v>
      </c>
      <c r="F53" s="11">
        <f>IFERROR(F52/F155-1,"n/a")</f>
        <v>0.19001751313485116</v>
      </c>
      <c r="G53" s="11">
        <f>IFERROR(G52/G155-1,"n/a")</f>
        <v>-0.017116025446834326</v>
      </c>
      <c r="H53" s="50">
        <f>IFERROR(H52/H155-1,"n/a")</f>
        <v>0.051798704750297464</v>
      </c>
      <c r="I53" s="13"/>
    </row>
    <row r="54">
      <c r="A54" s="1"/>
      <c r="B54" s="15" t="s">
        <v>123</v>
      </c>
      <c r="C54" s="5">
        <f>C52-F155</f>
        <v>540</v>
      </c>
      <c r="D54" s="5">
        <f>D52-C52</f>
        <v>1323</v>
      </c>
      <c r="E54" s="5">
        <f>E52-D52</f>
        <v>-2518</v>
      </c>
      <c r="F54" s="5">
        <f>F52-E52</f>
        <v>872</v>
      </c>
      <c r="G54" s="5" t="s">
        <v>44</v>
      </c>
      <c r="H54" s="21">
        <f>H52-F52</f>
        <v>410.12542139000016</v>
      </c>
      <c r="I54" s="13"/>
    </row>
    <row r="55" ht="45">
      <c r="A55" s="1"/>
      <c r="B55" s="57" t="s">
        <v>610</v>
      </c>
      <c r="C55" s="5">
        <f>C28+C31+C34+C37+C40+C43+C46+C49</f>
        <v>170</v>
      </c>
      <c r="D55" s="5">
        <f>D28+D31+D34+D37+D40+D43+D46+D49</f>
        <v>1212</v>
      </c>
      <c r="E55" s="5">
        <f>E28+E31+E34+E37+E40+E43+E46+E49</f>
        <v>-1116</v>
      </c>
      <c r="F55" s="5">
        <f>F28+F31+F34+F37+F40+F43+F46+F49</f>
        <v>-164</v>
      </c>
      <c r="G55" s="5">
        <f>G28+G31+G34+G37+G40+G43+G46+G49</f>
        <v>53</v>
      </c>
      <c r="H55" s="21">
        <f>H28+H31+H34+H37+H40+H43+H46+H49</f>
        <v>92.45398300000033</v>
      </c>
      <c r="I55" s="13"/>
    </row>
    <row r="56">
      <c r="A56" s="1"/>
      <c r="B56" s="41" t="s">
        <v>611</v>
      </c>
      <c r="C56" s="1"/>
      <c r="D56" s="1"/>
      <c r="E56" s="1"/>
      <c r="F56" s="1"/>
      <c r="G56" s="1"/>
      <c r="H56" s="53"/>
      <c r="I56" s="13"/>
    </row>
    <row r="57">
      <c r="A57" s="1"/>
      <c r="B57" s="1" t="s">
        <v>612</v>
      </c>
      <c r="C57" s="16">
        <f>Inputs!$D$136-Inputs!$C$136</f>
        <v>-409</v>
      </c>
      <c r="D57" s="16">
        <f>Inputs!$E$136-Inputs!$D$136</f>
        <v>-516</v>
      </c>
      <c r="E57" s="16">
        <f>Inputs!$F$136</f>
        <v>-343</v>
      </c>
      <c r="F57" s="16">
        <f>Inputs!$G$136-Inputs!$F$136</f>
        <v>-459</v>
      </c>
      <c r="G57" s="16">
        <f>Inputs!$E$136</f>
        <v>-1694</v>
      </c>
      <c r="H57" s="8">
        <v>-440</v>
      </c>
      <c r="I57" s="13" t="s">
        <v>613</v>
      </c>
    </row>
    <row r="58">
      <c r="A58" s="1"/>
      <c r="B58" s="15" t="s">
        <v>130</v>
      </c>
      <c r="C58" s="5">
        <f>C57-C156</f>
        <v>51</v>
      </c>
      <c r="D58" s="5">
        <f>D57-D156</f>
        <v>93</v>
      </c>
      <c r="E58" s="5">
        <f>E57-E156</f>
        <v>55</v>
      </c>
      <c r="F58" s="5">
        <f>F57-F156</f>
        <v>-88</v>
      </c>
      <c r="G58" s="5">
        <f>G57-G156</f>
        <v>237</v>
      </c>
      <c r="H58" s="21">
        <f>H57-H156</f>
        <v>-31</v>
      </c>
      <c r="I58" s="13"/>
    </row>
    <row r="59">
      <c r="A59" s="1"/>
      <c r="B59" s="15" t="s">
        <v>131</v>
      </c>
      <c r="C59" s="5">
        <f>C57-F156</f>
        <v>-38</v>
      </c>
      <c r="D59" s="5">
        <f>D57-C57</f>
        <v>-107</v>
      </c>
      <c r="E59" s="5">
        <f>E57-D57</f>
        <v>173</v>
      </c>
      <c r="F59" s="5">
        <f>F57-E57</f>
        <v>-116</v>
      </c>
      <c r="G59" s="5" t="s">
        <v>44</v>
      </c>
      <c r="H59" s="21">
        <f>H57-F57</f>
        <v>19</v>
      </c>
      <c r="I59" s="13"/>
    </row>
    <row r="60">
      <c r="A60" s="1"/>
      <c r="B60" s="1" t="s">
        <v>614</v>
      </c>
      <c r="C60" s="16">
        <f>Inputs!$D$137-Inputs!$C$137</f>
        <v>-87</v>
      </c>
      <c r="D60" s="16">
        <f>Inputs!$E$137-Inputs!$D$137</f>
        <v>-116</v>
      </c>
      <c r="E60" s="16">
        <f>Inputs!$F$137</f>
        <v>-103</v>
      </c>
      <c r="F60" s="16">
        <f>Inputs!$G$137-Inputs!$F$137</f>
        <v>-123</v>
      </c>
      <c r="G60" s="16">
        <f>Inputs!$E$137</f>
        <v>-428</v>
      </c>
      <c r="H60" s="8">
        <v>-115</v>
      </c>
      <c r="I60" s="13" t="s">
        <v>615</v>
      </c>
    </row>
    <row r="61">
      <c r="A61" s="1"/>
      <c r="B61" s="15" t="s">
        <v>130</v>
      </c>
      <c r="C61" s="5">
        <f>C60-C157</f>
        <v>47</v>
      </c>
      <c r="D61" s="5">
        <f>D60-D157</f>
        <v>-23</v>
      </c>
      <c r="E61" s="5">
        <f>E60-E157</f>
        <v>5</v>
      </c>
      <c r="F61" s="5">
        <f>F60-F157</f>
        <v>-6</v>
      </c>
      <c r="G61" s="5">
        <f>G60-G157</f>
        <v>55</v>
      </c>
      <c r="H61" s="21">
        <f>H60-H157</f>
        <v>-28</v>
      </c>
      <c r="I61" s="13"/>
    </row>
    <row r="62">
      <c r="A62" s="1"/>
      <c r="B62" s="15" t="s">
        <v>131</v>
      </c>
      <c r="C62" s="5">
        <f>C60-F157</f>
        <v>30</v>
      </c>
      <c r="D62" s="5">
        <f>D60-C60</f>
        <v>-29</v>
      </c>
      <c r="E62" s="5">
        <f>E60-D60</f>
        <v>13</v>
      </c>
      <c r="F62" s="5">
        <f>F60-E60</f>
        <v>-20</v>
      </c>
      <c r="G62" s="5" t="s">
        <v>44</v>
      </c>
      <c r="H62" s="21">
        <f>H60-F60</f>
        <v>8</v>
      </c>
      <c r="I62" s="13"/>
    </row>
    <row r="63" ht="24">
      <c r="A63" s="1"/>
      <c r="B63" s="4" t="s">
        <v>616</v>
      </c>
      <c r="C63" s="16">
        <f>Inputs!$D$138-Inputs!$C$138</f>
        <v>-85</v>
      </c>
      <c r="D63" s="16">
        <f>Inputs!$E$138-Inputs!$D$138</f>
        <v>-84</v>
      </c>
      <c r="E63" s="16">
        <f>Inputs!$F$138</f>
        <v>-64</v>
      </c>
      <c r="F63" s="16">
        <f>Inputs!$G$138-Inputs!$F$138</f>
        <v>-61</v>
      </c>
      <c r="G63" s="16">
        <f>Inputs!$E$138</f>
        <v>-252</v>
      </c>
      <c r="H63" s="8">
        <v>-85</v>
      </c>
      <c r="I63" s="13" t="s">
        <v>615</v>
      </c>
    </row>
    <row r="64">
      <c r="A64" s="1"/>
      <c r="B64" s="15" t="s">
        <v>130</v>
      </c>
      <c r="C64" s="5">
        <f>C63-C158</f>
        <v>-35</v>
      </c>
      <c r="D64" s="5">
        <f>D63-D158</f>
        <v>-27</v>
      </c>
      <c r="E64" s="5">
        <f>E63-E158</f>
        <v>-13</v>
      </c>
      <c r="F64" s="5">
        <f>F63-F158</f>
        <v>-29</v>
      </c>
      <c r="G64" s="5">
        <f>G63-G158</f>
        <v>-54</v>
      </c>
      <c r="H64" s="21">
        <f>H63-H158</f>
        <v>0</v>
      </c>
      <c r="I64" s="13"/>
    </row>
    <row r="65">
      <c r="A65" s="1"/>
      <c r="B65" s="15" t="s">
        <v>131</v>
      </c>
      <c r="C65" s="5">
        <f>C63-F158</f>
        <v>-53</v>
      </c>
      <c r="D65" s="5">
        <f>D63-C63</f>
        <v>1</v>
      </c>
      <c r="E65" s="5">
        <f>E63-D63</f>
        <v>20</v>
      </c>
      <c r="F65" s="5">
        <f>F63-E63</f>
        <v>3</v>
      </c>
      <c r="G65" s="5" t="s">
        <v>44</v>
      </c>
      <c r="H65" s="21">
        <f>H63-F63</f>
        <v>-24</v>
      </c>
      <c r="I65" s="13"/>
    </row>
    <row r="66" ht="34.5">
      <c r="A66" s="1"/>
      <c r="B66" s="4" t="s">
        <v>617</v>
      </c>
      <c r="C66" s="16">
        <f>Inputs!$D$139-Inputs!$C$139</f>
        <v>382</v>
      </c>
      <c r="D66" s="16">
        <f>Inputs!$E$139-Inputs!$D$139</f>
        <v>-43</v>
      </c>
      <c r="E66" s="16">
        <f>Inputs!$F$139</f>
        <v>-57</v>
      </c>
      <c r="F66" s="16">
        <f>Inputs!$G$139-Inputs!$F$139</f>
        <v>-179</v>
      </c>
      <c r="G66" s="16">
        <f>Inputs!$E$139</f>
        <v>292</v>
      </c>
      <c r="H66" s="8">
        <v>0</v>
      </c>
      <c r="I66" s="13" t="s">
        <v>618</v>
      </c>
    </row>
    <row r="67">
      <c r="A67" s="1"/>
      <c r="B67" s="15" t="s">
        <v>130</v>
      </c>
      <c r="C67" s="5">
        <f>C66-C159</f>
        <v>429</v>
      </c>
      <c r="D67" s="5">
        <f>D66-D159</f>
        <v>-42</v>
      </c>
      <c r="E67" s="5">
        <f>E66-E159</f>
        <v>-20</v>
      </c>
      <c r="F67" s="5">
        <f>F66-F159</f>
        <v>-169</v>
      </c>
      <c r="G67" s="5">
        <f>G66-G159</f>
        <v>845</v>
      </c>
      <c r="H67" s="21">
        <f>H66-H159</f>
        <v>-382</v>
      </c>
      <c r="I67" s="13"/>
    </row>
    <row r="68">
      <c r="A68" s="1"/>
      <c r="B68" s="15" t="s">
        <v>131</v>
      </c>
      <c r="C68" s="5">
        <f>C66-F159</f>
        <v>392</v>
      </c>
      <c r="D68" s="5">
        <f>D66-C66</f>
        <v>-425</v>
      </c>
      <c r="E68" s="5">
        <f>E66-D66</f>
        <v>-14</v>
      </c>
      <c r="F68" s="5">
        <f>F66-E66</f>
        <v>-122</v>
      </c>
      <c r="G68" s="5" t="s">
        <v>44</v>
      </c>
      <c r="H68" s="21">
        <f>H66-F66</f>
        <v>179</v>
      </c>
      <c r="I68" s="13"/>
    </row>
    <row r="69" ht="34.5">
      <c r="A69" s="1"/>
      <c r="B69" s="4" t="s">
        <v>619</v>
      </c>
      <c r="C69" s="16">
        <f>Inputs!$D$140-Inputs!$C$140</f>
        <v>308</v>
      </c>
      <c r="D69" s="16">
        <f>Inputs!$E$140-Inputs!$D$140</f>
        <v>0</v>
      </c>
      <c r="E69" s="16">
        <f>Inputs!$F$140</f>
        <v>0</v>
      </c>
      <c r="F69" s="16">
        <f>Inputs!$G$140-Inputs!$F$140</f>
        <v>0</v>
      </c>
      <c r="G69" s="16">
        <f>Inputs!$E$140</f>
        <v>624</v>
      </c>
      <c r="H69" s="8">
        <v>0</v>
      </c>
      <c r="I69" s="13"/>
    </row>
    <row r="70">
      <c r="A70" s="1"/>
      <c r="B70" s="15" t="s">
        <v>130</v>
      </c>
      <c r="C70" s="5">
        <f>C69-C160</f>
        <v>308</v>
      </c>
      <c r="D70" s="5">
        <f>D69-D160</f>
        <v>0</v>
      </c>
      <c r="E70" s="5">
        <f>E69-E160</f>
        <v>0</v>
      </c>
      <c r="F70" s="5">
        <f>F69-F160</f>
        <v>-316</v>
      </c>
      <c r="G70" s="5">
        <f>G69-G160</f>
        <v>624</v>
      </c>
      <c r="H70" s="21">
        <f>H69-H160</f>
        <v>-308</v>
      </c>
      <c r="I70" s="13"/>
    </row>
    <row r="71">
      <c r="A71" s="1"/>
      <c r="B71" s="15" t="s">
        <v>131</v>
      </c>
      <c r="C71" s="5">
        <f>C69-F160</f>
        <v>-8</v>
      </c>
      <c r="D71" s="5">
        <f>D69-C69</f>
        <v>-308</v>
      </c>
      <c r="E71" s="5">
        <f>E69-D69</f>
        <v>0</v>
      </c>
      <c r="F71" s="5">
        <f>F69-E69</f>
        <v>0</v>
      </c>
      <c r="G71" s="5" t="s">
        <v>44</v>
      </c>
      <c r="H71" s="21">
        <f>H69-F69</f>
        <v>0</v>
      </c>
      <c r="I71" s="13"/>
    </row>
    <row r="72" ht="24">
      <c r="A72" s="1"/>
      <c r="B72" s="4" t="s">
        <v>620</v>
      </c>
      <c r="C72" s="16">
        <f>Inputs!$D$141-Inputs!$C$141</f>
        <v>-60</v>
      </c>
      <c r="D72" s="16">
        <f>Inputs!$E$141-Inputs!$D$141</f>
        <v>-605</v>
      </c>
      <c r="E72" s="16">
        <f>Inputs!$F$141</f>
        <v>600</v>
      </c>
      <c r="F72" s="16">
        <f>Inputs!$G$141-Inputs!$F$141</f>
        <v>-758</v>
      </c>
      <c r="G72" s="16">
        <f>Inputs!$E$141</f>
        <v>-33</v>
      </c>
      <c r="H72" s="8">
        <v>0</v>
      </c>
      <c r="I72" s="13"/>
    </row>
    <row r="73">
      <c r="A73" s="1"/>
      <c r="B73" s="15" t="s">
        <v>130</v>
      </c>
      <c r="C73" s="5">
        <f>C72-C161</f>
        <v>255</v>
      </c>
      <c r="D73" s="5">
        <f>D72-D161</f>
        <v>-841</v>
      </c>
      <c r="E73" s="5">
        <f>E72-E161</f>
        <v>423</v>
      </c>
      <c r="F73" s="5">
        <f>F72-F161</f>
        <v>-1213</v>
      </c>
      <c r="G73" s="5">
        <f>G72-G161</f>
        <v>-1</v>
      </c>
      <c r="H73" s="21">
        <f>H72-H161</f>
        <v>60</v>
      </c>
      <c r="I73" s="13"/>
    </row>
    <row r="74">
      <c r="A74" s="1"/>
      <c r="B74" s="15" t="s">
        <v>131</v>
      </c>
      <c r="C74" s="5">
        <f>C72-F161</f>
        <v>-515</v>
      </c>
      <c r="D74" s="5">
        <f>D72-C72</f>
        <v>-545</v>
      </c>
      <c r="E74" s="5">
        <f>E72-D72</f>
        <v>1205</v>
      </c>
      <c r="F74" s="5">
        <f>F72-E72</f>
        <v>-1358</v>
      </c>
      <c r="G74" s="5" t="s">
        <v>44</v>
      </c>
      <c r="H74" s="21">
        <f>H72-F72</f>
        <v>758</v>
      </c>
      <c r="I74" s="13"/>
    </row>
    <row r="75" ht="24">
      <c r="A75" s="1"/>
      <c r="B75" s="4" t="s">
        <v>621</v>
      </c>
      <c r="C75" s="16">
        <f>Inputs!$D$142-Inputs!$C$142</f>
        <v>-23</v>
      </c>
      <c r="D75" s="16">
        <f>Inputs!$E$142-Inputs!$D$142</f>
        <v>-7</v>
      </c>
      <c r="E75" s="16">
        <f>Inputs!$F$142</f>
        <v>0</v>
      </c>
      <c r="F75" s="16">
        <f>Inputs!$G$142-Inputs!$F$142</f>
        <v>0</v>
      </c>
      <c r="G75" s="16">
        <f>Inputs!$E$142</f>
        <v>-30</v>
      </c>
      <c r="H75" s="8">
        <v>0</v>
      </c>
      <c r="I75" s="13"/>
    </row>
    <row r="76">
      <c r="A76" s="1"/>
      <c r="B76" s="15" t="s">
        <v>130</v>
      </c>
      <c r="C76" s="5">
        <f>C75-C162</f>
        <v>-4</v>
      </c>
      <c r="D76" s="5">
        <f>D75-D162</f>
        <v>4</v>
      </c>
      <c r="E76" s="5">
        <f>E75-E162</f>
        <v>0</v>
      </c>
      <c r="F76" s="5">
        <f>F75-F162</f>
        <v>0</v>
      </c>
      <c r="G76" s="5">
        <f>G75-G162</f>
        <v>25</v>
      </c>
      <c r="H76" s="21">
        <f>H75-H162</f>
        <v>23</v>
      </c>
      <c r="I76" s="13"/>
    </row>
    <row r="77">
      <c r="A77" s="1"/>
      <c r="B77" s="15" t="s">
        <v>131</v>
      </c>
      <c r="C77" s="5">
        <f>C75-F162</f>
        <v>-23</v>
      </c>
      <c r="D77" s="5">
        <f>D75-C75</f>
        <v>16</v>
      </c>
      <c r="E77" s="5">
        <f>E75-D75</f>
        <v>7</v>
      </c>
      <c r="F77" s="5">
        <f>F75-E75</f>
        <v>0</v>
      </c>
      <c r="G77" s="5" t="s">
        <v>44</v>
      </c>
      <c r="H77" s="21">
        <f>H75-F75</f>
        <v>0</v>
      </c>
      <c r="I77" s="13"/>
    </row>
    <row r="78">
      <c r="A78" s="1"/>
      <c r="B78" s="1" t="s">
        <v>622</v>
      </c>
      <c r="C78" s="16">
        <f>Inputs!$D$143-Inputs!$C$143</f>
        <v>18</v>
      </c>
      <c r="D78" s="16">
        <f>Inputs!$E$143-Inputs!$D$143</f>
        <v>101</v>
      </c>
      <c r="E78" s="16">
        <f>Inputs!$F$143</f>
        <v>0</v>
      </c>
      <c r="F78" s="16">
        <f>Inputs!$G$143-Inputs!$F$143</f>
        <v>25</v>
      </c>
      <c r="G78" s="16">
        <f>Inputs!$E$143</f>
        <v>109</v>
      </c>
      <c r="H78" s="8">
        <v>0</v>
      </c>
      <c r="I78" s="13"/>
    </row>
    <row r="79">
      <c r="A79" s="1"/>
      <c r="B79" s="15" t="s">
        <v>130</v>
      </c>
      <c r="C79" s="5">
        <f>C78-C163</f>
        <v>17</v>
      </c>
      <c r="D79" s="5">
        <f>D78-D163</f>
        <v>43</v>
      </c>
      <c r="E79" s="5">
        <f>E78-E163</f>
        <v>15</v>
      </c>
      <c r="F79" s="5">
        <f>F78-F163</f>
        <v>20</v>
      </c>
      <c r="G79" s="5">
        <f>G78-G163</f>
        <v>2</v>
      </c>
      <c r="H79" s="21">
        <f>H78-H163</f>
        <v>-18</v>
      </c>
      <c r="I79" s="13"/>
    </row>
    <row r="80">
      <c r="A80" s="1"/>
      <c r="B80" s="15" t="s">
        <v>131</v>
      </c>
      <c r="C80" s="5">
        <f>C78-F163</f>
        <v>13</v>
      </c>
      <c r="D80" s="5">
        <f>D78-C78</f>
        <v>83</v>
      </c>
      <c r="E80" s="5">
        <f>E78-D78</f>
        <v>-101</v>
      </c>
      <c r="F80" s="5">
        <f>F78-E78</f>
        <v>25</v>
      </c>
      <c r="G80" s="5" t="s">
        <v>44</v>
      </c>
      <c r="H80" s="21">
        <f>H78-F78</f>
        <v>-25</v>
      </c>
      <c r="I80" s="13"/>
    </row>
    <row r="81">
      <c r="A81" s="1"/>
      <c r="B81" s="45" t="s">
        <v>623</v>
      </c>
      <c r="C81" s="29">
        <f>C57+C60+C63+C66+C69+C72+C75+C78</f>
        <v>44</v>
      </c>
      <c r="D81" s="29">
        <f>D57+D60+D63+D66+D69+D72+D75+D78</f>
        <v>-1270</v>
      </c>
      <c r="E81" s="29">
        <f>E57+E60+E63+E66+E69+E72+E75+E78</f>
        <v>33</v>
      </c>
      <c r="F81" s="29">
        <f>F57+F60+F63+F66+F69+F72+F75+F78</f>
        <v>-1555</v>
      </c>
      <c r="G81" s="29">
        <f>G57+G60+G63+G66+G69+G72+G75+G78</f>
        <v>-1412</v>
      </c>
      <c r="H81" s="47">
        <f>H57+H60+H63+H66+H69+H72+H75+H78</f>
        <v>-640</v>
      </c>
      <c r="I81" s="13"/>
    </row>
    <row r="82">
      <c r="A82" s="1"/>
      <c r="B82" s="15" t="s">
        <v>122</v>
      </c>
      <c r="C82" s="5">
        <f>C81-C164</f>
        <v>1068</v>
      </c>
      <c r="D82" s="5">
        <f>D81-D164</f>
        <v>-793</v>
      </c>
      <c r="E82" s="5">
        <f>E81-E164</f>
        <v>465</v>
      </c>
      <c r="F82" s="5">
        <f>F81-F164</f>
        <v>-1801</v>
      </c>
      <c r="G82" s="5">
        <f>G81-G164</f>
        <v>1733</v>
      </c>
      <c r="H82" s="21">
        <f>H81-H164</f>
        <v>-684</v>
      </c>
      <c r="I82" s="13"/>
    </row>
    <row r="83">
      <c r="A83" s="1"/>
      <c r="B83" s="15" t="s">
        <v>123</v>
      </c>
      <c r="C83" s="5">
        <f>C81-F164</f>
        <v>-202</v>
      </c>
      <c r="D83" s="5">
        <f>D81-C81</f>
        <v>-1314</v>
      </c>
      <c r="E83" s="5">
        <f>E81-D81</f>
        <v>1303</v>
      </c>
      <c r="F83" s="5">
        <f>F81-E81</f>
        <v>-1588</v>
      </c>
      <c r="G83" s="5" t="s">
        <v>44</v>
      </c>
      <c r="H83" s="21">
        <f>H81-F81</f>
        <v>915</v>
      </c>
      <c r="I83" s="13"/>
    </row>
    <row r="84">
      <c r="A84" s="1"/>
      <c r="B84" s="41" t="s">
        <v>624</v>
      </c>
      <c r="C84" s="1"/>
      <c r="D84" s="1"/>
      <c r="E84" s="1"/>
      <c r="F84" s="1"/>
      <c r="G84" s="1"/>
      <c r="H84" s="53"/>
      <c r="I84" s="13"/>
    </row>
    <row r="85">
      <c r="A85" s="1"/>
      <c r="B85" s="1" t="s">
        <v>625</v>
      </c>
      <c r="C85" s="16">
        <f>Inputs!$D$144-Inputs!$C$144</f>
        <v>-403</v>
      </c>
      <c r="D85" s="16">
        <f>Inputs!$E$144-Inputs!$D$144</f>
        <v>-426</v>
      </c>
      <c r="E85" s="16">
        <f>Inputs!$F$144</f>
        <v>-426</v>
      </c>
      <c r="F85" s="16">
        <f>Inputs!$G$144-Inputs!$F$144</f>
        <v>-440</v>
      </c>
      <c r="G85" s="16">
        <f>Inputs!$E$144</f>
        <v>-1602</v>
      </c>
      <c r="H85" s="73">
        <f>-'Share Count'!F28*'Share Count'!H10</f>
        <v>-437.78</v>
      </c>
      <c r="I85" s="13" t="s">
        <v>626</v>
      </c>
    </row>
    <row r="86">
      <c r="A86" s="1"/>
      <c r="B86" s="15" t="s">
        <v>130</v>
      </c>
      <c r="C86" s="5">
        <f>C85-C165</f>
        <v>-10</v>
      </c>
      <c r="D86" s="5">
        <f>D85-D165</f>
        <v>-37</v>
      </c>
      <c r="E86" s="5">
        <f>E85-E165</f>
        <v>-40</v>
      </c>
      <c r="F86" s="5">
        <f>F85-F165</f>
        <v>-53</v>
      </c>
      <c r="G86" s="5">
        <f>G85-G165</f>
        <v>-69</v>
      </c>
      <c r="H86" s="21">
        <f>H85-H165</f>
        <v>-34.77999999999997</v>
      </c>
      <c r="I86" s="13"/>
    </row>
    <row r="87">
      <c r="A87" s="1"/>
      <c r="B87" s="15" t="s">
        <v>131</v>
      </c>
      <c r="C87" s="5">
        <f>C85-F165</f>
        <v>-16</v>
      </c>
      <c r="D87" s="5">
        <f>D85-C85</f>
        <v>-23</v>
      </c>
      <c r="E87" s="5">
        <f>E85-D85</f>
        <v>0</v>
      </c>
      <c r="F87" s="5">
        <f>F85-E85</f>
        <v>-14</v>
      </c>
      <c r="G87" s="5" t="s">
        <v>44</v>
      </c>
      <c r="H87" s="21">
        <f>H85-F85</f>
        <v>2.2200000000000273</v>
      </c>
      <c r="I87" s="13"/>
    </row>
    <row r="88">
      <c r="A88" s="1"/>
      <c r="B88" s="1" t="s">
        <v>627</v>
      </c>
      <c r="C88" s="16">
        <f>Inputs!$D$145-Inputs!$C$145</f>
        <v>-114</v>
      </c>
      <c r="D88" s="16">
        <f>Inputs!$E$145-Inputs!$D$145</f>
        <v>0</v>
      </c>
      <c r="E88" s="16">
        <f>Inputs!$F$145</f>
        <v>-451</v>
      </c>
      <c r="F88" s="16">
        <f>Inputs!$G$145-Inputs!$F$145</f>
        <v>-648</v>
      </c>
      <c r="G88" s="16">
        <f>Inputs!$E$145</f>
        <v>-2414</v>
      </c>
      <c r="H88" s="73">
        <f>-'Share Count'!H23</f>
        <v>-650</v>
      </c>
      <c r="I88" s="13" t="s">
        <v>628</v>
      </c>
    </row>
    <row r="89">
      <c r="A89" s="1"/>
      <c r="B89" s="15" t="s">
        <v>130</v>
      </c>
      <c r="C89" s="5">
        <f>C88-C166</f>
        <v>387</v>
      </c>
      <c r="D89" s="5">
        <f>D88-D166</f>
        <v>501</v>
      </c>
      <c r="E89" s="5">
        <f>E88-E166</f>
        <v>1849</v>
      </c>
      <c r="F89" s="5">
        <f>F88-F166</f>
        <v>-648</v>
      </c>
      <c r="G89" s="5">
        <f>G88-G166</f>
        <v>-677</v>
      </c>
      <c r="H89" s="21">
        <f>H88-H166</f>
        <v>-536</v>
      </c>
      <c r="I89" s="13"/>
    </row>
    <row r="90">
      <c r="A90" s="1"/>
      <c r="B90" s="15" t="s">
        <v>131</v>
      </c>
      <c r="C90" s="5">
        <f>C88-F166</f>
        <v>-114</v>
      </c>
      <c r="D90" s="5">
        <f>D88-C88</f>
        <v>114</v>
      </c>
      <c r="E90" s="5">
        <f>E88-D88</f>
        <v>-451</v>
      </c>
      <c r="F90" s="5">
        <f>F88-E88</f>
        <v>-197</v>
      </c>
      <c r="G90" s="5" t="s">
        <v>44</v>
      </c>
      <c r="H90" s="21">
        <f>H88-F88</f>
        <v>-2</v>
      </c>
      <c r="I90" s="13"/>
    </row>
    <row r="91" ht="34.5">
      <c r="A91" s="1"/>
      <c r="B91" s="4" t="s">
        <v>629</v>
      </c>
      <c r="C91" s="16">
        <f>Inputs!$D$146-Inputs!$C$146</f>
        <v>117</v>
      </c>
      <c r="D91" s="16">
        <f>Inputs!$E$146-Inputs!$D$146</f>
        <v>-1</v>
      </c>
      <c r="E91" s="16">
        <f>Inputs!$F$146</f>
        <v>178</v>
      </c>
      <c r="F91" s="16">
        <f>Inputs!$G$146-Inputs!$F$146</f>
        <v>33</v>
      </c>
      <c r="G91" s="16">
        <f>Inputs!$E$146</f>
        <v>229</v>
      </c>
      <c r="H91" s="8">
        <v>115</v>
      </c>
      <c r="I91" s="13" t="s">
        <v>630</v>
      </c>
    </row>
    <row r="92">
      <c r="A92" s="1"/>
      <c r="B92" s="15" t="s">
        <v>130</v>
      </c>
      <c r="C92" s="5">
        <f>C91-C167</f>
        <v>-7</v>
      </c>
      <c r="D92" s="5">
        <f>D91-D167</f>
        <v>-5</v>
      </c>
      <c r="E92" s="5">
        <f>E91-E167</f>
        <v>65</v>
      </c>
      <c r="F92" s="5">
        <f>F91-F167</f>
        <v>33</v>
      </c>
      <c r="G92" s="5">
        <f>G91-G167</f>
        <v>-19</v>
      </c>
      <c r="H92" s="21">
        <f>H91-H167</f>
        <v>-2</v>
      </c>
      <c r="I92" s="13"/>
    </row>
    <row r="93">
      <c r="A93" s="1"/>
      <c r="B93" s="15" t="s">
        <v>131</v>
      </c>
      <c r="C93" s="5">
        <f>C91-F167</f>
        <v>117</v>
      </c>
      <c r="D93" s="5">
        <f>D91-C91</f>
        <v>-118</v>
      </c>
      <c r="E93" s="5">
        <f>E91-D91</f>
        <v>179</v>
      </c>
      <c r="F93" s="5">
        <f>F91-E91</f>
        <v>-145</v>
      </c>
      <c r="G93" s="5" t="s">
        <v>44</v>
      </c>
      <c r="H93" s="21">
        <f>H91-F91</f>
        <v>82</v>
      </c>
      <c r="I93" s="13"/>
    </row>
    <row r="94" ht="24">
      <c r="A94" s="1"/>
      <c r="B94" s="4" t="s">
        <v>631</v>
      </c>
      <c r="C94" s="16">
        <f>Inputs!$D$147-Inputs!$C$147</f>
        <v>-6</v>
      </c>
      <c r="D94" s="16">
        <f>Inputs!$E$147-Inputs!$D$147</f>
        <v>0</v>
      </c>
      <c r="E94" s="16">
        <f>Inputs!$F$147</f>
        <v>-59</v>
      </c>
      <c r="F94" s="16">
        <f>Inputs!$G$147-Inputs!$F$147</f>
        <v>-4</v>
      </c>
      <c r="G94" s="16">
        <f>Inputs!$E$147</f>
        <v>-61</v>
      </c>
      <c r="H94" s="8">
        <v>-5</v>
      </c>
      <c r="I94" s="13"/>
    </row>
    <row r="95">
      <c r="A95" s="1"/>
      <c r="B95" s="15" t="s">
        <v>130</v>
      </c>
      <c r="C95" s="5">
        <f>C94-C168</f>
        <v>2</v>
      </c>
      <c r="D95" s="5">
        <f>D94-D168</f>
        <v>4</v>
      </c>
      <c r="E95" s="5">
        <f>E94-E168</f>
        <v>-6</v>
      </c>
      <c r="F95" s="5">
        <f>F94-F168</f>
        <v>-2</v>
      </c>
      <c r="G95" s="5">
        <f>G94-G168</f>
        <v>29</v>
      </c>
      <c r="H95" s="21">
        <f>H94-H168</f>
        <v>1</v>
      </c>
      <c r="I95" s="13"/>
    </row>
    <row r="96">
      <c r="A96" s="1"/>
      <c r="B96" s="15" t="s">
        <v>131</v>
      </c>
      <c r="C96" s="5">
        <f>C94-F168</f>
        <v>-4</v>
      </c>
      <c r="D96" s="5">
        <f>D94-C94</f>
        <v>6</v>
      </c>
      <c r="E96" s="5">
        <f>E94-D94</f>
        <v>-59</v>
      </c>
      <c r="F96" s="5">
        <f>F94-E94</f>
        <v>55</v>
      </c>
      <c r="G96" s="5" t="s">
        <v>44</v>
      </c>
      <c r="H96" s="21">
        <f>H94-F94</f>
        <v>-1</v>
      </c>
      <c r="I96" s="13"/>
    </row>
    <row r="97" ht="24">
      <c r="A97" s="1"/>
      <c r="B97" s="4" t="s">
        <v>632</v>
      </c>
      <c r="C97" s="16">
        <f>Inputs!$D$148-Inputs!$C$148</f>
        <v>-1533</v>
      </c>
      <c r="D97" s="16">
        <f>Inputs!$E$148-Inputs!$D$148</f>
        <v>-1145</v>
      </c>
      <c r="E97" s="16">
        <f>Inputs!$F$148</f>
        <v>50</v>
      </c>
      <c r="F97" s="16">
        <f>Inputs!$G$148-Inputs!$F$148</f>
        <v>1206</v>
      </c>
      <c r="G97" s="16">
        <f>Inputs!$E$148</f>
        <v>-1597</v>
      </c>
      <c r="H97" s="8">
        <v>0</v>
      </c>
      <c r="I97" s="13" t="s">
        <v>633</v>
      </c>
    </row>
    <row r="98">
      <c r="A98" s="1"/>
      <c r="B98" s="15" t="s">
        <v>130</v>
      </c>
      <c r="C98" s="5">
        <f>C97-C169</f>
        <v>-1169</v>
      </c>
      <c r="D98" s="5">
        <f>D97-D169</f>
        <v>-606</v>
      </c>
      <c r="E98" s="5">
        <f>E97-E169</f>
        <v>-1755</v>
      </c>
      <c r="F98" s="5">
        <f>F97-F169</f>
        <v>1930</v>
      </c>
      <c r="G98" s="5">
        <f>G97-G169</f>
        <v>-2117</v>
      </c>
      <c r="H98" s="21">
        <f>H97-H169</f>
        <v>1533</v>
      </c>
      <c r="I98" s="13"/>
    </row>
    <row r="99">
      <c r="A99" s="1"/>
      <c r="B99" s="15" t="s">
        <v>131</v>
      </c>
      <c r="C99" s="5">
        <f>C97-F169</f>
        <v>-809</v>
      </c>
      <c r="D99" s="5">
        <f>D97-C97</f>
        <v>388</v>
      </c>
      <c r="E99" s="5">
        <f>E97-D97</f>
        <v>1195</v>
      </c>
      <c r="F99" s="5">
        <f>F97-E97</f>
        <v>1156</v>
      </c>
      <c r="G99" s="5" t="s">
        <v>44</v>
      </c>
      <c r="H99" s="21">
        <f>H97-F97</f>
        <v>-1206</v>
      </c>
      <c r="I99" s="13"/>
    </row>
    <row r="100" ht="24">
      <c r="A100" s="1"/>
      <c r="B100" s="4" t="s">
        <v>634</v>
      </c>
      <c r="C100" s="16">
        <f>Inputs!$D$149-Inputs!$C$149</f>
        <v>45</v>
      </c>
      <c r="D100" s="16">
        <f>Inputs!$E$149-Inputs!$D$149</f>
        <v>-36</v>
      </c>
      <c r="E100" s="16">
        <f>Inputs!$F$149</f>
        <v>-3</v>
      </c>
      <c r="F100" s="16">
        <f>Inputs!$G$149-Inputs!$F$149</f>
        <v>13</v>
      </c>
      <c r="G100" s="16">
        <f>Inputs!$E$149</f>
        <v>-19</v>
      </c>
      <c r="H100" s="8">
        <v>0</v>
      </c>
      <c r="I100" s="13"/>
    </row>
    <row r="101">
      <c r="A101" s="1"/>
      <c r="B101" s="15" t="s">
        <v>130</v>
      </c>
      <c r="C101" s="5">
        <f>C100-C170</f>
        <v>168</v>
      </c>
      <c r="D101" s="5">
        <f>D100-D170</f>
        <v>-63</v>
      </c>
      <c r="E101" s="5">
        <f>E100-E170</f>
        <v>24</v>
      </c>
      <c r="F101" s="5">
        <f>F100-F170</f>
        <v>14</v>
      </c>
      <c r="G101" s="5">
        <f>G100-G170</f>
        <v>96</v>
      </c>
      <c r="H101" s="21">
        <f>H100-H170</f>
        <v>-45</v>
      </c>
      <c r="I101" s="13"/>
    </row>
    <row r="102">
      <c r="A102" s="1"/>
      <c r="B102" s="15" t="s">
        <v>131</v>
      </c>
      <c r="C102" s="5">
        <f>C100-F170</f>
        <v>46</v>
      </c>
      <c r="D102" s="5">
        <f>D100-C100</f>
        <v>-81</v>
      </c>
      <c r="E102" s="5">
        <f>E100-D100</f>
        <v>33</v>
      </c>
      <c r="F102" s="5">
        <f>F100-E100</f>
        <v>16</v>
      </c>
      <c r="G102" s="5" t="s">
        <v>44</v>
      </c>
      <c r="H102" s="21">
        <f>H100-F100</f>
        <v>-13</v>
      </c>
      <c r="I102" s="13"/>
    </row>
    <row r="103">
      <c r="A103" s="1"/>
      <c r="B103" s="1" t="s">
        <v>635</v>
      </c>
      <c r="C103" s="16">
        <f>Inputs!$D$150-Inputs!$C$150</f>
        <v>-38</v>
      </c>
      <c r="D103" s="16">
        <f>Inputs!$E$150-Inputs!$D$150</f>
        <v>-113</v>
      </c>
      <c r="E103" s="16">
        <f>Inputs!$F$150</f>
        <v>-23</v>
      </c>
      <c r="F103" s="16">
        <f>Inputs!$G$150-Inputs!$F$150</f>
        <v>-32</v>
      </c>
      <c r="G103" s="16">
        <f>Inputs!$E$150</f>
        <v>-178</v>
      </c>
      <c r="H103" s="8">
        <v>-10</v>
      </c>
      <c r="I103" s="13"/>
    </row>
    <row r="104">
      <c r="A104" s="1"/>
      <c r="B104" s="15" t="s">
        <v>130</v>
      </c>
      <c r="C104" s="5">
        <f>C103-C171</f>
        <v>-8</v>
      </c>
      <c r="D104" s="5">
        <f>D103-D171</f>
        <v>-84</v>
      </c>
      <c r="E104" s="5">
        <f>E103-E171</f>
        <v>7</v>
      </c>
      <c r="F104" s="5">
        <f>F103-F171</f>
        <v>-35</v>
      </c>
      <c r="G104" s="5">
        <f>G103-G171</f>
        <v>-113</v>
      </c>
      <c r="H104" s="21">
        <f>H103-H171</f>
        <v>28</v>
      </c>
      <c r="I104" s="13"/>
    </row>
    <row r="105">
      <c r="A105" s="1"/>
      <c r="B105" s="15" t="s">
        <v>131</v>
      </c>
      <c r="C105" s="5">
        <f>C103-F171</f>
        <v>-41</v>
      </c>
      <c r="D105" s="5">
        <f>D103-C103</f>
        <v>-75</v>
      </c>
      <c r="E105" s="5">
        <f>E103-D103</f>
        <v>90</v>
      </c>
      <c r="F105" s="5">
        <f>F103-E103</f>
        <v>-9</v>
      </c>
      <c r="G105" s="5" t="s">
        <v>44</v>
      </c>
      <c r="H105" s="21">
        <f>H103-F103</f>
        <v>22</v>
      </c>
      <c r="I105" s="13"/>
    </row>
    <row r="106">
      <c r="A106" s="1"/>
      <c r="B106" s="45" t="s">
        <v>636</v>
      </c>
      <c r="C106" s="29">
        <f>C85+C88+C91+C94+C97+C100+C103</f>
        <v>-1932</v>
      </c>
      <c r="D106" s="29">
        <f>D85+D88+D91+D94+D97+D100+D103</f>
        <v>-1721</v>
      </c>
      <c r="E106" s="29">
        <f>E85+E88+E91+E94+E97+E100+E103</f>
        <v>-734</v>
      </c>
      <c r="F106" s="29">
        <f>F85+F88+F91+F94+F97+F100+F103</f>
        <v>128</v>
      </c>
      <c r="G106" s="29">
        <f>G85+G88+G91+G94+G97+G100+G103</f>
        <v>-5642</v>
      </c>
      <c r="H106" s="47">
        <f>H85+H88+H91+H94+H97+H100+H103</f>
        <v>-987.78</v>
      </c>
      <c r="I106" s="13"/>
    </row>
    <row r="107">
      <c r="A107" s="1"/>
      <c r="B107" s="15" t="s">
        <v>122</v>
      </c>
      <c r="C107" s="5">
        <f>C106-C172</f>
        <v>-637</v>
      </c>
      <c r="D107" s="5">
        <f>D106-D172</f>
        <v>-290</v>
      </c>
      <c r="E107" s="5">
        <f>E106-E172</f>
        <v>144</v>
      </c>
      <c r="F107" s="5">
        <f>F106-F172</f>
        <v>1239</v>
      </c>
      <c r="G107" s="5">
        <f>G106-G172</f>
        <v>-2870</v>
      </c>
      <c r="H107" s="21">
        <f>H106-H172</f>
        <v>944.22</v>
      </c>
      <c r="I107" s="13"/>
    </row>
    <row r="108">
      <c r="A108" s="1"/>
      <c r="B108" s="15" t="s">
        <v>123</v>
      </c>
      <c r="C108" s="5">
        <f>C106-F172</f>
        <v>-821</v>
      </c>
      <c r="D108" s="5">
        <f>D106-C106</f>
        <v>211</v>
      </c>
      <c r="E108" s="5">
        <f>E106-D106</f>
        <v>987</v>
      </c>
      <c r="F108" s="5">
        <f>F106-E106</f>
        <v>862</v>
      </c>
      <c r="G108" s="5" t="s">
        <v>44</v>
      </c>
      <c r="H108" s="21">
        <f>H106-F106</f>
        <v>-1115.78</v>
      </c>
      <c r="I108" s="13"/>
    </row>
    <row r="109">
      <c r="A109" s="1"/>
      <c r="B109" s="41" t="s">
        <v>637</v>
      </c>
      <c r="C109" s="1"/>
      <c r="D109" s="1"/>
      <c r="E109" s="1"/>
      <c r="F109" s="1"/>
      <c r="G109" s="1"/>
      <c r="H109" s="53"/>
      <c r="I109" s="13"/>
    </row>
    <row r="110">
      <c r="A110" s="1"/>
      <c r="B110" s="1" t="s">
        <v>638</v>
      </c>
      <c r="C110" s="16">
        <f>Inputs!$D$151-Inputs!$C$151</f>
        <v>-16</v>
      </c>
      <c r="D110" s="16">
        <f>Inputs!$E$151-Inputs!$D$151</f>
        <v>8</v>
      </c>
      <c r="E110" s="16">
        <f>Inputs!$F$151</f>
        <v>-3</v>
      </c>
      <c r="F110" s="16">
        <f>Inputs!$G$151-Inputs!$F$151</f>
        <v>-8</v>
      </c>
      <c r="G110" s="16">
        <f>Inputs!$E$151</f>
        <v>57</v>
      </c>
      <c r="H110" s="8">
        <v>0</v>
      </c>
      <c r="I110" s="13"/>
    </row>
    <row r="111">
      <c r="A111" s="1"/>
      <c r="B111" s="15" t="s">
        <v>130</v>
      </c>
      <c r="C111" s="5">
        <f>C110-C173</f>
        <v>-19</v>
      </c>
      <c r="D111" s="5">
        <f>D110-D173</f>
        <v>32</v>
      </c>
      <c r="E111" s="5">
        <f>E110-E173</f>
        <v>-45</v>
      </c>
      <c r="F111" s="5">
        <f>F110-F173</f>
        <v>-31</v>
      </c>
      <c r="G111" s="5">
        <f>G110-G173</f>
        <v>98</v>
      </c>
      <c r="H111" s="21">
        <f>H110-H173</f>
        <v>16</v>
      </c>
      <c r="I111" s="13"/>
    </row>
    <row r="112">
      <c r="A112" s="1"/>
      <c r="B112" s="15" t="s">
        <v>131</v>
      </c>
      <c r="C112" s="5">
        <f>C110-F173</f>
        <v>-39</v>
      </c>
      <c r="D112" s="5">
        <f>D110-C110</f>
        <v>24</v>
      </c>
      <c r="E112" s="5">
        <f>E110-D110</f>
        <v>-11</v>
      </c>
      <c r="F112" s="5">
        <f>F110-E110</f>
        <v>-5</v>
      </c>
      <c r="G112" s="5" t="s">
        <v>44</v>
      </c>
      <c r="H112" s="21">
        <f>H110-F110</f>
        <v>8</v>
      </c>
      <c r="I112" s="13"/>
    </row>
    <row r="113">
      <c r="A113" s="1"/>
      <c r="B113" s="41" t="s">
        <v>639</v>
      </c>
      <c r="C113" s="1"/>
      <c r="D113" s="1"/>
      <c r="E113" s="1"/>
      <c r="F113" s="1"/>
      <c r="G113" s="1"/>
      <c r="H113" s="53"/>
      <c r="I113" s="13"/>
    </row>
    <row r="114" ht="24">
      <c r="A114" s="1"/>
      <c r="B114" s="26" t="s">
        <v>640</v>
      </c>
      <c r="C114" s="29">
        <f>C52+C81+C106</f>
        <v>-206</v>
      </c>
      <c r="D114" s="29">
        <f>D52+D81+D106</f>
        <v>14</v>
      </c>
      <c r="E114" s="29">
        <f>E52+E81+E106</f>
        <v>-214</v>
      </c>
      <c r="F114" s="29">
        <f>F52+F81+F106</f>
        <v>-68</v>
      </c>
      <c r="G114" s="29">
        <f>G52+G81+G106</f>
        <v>-565</v>
      </c>
      <c r="H114" s="47">
        <f>H52+H81+H106</f>
        <v>141.34542139000018</v>
      </c>
      <c r="I114" s="13"/>
    </row>
    <row r="115">
      <c r="A115" s="1"/>
      <c r="B115" s="1" t="s">
        <v>641</v>
      </c>
      <c r="C115" s="16">
        <f>Inputs!$C$156</f>
        <v>3236</v>
      </c>
      <c r="D115" s="22">
        <f>C116</f>
        <v>3014</v>
      </c>
      <c r="E115" s="22">
        <f>D116</f>
        <v>3036</v>
      </c>
      <c r="F115" s="22">
        <f>E116</f>
        <v>2819</v>
      </c>
      <c r="G115" s="16">
        <f>Inputs!$E$155</f>
        <v>3544</v>
      </c>
      <c r="H115" s="37">
        <f>F116</f>
        <v>2743</v>
      </c>
      <c r="I115" s="13"/>
    </row>
    <row r="116">
      <c r="A116" s="1"/>
      <c r="B116" s="45" t="s">
        <v>642</v>
      </c>
      <c r="C116" s="29">
        <f>C115+C114+C110</f>
        <v>3014</v>
      </c>
      <c r="D116" s="29">
        <f>D115+D114+D110</f>
        <v>3036</v>
      </c>
      <c r="E116" s="29">
        <f>E115+E114+E110</f>
        <v>2819</v>
      </c>
      <c r="F116" s="29">
        <f>F115+F114+F110</f>
        <v>2743</v>
      </c>
      <c r="G116" s="29">
        <f>G115+G114+G110</f>
        <v>3036</v>
      </c>
      <c r="H116" s="47">
        <f>H115+H114+H110</f>
        <v>2884.3454213900004</v>
      </c>
      <c r="I116" s="13"/>
    </row>
    <row r="117">
      <c r="A117" s="1"/>
      <c r="B117" s="1" t="s">
        <v>643</v>
      </c>
      <c r="C117" s="16">
        <f>'Balance Sheet'!C10</f>
        <v>3014</v>
      </c>
      <c r="D117" s="16">
        <f>'Balance Sheet'!D10</f>
        <v>3036</v>
      </c>
      <c r="E117" s="16">
        <f>'Balance Sheet'!E10</f>
        <v>2819</v>
      </c>
      <c r="F117" s="16">
        <f>'Balance Sheet'!F10</f>
        <v>2743</v>
      </c>
      <c r="G117" s="16">
        <f>'Balance Sheet'!G10</f>
        <v>3036</v>
      </c>
      <c r="H117" s="73">
        <f>'Balance Sheet'!H10</f>
        <v>2884.3454213900004</v>
      </c>
      <c r="I117" s="13"/>
    </row>
    <row r="118" ht="24">
      <c r="A118" s="1"/>
      <c r="B118" s="4" t="s">
        <v>644</v>
      </c>
      <c r="C118" s="38" t="b">
        <f>ROUND(C116-C117,6)=0</f>
        <v>1</v>
      </c>
      <c r="D118" s="38" t="b">
        <f>ROUND(D116-D117,6)=0</f>
        <v>1</v>
      </c>
      <c r="E118" s="38" t="b">
        <f>ROUND(E116-E117,6)=0</f>
        <v>1</v>
      </c>
      <c r="F118" s="38" t="b">
        <f>ROUND(F116-F117,6)=0</f>
        <v>1</v>
      </c>
      <c r="G118" s="38" t="b">
        <f>ROUND(G116-G117,6)=0</f>
        <v>1</v>
      </c>
      <c r="H118" s="68" t="b">
        <f>ROUND(H116-H117,6)=0</f>
        <v>1</v>
      </c>
      <c r="I118" s="13"/>
    </row>
    <row r="119" ht="24">
      <c r="A119" s="1"/>
      <c r="B119" s="4" t="s">
        <v>645</v>
      </c>
      <c r="C119" s="38" t="s">
        <v>44</v>
      </c>
      <c r="D119" s="38" t="s">
        <v>44</v>
      </c>
      <c r="E119" s="38" t="s">
        <v>44</v>
      </c>
      <c r="F119" s="38" t="s">
        <v>44</v>
      </c>
      <c r="G119" s="42" t="b">
        <f>ROUND(Inputs!$C$152+C52+D52-G52,6)=0</f>
        <v>1</v>
      </c>
      <c r="H119" s="68" t="s">
        <v>44</v>
      </c>
      <c r="I119" s="13"/>
    </row>
    <row r="120">
      <c r="A120" s="1"/>
      <c r="B120" s="1" t="s">
        <v>646</v>
      </c>
      <c r="C120" s="1"/>
      <c r="D120" s="1"/>
      <c r="E120" s="1"/>
      <c r="F120" s="1"/>
      <c r="G120" s="1"/>
      <c r="H120" s="53"/>
      <c r="I120" s="13"/>
    </row>
    <row r="121">
      <c r="A121" s="1"/>
      <c r="B121" s="41" t="s">
        <v>647</v>
      </c>
      <c r="C121" s="1"/>
      <c r="D121" s="1"/>
      <c r="E121" s="1"/>
      <c r="F121" s="1"/>
      <c r="G121" s="1"/>
      <c r="H121" s="53"/>
      <c r="I121" s="13"/>
    </row>
    <row r="122" ht="24">
      <c r="A122" s="1"/>
      <c r="B122" s="26" t="s">
        <v>648</v>
      </c>
      <c r="C122" s="29">
        <f>-(C57+C60+C63)</f>
        <v>581</v>
      </c>
      <c r="D122" s="29">
        <f>-(D57+D60+D63)</f>
        <v>716</v>
      </c>
      <c r="E122" s="29">
        <f>-(E57+E60+E63)</f>
        <v>510</v>
      </c>
      <c r="F122" s="29">
        <f>-(F57+F60+F63)</f>
        <v>643</v>
      </c>
      <c r="G122" s="29">
        <f>-(G57+G60+G63)</f>
        <v>2374</v>
      </c>
      <c r="H122" s="47">
        <f>-(H57+H60+H63)</f>
        <v>640</v>
      </c>
      <c r="I122" s="13"/>
    </row>
    <row r="123">
      <c r="A123" s="1"/>
      <c r="B123" s="15" t="s">
        <v>102</v>
      </c>
      <c r="C123" s="11">
        <f>IFERROR(C122/C174-1,"n/a")</f>
        <v>-0.09782608695652173</v>
      </c>
      <c r="D123" s="11">
        <f>IFERROR(D122/D174-1,"n/a")</f>
        <v>-0.0566534914361001</v>
      </c>
      <c r="E123" s="11">
        <f>IFERROR(E122/E174-1,"n/a")</f>
        <v>-0.08438061041292644</v>
      </c>
      <c r="F123" s="11">
        <f>IFERROR(F122/F174-1,"n/a")</f>
        <v>0.2365384615384616</v>
      </c>
      <c r="G123" s="11">
        <f>IFERROR(G122/G174-1,"n/a")</f>
        <v>-0.09111791730474728</v>
      </c>
      <c r="H123" s="50">
        <f>IFERROR(H122/H174-1,"n/a")</f>
        <v>0.10154905335628217</v>
      </c>
      <c r="I123" s="13"/>
    </row>
    <row r="124">
      <c r="A124" s="1"/>
      <c r="B124" s="15" t="s">
        <v>123</v>
      </c>
      <c r="C124" s="5">
        <f>C122-F174</f>
        <v>61</v>
      </c>
      <c r="D124" s="5">
        <f>D122-C122</f>
        <v>135</v>
      </c>
      <c r="E124" s="5">
        <f>E122-D122</f>
        <v>-206</v>
      </c>
      <c r="F124" s="5">
        <f>F122-E122</f>
        <v>133</v>
      </c>
      <c r="G124" s="5" t="s">
        <v>44</v>
      </c>
      <c r="H124" s="21">
        <f>H122-F122</f>
        <v>-3</v>
      </c>
      <c r="I124" s="13"/>
    </row>
    <row r="125" ht="24">
      <c r="A125" s="1"/>
      <c r="B125" s="26" t="s">
        <v>649</v>
      </c>
      <c r="C125" s="29">
        <f>C52-C122</f>
        <v>1101</v>
      </c>
      <c r="D125" s="29">
        <f>D52-D122</f>
        <v>2289</v>
      </c>
      <c r="E125" s="29">
        <f>E52-E122</f>
        <v>-23</v>
      </c>
      <c r="F125" s="29">
        <f>F52-F122</f>
        <v>716</v>
      </c>
      <c r="G125" s="29">
        <f>G52-G122</f>
        <v>4115</v>
      </c>
      <c r="H125" s="47">
        <f>H52-H122</f>
        <v>1129.1254213900002</v>
      </c>
      <c r="I125" s="13"/>
    </row>
    <row r="126">
      <c r="A126" s="1"/>
      <c r="B126" s="15" t="s">
        <v>102</v>
      </c>
      <c r="C126" s="11">
        <f>IFERROR(C125/C175-1,"n/a")</f>
        <v>-0.3900277008310249</v>
      </c>
      <c r="D126" s="11">
        <f>IFERROR(D125/D175-1,"n/a")</f>
        <v>0.4034334763948497</v>
      </c>
      <c r="E126" s="11">
        <f>IFERROR(E125/E175-1,"n/a")</f>
        <v>-1.2233009708737863</v>
      </c>
      <c r="F126" s="11">
        <f>IFERROR(F125/F175-1,"n/a")</f>
        <v>0.1511254019292605</v>
      </c>
      <c r="G126" s="11">
        <f>IFERROR(G125/G175-1,"n/a")</f>
        <v>0.03132832080200498</v>
      </c>
      <c r="H126" s="50">
        <f>IFERROR(H125/H175-1,"n/a")</f>
        <v>0.025545341861943793</v>
      </c>
      <c r="I126" s="13"/>
    </row>
    <row r="127">
      <c r="A127" s="1"/>
      <c r="B127" s="15" t="s">
        <v>123</v>
      </c>
      <c r="C127" s="5">
        <f>C125-F175</f>
        <v>479</v>
      </c>
      <c r="D127" s="5">
        <f>D125-C125</f>
        <v>1188</v>
      </c>
      <c r="E127" s="5">
        <f>E125-D125</f>
        <v>-2312</v>
      </c>
      <c r="F127" s="5">
        <f>F125-E125</f>
        <v>739</v>
      </c>
      <c r="G127" s="5" t="s">
        <v>44</v>
      </c>
      <c r="H127" s="21">
        <f>H125-F125</f>
        <v>413.12542139000016</v>
      </c>
      <c r="I127" s="13"/>
    </row>
    <row r="128" ht="34.5">
      <c r="A128" s="1"/>
      <c r="B128" s="57" t="s">
        <v>650</v>
      </c>
      <c r="C128" s="60">
        <f>C125/'Income Statement'!C83</f>
        <v>1.489851150202977</v>
      </c>
      <c r="D128" s="60">
        <f>D125/'Income Statement'!D83</f>
        <v>2.7779126213592233</v>
      </c>
      <c r="E128" s="60">
        <f>E125/'Income Statement'!E83</f>
        <v>-0.030585106382978722</v>
      </c>
      <c r="F128" s="60">
        <f>F125/'Income Statement'!F83</f>
        <v>0.910941475826972</v>
      </c>
      <c r="G128" s="60">
        <f>G125/'Income Statement'!G83</f>
        <v>1.2196206283343214</v>
      </c>
      <c r="H128" s="70">
        <f>H125/'Income Statement'!H83</f>
        <v>1.2953566810397328</v>
      </c>
      <c r="I128" s="13"/>
    </row>
    <row r="129">
      <c r="A129" s="1"/>
      <c r="B129" s="15" t="s">
        <v>119</v>
      </c>
      <c r="C129" s="40">
        <f>IFERROR((C128-C176)*10000,"n/a")</f>
        <v>-320.71278127545844</v>
      </c>
      <c r="D129" s="40">
        <f>IFERROR((D128-D176)*10000,"n/a")</f>
        <v>12884.149044642461</v>
      </c>
      <c r="E129" s="40">
        <f>IFERROR((E128-E176)*10000,"n/a")</f>
        <v>-1598.1973624496118</v>
      </c>
      <c r="F129" s="40">
        <f>IFERROR((F128-F176)*10000,"n/a")</f>
        <v>2975.2924703012786</v>
      </c>
      <c r="G129" s="40">
        <f>IFERROR((G128-G176)*10000,"n/a")</f>
        <v>3252.023364715103</v>
      </c>
      <c r="H129" s="56">
        <f>IFERROR((H128-H176)*10000,"n/a")</f>
        <v>-1944.944691632442</v>
      </c>
      <c r="I129" s="13"/>
    </row>
    <row r="130">
      <c r="A130" s="1"/>
      <c r="B130" s="15" t="s">
        <v>120</v>
      </c>
      <c r="C130" s="40">
        <f>IFERROR((C128-F176)*10000,"n/a")</f>
        <v>8764.389214061328</v>
      </c>
      <c r="D130" s="40">
        <f>IFERROR((D128-C128)*10000,"n/a")</f>
        <v>12880.614711562464</v>
      </c>
      <c r="E130" s="40">
        <f>IFERROR((E128-D128)*10000,"n/a")</f>
        <v>-28084.977277422022</v>
      </c>
      <c r="F130" s="40">
        <f>IFERROR((F128-E128)*10000,"n/a")</f>
        <v>9415.265822099507</v>
      </c>
      <c r="G130" s="40" t="s">
        <v>44</v>
      </c>
      <c r="H130" s="56">
        <f>IFERROR((H128-F128)*10000,"n/a")</f>
        <v>3844.1520521276075</v>
      </c>
      <c r="I130" s="13"/>
    </row>
    <row r="131" ht="24">
      <c r="A131" s="1"/>
      <c r="B131" s="57" t="s">
        <v>651</v>
      </c>
      <c r="C131" s="60">
        <f>C122/'Income Statement'!C10</f>
        <v>0.06507616487455196</v>
      </c>
      <c r="D131" s="60">
        <f>D122/'Income Statement'!D10</f>
        <v>0.07347357619291944</v>
      </c>
      <c r="E131" s="60">
        <f>E122/'Income Statement'!E10</f>
        <v>0.05847953216374269</v>
      </c>
      <c r="F131" s="60">
        <f>F122/'Income Statement'!F10</f>
        <v>0.07166740971912618</v>
      </c>
      <c r="G131" s="60">
        <f>G122/'Income Statement'!G10</f>
        <v>0.06648183931221821</v>
      </c>
      <c r="H131" s="70">
        <f>H122/'Income Statement'!H10</f>
        <v>0.06905476372219133</v>
      </c>
      <c r="I131" s="13"/>
    </row>
    <row r="132">
      <c r="A132" s="1"/>
      <c r="B132" s="15" t="s">
        <v>119</v>
      </c>
      <c r="C132" s="40">
        <f>IFERROR((C131-C177)*10000,"n/a")</f>
        <v>-52.371881115818866</v>
      </c>
      <c r="D132" s="40">
        <f>IFERROR((D131-D177)*10000,"n/a")</f>
        <v>-82.79978309450223</v>
      </c>
      <c r="E132" s="40">
        <f>IFERROR((E131-E177)*10000,"n/a")</f>
        <v>-71.27063831545891</v>
      </c>
      <c r="F132" s="40">
        <f>IFERROR((F131-F177)*10000,"n/a")</f>
        <v>108.20229751890044</v>
      </c>
      <c r="G132" s="40">
        <f>IFERROR((G131-G177)*10000,"n/a")</f>
        <v>-54.95894987431818</v>
      </c>
      <c r="H132" s="56">
        <f>IFERROR((H131-H177)*10000,"n/a")</f>
        <v>39.78598847639361</v>
      </c>
      <c r="I132" s="13"/>
    </row>
    <row r="133">
      <c r="A133" s="1"/>
      <c r="B133" s="15" t="s">
        <v>120</v>
      </c>
      <c r="C133" s="40">
        <f>IFERROR((C131-F177)*10000,"n/a")</f>
        <v>42.289849073158315</v>
      </c>
      <c r="D133" s="40">
        <f>IFERROR((D131-C131)*10000,"n/a")</f>
        <v>83.97411318367479</v>
      </c>
      <c r="E133" s="40">
        <f>IFERROR((E131-D131)*10000,"n/a")</f>
        <v>-149.94044029176757</v>
      </c>
      <c r="F133" s="40">
        <f>IFERROR((F131-E131)*10000,"n/a")</f>
        <v>131.87877555383488</v>
      </c>
      <c r="G133" s="40" t="s">
        <v>44</v>
      </c>
      <c r="H133" s="56">
        <f>IFERROR((H131-F131)*10000,"n/a")</f>
        <v>-26.12645996934851</v>
      </c>
      <c r="I133" s="13"/>
    </row>
    <row r="134" ht="24">
      <c r="A134" s="1"/>
      <c r="B134" s="4" t="s">
        <v>652</v>
      </c>
      <c r="C134" s="22">
        <f>-(C85+C88)</f>
        <v>517</v>
      </c>
      <c r="D134" s="22">
        <f>-(D85+D88)</f>
        <v>426</v>
      </c>
      <c r="E134" s="22">
        <f>-(E85+E88)</f>
        <v>877</v>
      </c>
      <c r="F134" s="22">
        <f>-(F85+F88)</f>
        <v>1088</v>
      </c>
      <c r="G134" s="22">
        <f>-(G85+G88)</f>
        <v>4016</v>
      </c>
      <c r="H134" s="37">
        <f>-(H85+H88)</f>
        <v>1087.78</v>
      </c>
      <c r="I134" s="13"/>
    </row>
    <row r="135">
      <c r="A135" s="1"/>
      <c r="B135" s="15" t="s">
        <v>130</v>
      </c>
      <c r="C135" s="5">
        <f>C134-C178</f>
        <v>-377</v>
      </c>
      <c r="D135" s="5">
        <f>D134-D178</f>
        <v>-464</v>
      </c>
      <c r="E135" s="5">
        <f>E134-E178</f>
        <v>-1809</v>
      </c>
      <c r="F135" s="5">
        <f>F134-F178</f>
        <v>701</v>
      </c>
      <c r="G135" s="5">
        <f>G134-G178</f>
        <v>746</v>
      </c>
      <c r="H135" s="21">
        <f>H134-H178</f>
        <v>570.78</v>
      </c>
      <c r="I135" s="13"/>
    </row>
    <row r="136">
      <c r="A136" s="1"/>
      <c r="B136" s="15" t="s">
        <v>131</v>
      </c>
      <c r="C136" s="5">
        <f>C134-F178</f>
        <v>130</v>
      </c>
      <c r="D136" s="5">
        <f>D134-C134</f>
        <v>-91</v>
      </c>
      <c r="E136" s="5">
        <f>E134-D134</f>
        <v>451</v>
      </c>
      <c r="F136" s="5">
        <f>F134-E134</f>
        <v>211</v>
      </c>
      <c r="G136" s="5" t="s">
        <v>44</v>
      </c>
      <c r="H136" s="21">
        <f>H134-F134</f>
        <v>-0.22000000000002728</v>
      </c>
      <c r="I136" s="13"/>
    </row>
    <row r="137" ht="45">
      <c r="A137" s="1"/>
      <c r="B137" s="4" t="s">
        <v>653</v>
      </c>
      <c r="C137" s="9">
        <v>1682</v>
      </c>
      <c r="D137" s="9">
        <v>3005</v>
      </c>
      <c r="E137" s="16">
        <f>Inputs!$F$152</f>
        <v>487</v>
      </c>
      <c r="F137" s="9">
        <v>1359</v>
      </c>
      <c r="G137" s="16">
        <f>Inputs!$E$152</f>
        <v>6489</v>
      </c>
      <c r="H137" s="37" t="s">
        <v>44</v>
      </c>
      <c r="I137" s="13"/>
    </row>
    <row r="138">
      <c r="A138" s="1"/>
      <c r="B138" s="15" t="s">
        <v>654</v>
      </c>
      <c r="C138" s="5">
        <f>C52-C137</f>
        <v>0</v>
      </c>
      <c r="D138" s="5">
        <f>D52-D137</f>
        <v>0</v>
      </c>
      <c r="E138" s="5">
        <f>E52-E137</f>
        <v>0</v>
      </c>
      <c r="F138" s="5">
        <f>F52-F137</f>
        <v>0</v>
      </c>
      <c r="G138" s="5">
        <f>G52-G137</f>
        <v>0</v>
      </c>
      <c r="H138" s="21" t="s">
        <v>44</v>
      </c>
      <c r="I138" s="13"/>
    </row>
    <row r="139">
      <c r="A139" s="1"/>
      <c r="B139" s="1"/>
      <c r="C139" s="1"/>
      <c r="D139" s="1"/>
      <c r="E139" s="1"/>
      <c r="F139" s="1"/>
      <c r="G139" s="1"/>
      <c r="H139" s="53"/>
      <c r="I139" s="13"/>
    </row>
    <row r="140">
      <c r="A140" s="1"/>
      <c r="B140" s="41" t="s">
        <v>155</v>
      </c>
      <c r="C140" s="1"/>
      <c r="D140" s="1"/>
      <c r="E140" s="1"/>
      <c r="F140" s="1"/>
      <c r="G140" s="1"/>
      <c r="H140" s="53"/>
      <c r="I140" s="13" t="s">
        <v>156</v>
      </c>
    </row>
    <row r="141" ht="34.5">
      <c r="A141" s="1"/>
      <c r="B141" s="4" t="s">
        <v>655</v>
      </c>
      <c r="C141" s="16">
        <f>Inputs!$I$122-Inputs!$H$122</f>
        <v>1218</v>
      </c>
      <c r="D141" s="16">
        <f>Inputs!$J$122-Inputs!$I$122</f>
        <v>1118</v>
      </c>
      <c r="E141" s="16">
        <f>Inputs!$K$122</f>
        <v>829</v>
      </c>
      <c r="F141" s="16">
        <f>Inputs!$C$122-Inputs!$K$122</f>
        <v>1048</v>
      </c>
      <c r="G141" s="16">
        <f>Inputs!$J$122</f>
        <v>4579</v>
      </c>
      <c r="H141" s="37">
        <f>C10</f>
        <v>774</v>
      </c>
      <c r="I141" s="13"/>
    </row>
    <row r="142" ht="24">
      <c r="A142" s="1"/>
      <c r="B142" s="4" t="s">
        <v>245</v>
      </c>
      <c r="C142" s="16">
        <f>Inputs!$I$123-Inputs!$H$123</f>
        <v>640</v>
      </c>
      <c r="D142" s="16">
        <f>Inputs!$J$123-Inputs!$I$123</f>
        <v>648</v>
      </c>
      <c r="E142" s="16">
        <f>Inputs!$K$123</f>
        <v>640</v>
      </c>
      <c r="F142" s="16">
        <f>Inputs!$C$123-Inputs!$K$123</f>
        <v>633</v>
      </c>
      <c r="G142" s="16">
        <f>Inputs!$J$123</f>
        <v>2519</v>
      </c>
      <c r="H142" s="37">
        <f>C13</f>
        <v>638</v>
      </c>
      <c r="I142" s="13"/>
    </row>
    <row r="143" ht="34.5">
      <c r="A143" s="1"/>
      <c r="B143" s="4" t="s">
        <v>656</v>
      </c>
      <c r="C143" s="16">
        <f>Inputs!$I$124-Inputs!$H$124</f>
        <v>0</v>
      </c>
      <c r="D143" s="16">
        <f>Inputs!$J$124-Inputs!$I$124</f>
        <v>181</v>
      </c>
      <c r="E143" s="16">
        <f>Inputs!$K$124</f>
        <v>0</v>
      </c>
      <c r="F143" s="16">
        <f>Inputs!$C$124-Inputs!$K$124</f>
        <v>-80</v>
      </c>
      <c r="G143" s="16">
        <f>Inputs!$J$124</f>
        <v>181</v>
      </c>
      <c r="H143" s="37">
        <f>C16</f>
        <v>52</v>
      </c>
      <c r="I143" s="13"/>
    </row>
    <row r="144">
      <c r="A144" s="1"/>
      <c r="B144" s="1" t="s">
        <v>571</v>
      </c>
      <c r="C144" s="16">
        <f>Inputs!$I$125-Inputs!$H$125</f>
        <v>61</v>
      </c>
      <c r="D144" s="16">
        <f>Inputs!$J$125-Inputs!$I$125</f>
        <v>-73</v>
      </c>
      <c r="E144" s="16">
        <f>Inputs!$K$125</f>
        <v>-37</v>
      </c>
      <c r="F144" s="16">
        <f>Inputs!$C$125-Inputs!$K$125</f>
        <v>-23</v>
      </c>
      <c r="G144" s="16">
        <f>Inputs!$J$125</f>
        <v>-41</v>
      </c>
      <c r="H144" s="37">
        <f>C19</f>
        <v>-29</v>
      </c>
      <c r="I144" s="13"/>
    </row>
    <row r="145" ht="24">
      <c r="A145" s="1"/>
      <c r="B145" s="4" t="s">
        <v>657</v>
      </c>
      <c r="C145" s="16">
        <f>Inputs!$I$126-Inputs!$H$126</f>
        <v>71</v>
      </c>
      <c r="D145" s="16">
        <f>Inputs!$J$126-Inputs!$I$126</f>
        <v>72</v>
      </c>
      <c r="E145" s="16">
        <f>Inputs!$K$126</f>
        <v>91</v>
      </c>
      <c r="F145" s="16">
        <f>Inputs!$C$126-Inputs!$K$126</f>
        <v>77</v>
      </c>
      <c r="G145" s="16">
        <f>Inputs!$J$126</f>
        <v>316</v>
      </c>
      <c r="H145" s="37">
        <f>C22</f>
        <v>89</v>
      </c>
      <c r="I145" s="13"/>
    </row>
    <row r="146" ht="34.5">
      <c r="A146" s="1"/>
      <c r="B146" s="4" t="s">
        <v>658</v>
      </c>
      <c r="C146" s="16">
        <f>Inputs!$I$127-Inputs!$H$127</f>
        <v>-21</v>
      </c>
      <c r="D146" s="16">
        <f>Inputs!$J$127-Inputs!$I$127</f>
        <v>-9</v>
      </c>
      <c r="E146" s="16">
        <f>Inputs!$K$127</f>
        <v>-10</v>
      </c>
      <c r="F146" s="16">
        <f>Inputs!$C$127-Inputs!$K$127</f>
        <v>-37</v>
      </c>
      <c r="G146" s="16">
        <f>Inputs!$J$127</f>
        <v>-18</v>
      </c>
      <c r="H146" s="37">
        <f>C25</f>
        <v>-12</v>
      </c>
      <c r="I146" s="13"/>
    </row>
    <row r="147" ht="24">
      <c r="A147" s="1"/>
      <c r="B147" s="4" t="s">
        <v>659</v>
      </c>
      <c r="C147" s="16">
        <f>Inputs!$I$128-Inputs!$H$128</f>
        <v>359</v>
      </c>
      <c r="D147" s="16">
        <f>Inputs!$J$128-Inputs!$I$128</f>
        <v>160</v>
      </c>
      <c r="E147" s="16">
        <f>Inputs!$K$128</f>
        <v>-472</v>
      </c>
      <c r="F147" s="16">
        <f>Inputs!$C$128-Inputs!$K$128</f>
        <v>-8</v>
      </c>
      <c r="G147" s="16">
        <f>Inputs!$J$128</f>
        <v>-236</v>
      </c>
      <c r="H147" s="37">
        <f>C28</f>
        <v>-48</v>
      </c>
      <c r="I147" s="13"/>
    </row>
    <row r="148" ht="24">
      <c r="A148" s="1"/>
      <c r="B148" s="4" t="s">
        <v>660</v>
      </c>
      <c r="C148" s="16">
        <f>Inputs!$I$129-Inputs!$H$129</f>
        <v>-94</v>
      </c>
      <c r="D148" s="16">
        <f>Inputs!$J$129-Inputs!$I$129</f>
        <v>142</v>
      </c>
      <c r="E148" s="16">
        <f>Inputs!$K$129</f>
        <v>-214</v>
      </c>
      <c r="F148" s="16">
        <f>Inputs!$C$129-Inputs!$K$129</f>
        <v>-74</v>
      </c>
      <c r="G148" s="16">
        <f>Inputs!$J$129</f>
        <v>-101</v>
      </c>
      <c r="H148" s="37">
        <f>C31</f>
        <v>39</v>
      </c>
      <c r="I148" s="13"/>
    </row>
    <row r="149" ht="24">
      <c r="A149" s="1"/>
      <c r="B149" s="4" t="s">
        <v>661</v>
      </c>
      <c r="C149" s="16">
        <f>Inputs!$I$130-Inputs!$H$130</f>
        <v>-84</v>
      </c>
      <c r="D149" s="16">
        <f>Inputs!$J$130-Inputs!$I$130</f>
        <v>-20</v>
      </c>
      <c r="E149" s="16">
        <f>Inputs!$K$130</f>
        <v>80</v>
      </c>
      <c r="F149" s="16">
        <f>Inputs!$C$130-Inputs!$K$130</f>
        <v>6</v>
      </c>
      <c r="G149" s="16">
        <f>Inputs!$J$130</f>
        <v>3</v>
      </c>
      <c r="H149" s="37">
        <f>C34</f>
        <v>1</v>
      </c>
      <c r="I149" s="13"/>
    </row>
    <row r="150" ht="24">
      <c r="A150" s="1"/>
      <c r="B150" s="4" t="s">
        <v>662</v>
      </c>
      <c r="C150" s="16">
        <f>Inputs!$I$131-Inputs!$H$131</f>
        <v>2</v>
      </c>
      <c r="D150" s="16">
        <f>Inputs!$J$131-Inputs!$I$131</f>
        <v>16</v>
      </c>
      <c r="E150" s="16">
        <f>Inputs!$K$131</f>
        <v>-11</v>
      </c>
      <c r="F150" s="16">
        <f>Inputs!$C$131-Inputs!$K$131</f>
        <v>-33</v>
      </c>
      <c r="G150" s="16">
        <f>Inputs!$J$131</f>
        <v>13</v>
      </c>
      <c r="H150" s="37">
        <f>C37</f>
        <v>5</v>
      </c>
      <c r="I150" s="13"/>
    </row>
    <row r="151" ht="34.5">
      <c r="A151" s="1"/>
      <c r="B151" s="4" t="s">
        <v>663</v>
      </c>
      <c r="C151" s="16">
        <f>Inputs!$I$132-Inputs!$H$132</f>
        <v>210</v>
      </c>
      <c r="D151" s="16">
        <f>Inputs!$J$132-Inputs!$I$132</f>
        <v>97</v>
      </c>
      <c r="E151" s="16">
        <f>Inputs!$K$132</f>
        <v>-275</v>
      </c>
      <c r="F151" s="16">
        <f>Inputs!$C$132-Inputs!$K$132</f>
        <v>-282</v>
      </c>
      <c r="G151" s="16">
        <f>Inputs!$J$132</f>
        <v>-635</v>
      </c>
      <c r="H151" s="37">
        <f>C40</f>
        <v>176</v>
      </c>
      <c r="I151" s="13"/>
    </row>
    <row r="152" ht="34.5">
      <c r="A152" s="1"/>
      <c r="B152" s="4" t="s">
        <v>664</v>
      </c>
      <c r="C152" s="16">
        <f>Inputs!$I$133-Inputs!$H$133</f>
        <v>20</v>
      </c>
      <c r="D152" s="16">
        <f>Inputs!$J$133-Inputs!$I$133</f>
        <v>96</v>
      </c>
      <c r="E152" s="16">
        <f>Inputs!$K$133</f>
        <v>-56</v>
      </c>
      <c r="F152" s="16">
        <f>Inputs!$C$133-Inputs!$K$133</f>
        <v>-106</v>
      </c>
      <c r="G152" s="16">
        <f>Inputs!$J$133</f>
        <v>-51</v>
      </c>
      <c r="H152" s="37">
        <f>C43</f>
        <v>-40</v>
      </c>
      <c r="I152" s="13"/>
    </row>
    <row r="153" ht="24">
      <c r="A153" s="1"/>
      <c r="B153" s="4" t="s">
        <v>665</v>
      </c>
      <c r="C153" s="16">
        <f>Inputs!$I$134-Inputs!$H$134</f>
        <v>20</v>
      </c>
      <c r="D153" s="16">
        <f>Inputs!$J$134-Inputs!$I$134</f>
        <v>-5</v>
      </c>
      <c r="E153" s="16">
        <f>Inputs!$K$134</f>
        <v>27</v>
      </c>
      <c r="F153" s="16">
        <f>Inputs!$C$134-Inputs!$K$134</f>
        <v>46</v>
      </c>
      <c r="G153" s="16">
        <f>Inputs!$J$134</f>
        <v>34</v>
      </c>
      <c r="H153" s="37">
        <f>C46</f>
        <v>-33</v>
      </c>
      <c r="I153" s="13"/>
    </row>
    <row r="154" ht="24">
      <c r="A154" s="1"/>
      <c r="B154" s="4" t="s">
        <v>666</v>
      </c>
      <c r="C154" s="16">
        <f>Inputs!$I$135-Inputs!$H$135</f>
        <v>47</v>
      </c>
      <c r="D154" s="16">
        <f>Inputs!$J$135-Inputs!$I$135</f>
        <v>-33</v>
      </c>
      <c r="E154" s="16">
        <f>Inputs!$K$135</f>
        <v>68</v>
      </c>
      <c r="F154" s="16">
        <f>Inputs!$C$135-Inputs!$K$135</f>
        <v>-25</v>
      </c>
      <c r="G154" s="16">
        <f>Inputs!$J$135</f>
        <v>39</v>
      </c>
      <c r="H154" s="37">
        <f>C49</f>
        <v>70</v>
      </c>
      <c r="I154" s="13"/>
    </row>
    <row r="155" ht="24">
      <c r="A155" s="1"/>
      <c r="B155" s="4" t="s">
        <v>667</v>
      </c>
      <c r="C155" s="22">
        <f>C141+C142+C143+C144+C145+C146+C147+C148+C149+C150+C151+C152+C153+C154</f>
        <v>2449</v>
      </c>
      <c r="D155" s="22">
        <f>D141+D142+D143+D144+D145+D146+D147+D148+D149+D150+D151+D152+D153+D154</f>
        <v>2390</v>
      </c>
      <c r="E155" s="22">
        <f>E141+E142+E143+E144+E145+E146+E147+E148+E149+E150+E151+E152+E153+E154</f>
        <v>660</v>
      </c>
      <c r="F155" s="22">
        <f>F141+F142+F143+F144+F145+F146+F147+F148+F149+F150+F151+F152+F153+F154</f>
        <v>1142</v>
      </c>
      <c r="G155" s="22">
        <f>G141+G142+G143+G144+G145+G146+G147+G148+G149+G150+G151+G152+G153+G154</f>
        <v>6602</v>
      </c>
      <c r="H155" s="37">
        <f>C52</f>
        <v>1682</v>
      </c>
      <c r="I155" s="13"/>
    </row>
    <row r="156" ht="24">
      <c r="A156" s="1"/>
      <c r="B156" s="4" t="s">
        <v>668</v>
      </c>
      <c r="C156" s="16">
        <f>Inputs!$I$136-Inputs!$H$136</f>
        <v>-460</v>
      </c>
      <c r="D156" s="16">
        <f>Inputs!$J$136-Inputs!$I$136</f>
        <v>-609</v>
      </c>
      <c r="E156" s="16">
        <f>Inputs!$K$136</f>
        <v>-398</v>
      </c>
      <c r="F156" s="16">
        <f>Inputs!$C$136-Inputs!$K$136</f>
        <v>-371</v>
      </c>
      <c r="G156" s="16">
        <f>Inputs!$J$136</f>
        <v>-1931</v>
      </c>
      <c r="H156" s="37">
        <f>C57</f>
        <v>-409</v>
      </c>
      <c r="I156" s="13"/>
    </row>
    <row r="157">
      <c r="A157" s="1"/>
      <c r="B157" s="1" t="s">
        <v>669</v>
      </c>
      <c r="C157" s="16">
        <f>Inputs!$I$137-Inputs!$H$137</f>
        <v>-134</v>
      </c>
      <c r="D157" s="16">
        <f>Inputs!$J$137-Inputs!$I$137</f>
        <v>-93</v>
      </c>
      <c r="E157" s="16">
        <f>Inputs!$K$137</f>
        <v>-108</v>
      </c>
      <c r="F157" s="16">
        <f>Inputs!$C$137-Inputs!$K$137</f>
        <v>-117</v>
      </c>
      <c r="G157" s="16">
        <f>Inputs!$J$137</f>
        <v>-483</v>
      </c>
      <c r="H157" s="37">
        <f>C60</f>
        <v>-87</v>
      </c>
      <c r="I157" s="13"/>
    </row>
    <row r="158" ht="24">
      <c r="A158" s="1"/>
      <c r="B158" s="4" t="s">
        <v>670</v>
      </c>
      <c r="C158" s="16">
        <f>Inputs!$I$138-Inputs!$H$138</f>
        <v>-50</v>
      </c>
      <c r="D158" s="16">
        <f>Inputs!$J$138-Inputs!$I$138</f>
        <v>-57</v>
      </c>
      <c r="E158" s="16">
        <f>Inputs!$K$138</f>
        <v>-51</v>
      </c>
      <c r="F158" s="16">
        <f>Inputs!$C$138-Inputs!$K$138</f>
        <v>-32</v>
      </c>
      <c r="G158" s="16">
        <f>Inputs!$J$138</f>
        <v>-198</v>
      </c>
      <c r="H158" s="37">
        <f>C63</f>
        <v>-85</v>
      </c>
      <c r="I158" s="13"/>
    </row>
    <row r="159" ht="45">
      <c r="A159" s="1"/>
      <c r="B159" s="4" t="s">
        <v>671</v>
      </c>
      <c r="C159" s="16">
        <f>Inputs!$I$139-Inputs!$H$139</f>
        <v>-47</v>
      </c>
      <c r="D159" s="16">
        <f>Inputs!$J$139-Inputs!$I$139</f>
        <v>-1</v>
      </c>
      <c r="E159" s="16">
        <f>Inputs!$K$139</f>
        <v>-37</v>
      </c>
      <c r="F159" s="16">
        <f>Inputs!$C$139-Inputs!$K$139</f>
        <v>-10</v>
      </c>
      <c r="G159" s="16">
        <f>Inputs!$J$139</f>
        <v>-553</v>
      </c>
      <c r="H159" s="37">
        <f>C66</f>
        <v>382</v>
      </c>
      <c r="I159" s="13"/>
    </row>
    <row r="160" ht="45">
      <c r="A160" s="1"/>
      <c r="B160" s="4" t="s">
        <v>672</v>
      </c>
      <c r="C160" s="16">
        <f>Inputs!$I$140-Inputs!$H$140</f>
        <v>0</v>
      </c>
      <c r="D160" s="16">
        <f>Inputs!$J$140-Inputs!$I$140</f>
        <v>0</v>
      </c>
      <c r="E160" s="16">
        <f>Inputs!$K$140</f>
        <v>0</v>
      </c>
      <c r="F160" s="16">
        <f>Inputs!$C$140-Inputs!$K$140</f>
        <v>316</v>
      </c>
      <c r="G160" s="16">
        <f>Inputs!$J$140</f>
        <v>0</v>
      </c>
      <c r="H160" s="37">
        <f>C69</f>
        <v>308</v>
      </c>
      <c r="I160" s="13"/>
    </row>
    <row r="161" ht="34.5">
      <c r="A161" s="1"/>
      <c r="B161" s="4" t="s">
        <v>673</v>
      </c>
      <c r="C161" s="16">
        <f>Inputs!$I$141-Inputs!$H$141</f>
        <v>-315</v>
      </c>
      <c r="D161" s="16">
        <f>Inputs!$J$141-Inputs!$I$141</f>
        <v>236</v>
      </c>
      <c r="E161" s="16">
        <f>Inputs!$K$141</f>
        <v>177</v>
      </c>
      <c r="F161" s="16">
        <f>Inputs!$C$141-Inputs!$K$141</f>
        <v>455</v>
      </c>
      <c r="G161" s="16">
        <f>Inputs!$J$141</f>
        <v>-32</v>
      </c>
      <c r="H161" s="37">
        <f>C72</f>
        <v>-60</v>
      </c>
      <c r="I161" s="13"/>
    </row>
    <row r="162" ht="24">
      <c r="A162" s="1"/>
      <c r="B162" s="4" t="s">
        <v>674</v>
      </c>
      <c r="C162" s="16">
        <f>Inputs!$I$142-Inputs!$H$142</f>
        <v>-19</v>
      </c>
      <c r="D162" s="16">
        <f>Inputs!$J$142-Inputs!$I$142</f>
        <v>-11</v>
      </c>
      <c r="E162" s="16">
        <f>Inputs!$K$142</f>
        <v>0</v>
      </c>
      <c r="F162" s="16">
        <f>Inputs!$C$142-Inputs!$K$142</f>
        <v>0</v>
      </c>
      <c r="G162" s="16">
        <f>Inputs!$J$142</f>
        <v>-55</v>
      </c>
      <c r="H162" s="37">
        <f>C75</f>
        <v>-23</v>
      </c>
      <c r="I162" s="13"/>
    </row>
    <row r="163">
      <c r="A163" s="1"/>
      <c r="B163" s="1" t="s">
        <v>675</v>
      </c>
      <c r="C163" s="16">
        <f>Inputs!$I$143-Inputs!$H$143</f>
        <v>1</v>
      </c>
      <c r="D163" s="16">
        <f>Inputs!$J$143-Inputs!$I$143</f>
        <v>58</v>
      </c>
      <c r="E163" s="16">
        <f>Inputs!$K$143</f>
        <v>-15</v>
      </c>
      <c r="F163" s="16">
        <f>Inputs!$C$143-Inputs!$K$143</f>
        <v>5</v>
      </c>
      <c r="G163" s="16">
        <f>Inputs!$J$143</f>
        <v>107</v>
      </c>
      <c r="H163" s="37">
        <f>C78</f>
        <v>18</v>
      </c>
      <c r="I163" s="13"/>
    </row>
    <row r="164" ht="24">
      <c r="A164" s="1"/>
      <c r="B164" s="4" t="s">
        <v>676</v>
      </c>
      <c r="C164" s="22">
        <f>C156+C157+C158+C159+C160+C161+C162+C163</f>
        <v>-1024</v>
      </c>
      <c r="D164" s="22">
        <f>D156+D157+D158+D159+D160+D161+D162+D163</f>
        <v>-477</v>
      </c>
      <c r="E164" s="22">
        <f>E156+E157+E158+E159+E160+E161+E162+E163</f>
        <v>-432</v>
      </c>
      <c r="F164" s="22">
        <f>F156+F157+F158+F159+F160+F161+F162+F163</f>
        <v>246</v>
      </c>
      <c r="G164" s="22">
        <f>G156+G157+G158+G159+G160+G161+G162+G163</f>
        <v>-3145</v>
      </c>
      <c r="H164" s="37">
        <f>C81</f>
        <v>44</v>
      </c>
      <c r="I164" s="13"/>
    </row>
    <row r="165">
      <c r="A165" s="1"/>
      <c r="B165" s="1" t="s">
        <v>677</v>
      </c>
      <c r="C165" s="16">
        <f>Inputs!$I$144-Inputs!$H$144</f>
        <v>-393</v>
      </c>
      <c r="D165" s="16">
        <f>Inputs!$J$144-Inputs!$I$144</f>
        <v>-389</v>
      </c>
      <c r="E165" s="16">
        <f>Inputs!$K$144</f>
        <v>-386</v>
      </c>
      <c r="F165" s="16">
        <f>Inputs!$C$144-Inputs!$K$144</f>
        <v>-387</v>
      </c>
      <c r="G165" s="16">
        <f>Inputs!$J$144</f>
        <v>-1533</v>
      </c>
      <c r="H165" s="37">
        <f>C85</f>
        <v>-403</v>
      </c>
      <c r="I165" s="13"/>
    </row>
    <row r="166" ht="24">
      <c r="A166" s="1"/>
      <c r="B166" s="4" t="s">
        <v>678</v>
      </c>
      <c r="C166" s="16">
        <f>Inputs!$I$145-Inputs!$H$145</f>
        <v>-501</v>
      </c>
      <c r="D166" s="16">
        <f>Inputs!$J$145-Inputs!$I$145</f>
        <v>-501</v>
      </c>
      <c r="E166" s="16">
        <f>Inputs!$K$145</f>
        <v>-2300</v>
      </c>
      <c r="F166" s="16">
        <f>Inputs!$C$145-Inputs!$K$145</f>
        <v>0</v>
      </c>
      <c r="G166" s="16">
        <f>Inputs!$J$145</f>
        <v>-1737</v>
      </c>
      <c r="H166" s="37">
        <f>C88</f>
        <v>-114</v>
      </c>
      <c r="I166" s="13"/>
    </row>
    <row r="167" ht="34.5">
      <c r="A167" s="1"/>
      <c r="B167" s="4" t="s">
        <v>679</v>
      </c>
      <c r="C167" s="16">
        <f>Inputs!$I$146-Inputs!$H$146</f>
        <v>124</v>
      </c>
      <c r="D167" s="16">
        <f>Inputs!$J$146-Inputs!$I$146</f>
        <v>4</v>
      </c>
      <c r="E167" s="16">
        <f>Inputs!$K$146</f>
        <v>113</v>
      </c>
      <c r="F167" s="16">
        <f>Inputs!$C$146-Inputs!$K$146</f>
        <v>0</v>
      </c>
      <c r="G167" s="16">
        <f>Inputs!$J$146</f>
        <v>248</v>
      </c>
      <c r="H167" s="37">
        <f>C91</f>
        <v>117</v>
      </c>
      <c r="I167" s="13"/>
    </row>
    <row r="168" ht="34.5">
      <c r="A168" s="1"/>
      <c r="B168" s="4" t="s">
        <v>680</v>
      </c>
      <c r="C168" s="16">
        <f>Inputs!$I$147-Inputs!$H$147</f>
        <v>-8</v>
      </c>
      <c r="D168" s="16">
        <f>Inputs!$J$147-Inputs!$I$147</f>
        <v>-4</v>
      </c>
      <c r="E168" s="16">
        <f>Inputs!$K$147</f>
        <v>-53</v>
      </c>
      <c r="F168" s="16">
        <f>Inputs!$C$147-Inputs!$K$147</f>
        <v>-2</v>
      </c>
      <c r="G168" s="16">
        <f>Inputs!$J$147</f>
        <v>-90</v>
      </c>
      <c r="H168" s="37">
        <f>C94</f>
        <v>-6</v>
      </c>
      <c r="I168" s="13"/>
    </row>
    <row r="169" ht="34.5">
      <c r="A169" s="1"/>
      <c r="B169" s="4" t="s">
        <v>681</v>
      </c>
      <c r="C169" s="16">
        <f>Inputs!$I$148-Inputs!$H$148</f>
        <v>-364</v>
      </c>
      <c r="D169" s="16">
        <f>Inputs!$J$148-Inputs!$I$148</f>
        <v>-539</v>
      </c>
      <c r="E169" s="16">
        <f>Inputs!$K$148</f>
        <v>1805</v>
      </c>
      <c r="F169" s="16">
        <f>Inputs!$C$148-Inputs!$K$148</f>
        <v>-724</v>
      </c>
      <c r="G169" s="16">
        <f>Inputs!$J$148</f>
        <v>520</v>
      </c>
      <c r="H169" s="37">
        <f>C97</f>
        <v>-1533</v>
      </c>
      <c r="I169" s="13"/>
    </row>
    <row r="170" ht="24">
      <c r="A170" s="1"/>
      <c r="B170" s="4" t="s">
        <v>682</v>
      </c>
      <c r="C170" s="16">
        <f>Inputs!$I$149-Inputs!$H$149</f>
        <v>-123</v>
      </c>
      <c r="D170" s="16">
        <f>Inputs!$J$149-Inputs!$I$149</f>
        <v>27</v>
      </c>
      <c r="E170" s="16">
        <f>Inputs!$K$149</f>
        <v>-27</v>
      </c>
      <c r="F170" s="16">
        <f>Inputs!$C$149-Inputs!$K$149</f>
        <v>-1</v>
      </c>
      <c r="G170" s="16">
        <f>Inputs!$J$149</f>
        <v>-115</v>
      </c>
      <c r="H170" s="37">
        <f>C100</f>
        <v>45</v>
      </c>
      <c r="I170" s="13"/>
    </row>
    <row r="171">
      <c r="A171" s="1"/>
      <c r="B171" s="1" t="s">
        <v>683</v>
      </c>
      <c r="C171" s="16">
        <f>Inputs!$I$150-Inputs!$H$150</f>
        <v>-30</v>
      </c>
      <c r="D171" s="16">
        <f>Inputs!$J$150-Inputs!$I$150</f>
        <v>-29</v>
      </c>
      <c r="E171" s="16">
        <f>Inputs!$K$150</f>
        <v>-30</v>
      </c>
      <c r="F171" s="16">
        <f>Inputs!$C$150-Inputs!$K$150</f>
        <v>3</v>
      </c>
      <c r="G171" s="16">
        <f>Inputs!$J$150</f>
        <v>-65</v>
      </c>
      <c r="H171" s="37">
        <f>C103</f>
        <v>-38</v>
      </c>
      <c r="I171" s="13"/>
    </row>
    <row r="172" ht="24">
      <c r="A172" s="1"/>
      <c r="B172" s="4" t="s">
        <v>684</v>
      </c>
      <c r="C172" s="22">
        <f>C165+C166+C167+C168+C169+C170+C171</f>
        <v>-1295</v>
      </c>
      <c r="D172" s="22">
        <f>D165+D166+D167+D168+D169+D170+D171</f>
        <v>-1431</v>
      </c>
      <c r="E172" s="22">
        <f>E165+E166+E167+E168+E169+E170+E171</f>
        <v>-878</v>
      </c>
      <c r="F172" s="22">
        <f>F165+F166+F167+F168+F169+F170+F171</f>
        <v>-1111</v>
      </c>
      <c r="G172" s="22">
        <f>G165+G166+G167+G168+G169+G170+G171</f>
        <v>-2772</v>
      </c>
      <c r="H172" s="37">
        <f>C106</f>
        <v>-1932</v>
      </c>
      <c r="I172" s="13"/>
    </row>
    <row r="173" ht="24">
      <c r="A173" s="1"/>
      <c r="B173" s="4" t="s">
        <v>685</v>
      </c>
      <c r="C173" s="16">
        <f>Inputs!$I$151-Inputs!$H$151</f>
        <v>3</v>
      </c>
      <c r="D173" s="16">
        <f>Inputs!$J$151-Inputs!$I$151</f>
        <v>-24</v>
      </c>
      <c r="E173" s="16">
        <f>Inputs!$K$151</f>
        <v>42</v>
      </c>
      <c r="F173" s="16">
        <f>Inputs!$C$151-Inputs!$K$151</f>
        <v>23</v>
      </c>
      <c r="G173" s="16">
        <f>Inputs!$J$151</f>
        <v>-41</v>
      </c>
      <c r="H173" s="37">
        <f>C110</f>
        <v>-16</v>
      </c>
      <c r="I173" s="13"/>
    </row>
    <row r="174" ht="24">
      <c r="A174" s="1"/>
      <c r="B174" s="4" t="s">
        <v>686</v>
      </c>
      <c r="C174" s="22">
        <f>-(C156+C157+C158)</f>
        <v>644</v>
      </c>
      <c r="D174" s="22">
        <f>-(D156+D157+D158)</f>
        <v>759</v>
      </c>
      <c r="E174" s="22">
        <f>-(E156+E157+E158)</f>
        <v>557</v>
      </c>
      <c r="F174" s="22">
        <f>-(F156+F157+F158)</f>
        <v>520</v>
      </c>
      <c r="G174" s="22">
        <f>-(G156+G157+G158)</f>
        <v>2612</v>
      </c>
      <c r="H174" s="37">
        <f>C122</f>
        <v>581</v>
      </c>
      <c r="I174" s="13"/>
    </row>
    <row r="175">
      <c r="A175" s="1"/>
      <c r="B175" s="1" t="s">
        <v>687</v>
      </c>
      <c r="C175" s="22">
        <f>C155-C174</f>
        <v>1805</v>
      </c>
      <c r="D175" s="22">
        <f>D155-D174</f>
        <v>1631</v>
      </c>
      <c r="E175" s="22">
        <f>E155-E174</f>
        <v>103</v>
      </c>
      <c r="F175" s="22">
        <f>F155-F174</f>
        <v>622</v>
      </c>
      <c r="G175" s="22">
        <f>G155-G174</f>
        <v>3990</v>
      </c>
      <c r="H175" s="37">
        <f>C125</f>
        <v>1101</v>
      </c>
      <c r="I175" s="13"/>
    </row>
    <row r="176">
      <c r="A176" s="1"/>
      <c r="B176" s="15" t="s">
        <v>688</v>
      </c>
      <c r="C176" s="60">
        <f>C175/'Income Statement'!C257</f>
        <v>1.5219224283305228</v>
      </c>
      <c r="D176" s="60">
        <f>D175/'Income Statement'!D257</f>
        <v>1.4894977168949772</v>
      </c>
      <c r="E176" s="60">
        <f>E175/'Income Statement'!E257</f>
        <v>0.12923462986198245</v>
      </c>
      <c r="F176" s="60">
        <f>F175/'Income Statement'!F257</f>
        <v>0.6134122287968442</v>
      </c>
      <c r="G176" s="60">
        <f>G175/'Income Statement'!G257</f>
        <v>0.8944182918628111</v>
      </c>
      <c r="H176" s="50">
        <f>C128</f>
        <v>1.489851150202977</v>
      </c>
      <c r="I176" s="13"/>
    </row>
    <row r="177" ht="24">
      <c r="A177" s="1"/>
      <c r="B177" s="57" t="s">
        <v>689</v>
      </c>
      <c r="C177" s="60">
        <f>C174/'Income Statement'!C235</f>
        <v>0.07031335298613385</v>
      </c>
      <c r="D177" s="60">
        <f>D174/'Income Statement'!D235</f>
        <v>0.08175355450236967</v>
      </c>
      <c r="E177" s="60">
        <f>E174/'Income Statement'!E235</f>
        <v>0.06560659599528858</v>
      </c>
      <c r="F177" s="60">
        <f>F174/'Income Statement'!F235</f>
        <v>0.06084717996723613</v>
      </c>
      <c r="G177" s="60">
        <f>G174/'Income Statement'!G235</f>
        <v>0.07197773429965003</v>
      </c>
      <c r="H177" s="50">
        <f>C131</f>
        <v>0.06507616487455196</v>
      </c>
      <c r="I177" s="13"/>
    </row>
    <row r="178" ht="24">
      <c r="A178" s="1"/>
      <c r="B178" s="4" t="s">
        <v>690</v>
      </c>
      <c r="C178" s="22">
        <f>-(C165+C166)</f>
        <v>894</v>
      </c>
      <c r="D178" s="22">
        <f>-(D165+D166)</f>
        <v>890</v>
      </c>
      <c r="E178" s="22">
        <f>-(E165+E166)</f>
        <v>2686</v>
      </c>
      <c r="F178" s="22">
        <f>-(F165+F166)</f>
        <v>387</v>
      </c>
      <c r="G178" s="22">
        <f>-(G165+G166)</f>
        <v>3270</v>
      </c>
      <c r="H178" s="37">
        <f>C134</f>
        <v>517</v>
      </c>
      <c r="I178" s="13"/>
    </row>
    <row r="179">
      <c r="A179" s="1"/>
      <c r="B179" s="1"/>
      <c r="C179" s="1"/>
      <c r="D179" s="1"/>
      <c r="E179" s="1"/>
      <c r="F179" s="1"/>
      <c r="G179" s="1"/>
      <c r="H179" s="1"/>
      <c r="I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</row>
  </sheetData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14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51" t="s">
        <v>1</v>
      </c>
      <c r="C2" s="1"/>
      <c r="D2" s="1"/>
      <c r="E2" s="1"/>
      <c r="F2" s="1"/>
      <c r="G2" s="1"/>
      <c r="H2" s="1"/>
      <c r="I2" s="1"/>
    </row>
    <row r="3">
      <c r="A3" s="1"/>
      <c r="B3" s="33" t="s">
        <v>691</v>
      </c>
      <c r="C3" s="1"/>
      <c r="D3" s="1"/>
      <c r="E3" s="1"/>
      <c r="F3" s="1"/>
      <c r="G3" s="1"/>
      <c r="H3" s="1"/>
      <c r="I3" s="1"/>
    </row>
    <row r="4">
      <c r="A4" s="1"/>
      <c r="B4" s="15" t="s">
        <v>3</v>
      </c>
      <c r="C4" s="1"/>
      <c r="D4" s="1"/>
      <c r="E4" s="1"/>
      <c r="F4" s="1"/>
      <c r="G4" s="1"/>
      <c r="H4" s="1"/>
      <c r="I4" s="1"/>
    </row>
    <row r="5">
      <c r="A5" s="1"/>
      <c r="B5" s="4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58" t="s">
        <v>10</v>
      </c>
      <c r="I5" s="46" t="s">
        <v>99</v>
      </c>
    </row>
    <row r="6">
      <c r="A6" s="1"/>
      <c r="B6" s="34" t="s">
        <v>11</v>
      </c>
      <c r="C6" s="18">
        <f>DATE(2025,9,30)</f>
        <v>45930</v>
      </c>
      <c r="D6" s="18">
        <f>DATE(2025,12,31)</f>
        <v>46022</v>
      </c>
      <c r="E6" s="18">
        <f>DATE(2026,3,31)</f>
        <v>46112</v>
      </c>
      <c r="F6" s="18">
        <f>DATE(2026,6,30)</f>
        <v>46203</v>
      </c>
      <c r="G6" s="18">
        <f>DATE(2025,12,31)</f>
        <v>46022</v>
      </c>
      <c r="H6" s="55">
        <f>DATE(2026,9,30)</f>
        <v>46295</v>
      </c>
      <c r="I6" s="34"/>
    </row>
    <row r="7">
      <c r="A7" s="1"/>
      <c r="B7" s="12" t="s">
        <v>12</v>
      </c>
      <c r="C7" s="6">
        <f>C6-EOMONTH(C6,-3)</f>
        <v>92</v>
      </c>
      <c r="D7" s="6">
        <f>D6-EOMONTH(D6,-3)</f>
        <v>92</v>
      </c>
      <c r="E7" s="6">
        <f>E6-EOMONTH(E6,-3)</f>
        <v>90</v>
      </c>
      <c r="F7" s="6">
        <f>F6-EOMONTH(F6,-3)</f>
        <v>91</v>
      </c>
      <c r="G7" s="6">
        <f>G6-EOMONTH(G6,-12)</f>
        <v>365</v>
      </c>
      <c r="H7" s="17">
        <f>H6-EOMONTH(H6,-3)</f>
        <v>92</v>
      </c>
      <c r="I7" s="12"/>
    </row>
    <row r="8">
      <c r="A8" s="1"/>
      <c r="B8" s="1"/>
      <c r="C8" s="1"/>
      <c r="D8" s="1"/>
      <c r="E8" s="1"/>
      <c r="F8" s="1"/>
      <c r="G8" s="1"/>
      <c r="H8" s="53"/>
      <c r="I8" s="1"/>
    </row>
    <row r="9">
      <c r="A9" s="1"/>
      <c r="B9" s="41" t="s">
        <v>692</v>
      </c>
      <c r="C9" s="1"/>
      <c r="D9" s="1"/>
      <c r="E9" s="1"/>
      <c r="F9" s="1"/>
      <c r="G9" s="1"/>
      <c r="H9" s="53"/>
      <c r="I9" s="13"/>
    </row>
    <row r="10" ht="24">
      <c r="A10" s="1"/>
      <c r="B10" s="4" t="s">
        <v>693</v>
      </c>
      <c r="C10" s="9">
        <v>387</v>
      </c>
      <c r="D10" s="9">
        <v>583</v>
      </c>
      <c r="E10" s="9">
        <v>579</v>
      </c>
      <c r="F10" s="9">
        <v>606</v>
      </c>
      <c r="G10" s="22">
        <f>E126+F126+C10+D10</f>
        <v>970</v>
      </c>
      <c r="H10" s="8">
        <v>610</v>
      </c>
      <c r="I10" s="13" t="s">
        <v>694</v>
      </c>
    </row>
    <row r="11">
      <c r="A11" s="1"/>
      <c r="B11" s="15" t="s">
        <v>130</v>
      </c>
      <c r="C11" s="5">
        <f>C10-C126</f>
        <v>387</v>
      </c>
      <c r="D11" s="5">
        <f>D10-D126</f>
        <v>583</v>
      </c>
      <c r="E11" s="5">
        <f>E10-E126</f>
        <v>579</v>
      </c>
      <c r="F11" s="5">
        <f>F10-F126</f>
        <v>606</v>
      </c>
      <c r="G11" s="5">
        <f>G10-G126</f>
        <v>970</v>
      </c>
      <c r="H11" s="21">
        <f>H10-H126</f>
        <v>223</v>
      </c>
      <c r="I11" s="13"/>
    </row>
    <row r="12">
      <c r="A12" s="1"/>
      <c r="B12" s="15" t="s">
        <v>131</v>
      </c>
      <c r="C12" s="5">
        <f>C10-F126</f>
        <v>387</v>
      </c>
      <c r="D12" s="5">
        <f>D10-C10</f>
        <v>196</v>
      </c>
      <c r="E12" s="5">
        <f>E10-D10</f>
        <v>-4</v>
      </c>
      <c r="F12" s="5">
        <f>F10-E10</f>
        <v>27</v>
      </c>
      <c r="G12" s="5" t="s">
        <v>44</v>
      </c>
      <c r="H12" s="21">
        <f>H10-F10</f>
        <v>4</v>
      </c>
      <c r="I12" s="13"/>
    </row>
    <row r="13" ht="24">
      <c r="A13" s="1"/>
      <c r="B13" s="4" t="s">
        <v>695</v>
      </c>
      <c r="C13" s="9">
        <v>171</v>
      </c>
      <c r="D13" s="9">
        <v>266</v>
      </c>
      <c r="E13" s="9">
        <v>231</v>
      </c>
      <c r="F13" s="9">
        <v>234</v>
      </c>
      <c r="G13" s="22">
        <f>E127+F127+C13+D13</f>
        <v>437</v>
      </c>
      <c r="H13" s="8">
        <v>240</v>
      </c>
      <c r="I13" s="13"/>
    </row>
    <row r="14">
      <c r="A14" s="1"/>
      <c r="B14" s="15" t="s">
        <v>130</v>
      </c>
      <c r="C14" s="5">
        <f>C13-C127</f>
        <v>171</v>
      </c>
      <c r="D14" s="5">
        <f>D13-D127</f>
        <v>266</v>
      </c>
      <c r="E14" s="5">
        <f>E13-E127</f>
        <v>231</v>
      </c>
      <c r="F14" s="5">
        <f>F13-F127</f>
        <v>234</v>
      </c>
      <c r="G14" s="5">
        <f>G13-G127</f>
        <v>437</v>
      </c>
      <c r="H14" s="21">
        <f>H13-H127</f>
        <v>69</v>
      </c>
      <c r="I14" s="13"/>
    </row>
    <row r="15">
      <c r="A15" s="1"/>
      <c r="B15" s="15" t="s">
        <v>131</v>
      </c>
      <c r="C15" s="5">
        <f>C13-F127</f>
        <v>171</v>
      </c>
      <c r="D15" s="5">
        <f>D13-C13</f>
        <v>95</v>
      </c>
      <c r="E15" s="5">
        <f>E13-D13</f>
        <v>-35</v>
      </c>
      <c r="F15" s="5">
        <f>F13-E13</f>
        <v>3</v>
      </c>
      <c r="G15" s="5" t="s">
        <v>44</v>
      </c>
      <c r="H15" s="21">
        <f>H13-F13</f>
        <v>6</v>
      </c>
      <c r="I15" s="13"/>
    </row>
    <row r="16" ht="24">
      <c r="A16" s="1"/>
      <c r="B16" s="4" t="s">
        <v>696</v>
      </c>
      <c r="C16" s="16">
        <f>'Revenue summary'!C71-C10-C13</f>
        <v>21</v>
      </c>
      <c r="D16" s="16">
        <f>'Revenue summary'!D71-D10-D13</f>
        <v>30</v>
      </c>
      <c r="E16" s="16">
        <f>'Revenue summary'!E71-E10-E13</f>
        <v>28</v>
      </c>
      <c r="F16" s="16">
        <f>'Revenue summary'!F71-F10-F13</f>
        <v>30</v>
      </c>
      <c r="G16" s="16">
        <f>'Revenue summary'!G71-G10-G13</f>
        <v>51</v>
      </c>
      <c r="H16" s="73">
        <f>'Revenue summary'!H71-H10-H13</f>
        <v>35</v>
      </c>
      <c r="I16" s="13"/>
    </row>
    <row r="17">
      <c r="A17" s="1"/>
      <c r="B17" s="41" t="s">
        <v>697</v>
      </c>
      <c r="C17" s="1"/>
      <c r="D17" s="1"/>
      <c r="E17" s="1"/>
      <c r="F17" s="1"/>
      <c r="G17" s="1"/>
      <c r="H17" s="53"/>
      <c r="I17" s="13"/>
    </row>
    <row r="18">
      <c r="A18" s="1"/>
      <c r="B18" s="1" t="s">
        <v>152</v>
      </c>
      <c r="C18" s="9">
        <v>1930</v>
      </c>
      <c r="D18" s="9">
        <v>2212</v>
      </c>
      <c r="E18" s="9">
        <v>2167</v>
      </c>
      <c r="F18" s="9">
        <v>2244</v>
      </c>
      <c r="G18" s="22">
        <f>E128+F128+C18+D18</f>
        <v>7516</v>
      </c>
      <c r="H18" s="37">
        <f>F18*(1+H19)</f>
        <v>2333.76</v>
      </c>
      <c r="I18" s="13"/>
    </row>
    <row r="19" ht="24">
      <c r="A19" s="1"/>
      <c r="B19" s="57" t="s">
        <v>175</v>
      </c>
      <c r="C19" s="11">
        <f>IFERROR(C18/F128-1,"n/a")</f>
        <v>0.16616314199395776</v>
      </c>
      <c r="D19" s="11">
        <f>IFERROR(D18/C18-1,"n/a")</f>
        <v>0.1461139896373056</v>
      </c>
      <c r="E19" s="11">
        <f>IFERROR(E18/D18-1,"n/a")</f>
        <v>-0.020343580470162714</v>
      </c>
      <c r="F19" s="11">
        <f>IFERROR(F18/E18-1,"n/a")</f>
        <v>0.035532994923857864</v>
      </c>
      <c r="G19" s="11" t="s">
        <v>44</v>
      </c>
      <c r="H19" s="66">
        <v>0.04</v>
      </c>
      <c r="I19" s="13" t="s">
        <v>698</v>
      </c>
    </row>
    <row r="20">
      <c r="A20" s="1"/>
      <c r="B20" s="15" t="s">
        <v>177</v>
      </c>
      <c r="C20" s="11">
        <f>IFERROR(C18/C128-1,"n/a")</f>
        <v>0.1440426793123888</v>
      </c>
      <c r="D20" s="11">
        <f>IFERROR(D18/D128-1,"n/a")</f>
        <v>0.2625570776255708</v>
      </c>
      <c r="E20" s="11">
        <f>IFERROR(E18/E128-1,"n/a")</f>
        <v>0.2606166375799883</v>
      </c>
      <c r="F20" s="11">
        <f>IFERROR(F18/F128-1,"n/a")</f>
        <v>0.35589123867069494</v>
      </c>
      <c r="G20" s="11">
        <f>IFERROR(G18/G128-1,"n/a")</f>
        <v>0.12514970059880248</v>
      </c>
      <c r="H20" s="50">
        <f>IFERROR(H18/H128-1,"n/a")</f>
        <v>0.20920207253886014</v>
      </c>
      <c r="I20" s="13"/>
    </row>
    <row r="21">
      <c r="A21" s="1"/>
      <c r="B21" s="15" t="s">
        <v>131</v>
      </c>
      <c r="C21" s="5">
        <f>C18-F128</f>
        <v>275</v>
      </c>
      <c r="D21" s="5">
        <f>D18-C18</f>
        <v>282</v>
      </c>
      <c r="E21" s="5">
        <f>E18-D18</f>
        <v>-45</v>
      </c>
      <c r="F21" s="5">
        <f>F18-E18</f>
        <v>77</v>
      </c>
      <c r="G21" s="5" t="s">
        <v>44</v>
      </c>
      <c r="H21" s="21">
        <f>H18-F18</f>
        <v>89.76000000000022</v>
      </c>
      <c r="I21" s="13"/>
    </row>
    <row r="22">
      <c r="A22" s="1"/>
      <c r="B22" s="15" t="s">
        <v>699</v>
      </c>
      <c r="C22" s="11">
        <f>IFERROR(C18/F128-1,"n/a")</f>
        <v>0.16616314199395776</v>
      </c>
      <c r="D22" s="11">
        <f>IFERROR(D18/C18-1,"n/a")</f>
        <v>0.1461139896373056</v>
      </c>
      <c r="E22" s="11">
        <f>IFERROR(E18/D18-1,"n/a")</f>
        <v>-0.020343580470162714</v>
      </c>
      <c r="F22" s="11">
        <f>IFERROR(F18/E18-1,"n/a")</f>
        <v>0.035532994923857864</v>
      </c>
      <c r="G22" s="11" t="s">
        <v>44</v>
      </c>
      <c r="H22" s="50">
        <f>IFERROR(H18/F18-1,"n/a")</f>
        <v>0.040000000000000036</v>
      </c>
      <c r="I22" s="13"/>
    </row>
    <row r="23">
      <c r="A23" s="1"/>
      <c r="B23" s="15" t="s">
        <v>151</v>
      </c>
      <c r="C23" s="11">
        <f>C18/C60</f>
        <v>0.21617383512544802</v>
      </c>
      <c r="D23" s="11">
        <f>D18/D60</f>
        <v>0.22698819907644946</v>
      </c>
      <c r="E23" s="11">
        <f>E18/E60</f>
        <v>0.2484806788212361</v>
      </c>
      <c r="F23" s="11">
        <f>F18/F60</f>
        <v>0.2501114578689255</v>
      </c>
      <c r="G23" s="11">
        <f>G18/G60</f>
        <v>0.21047915091433533</v>
      </c>
      <c r="H23" s="50">
        <f>H18/H60</f>
        <v>0.2518081959129707</v>
      </c>
      <c r="I23" s="13"/>
    </row>
    <row r="24" ht="34.5">
      <c r="A24" s="1"/>
      <c r="B24" s="57" t="s">
        <v>700</v>
      </c>
      <c r="C24" s="11">
        <f>IFERROR((C18-C10)/(C128-C126)-1,"n/a")</f>
        <v>-0.08535862477771194</v>
      </c>
      <c r="D24" s="11">
        <f>IFERROR((D18-D10)/(D128-D126)-1,"n/a")</f>
        <v>-0.0702054794520548</v>
      </c>
      <c r="E24" s="11">
        <f>IFERROR((E18-E10)/(E128-E126)-1,"n/a")</f>
        <v>-0.07620709714950558</v>
      </c>
      <c r="F24" s="11">
        <f>IFERROR((F18-F10)/(F128-F126)-1,"n/a")</f>
        <v>-0.010271903323262888</v>
      </c>
      <c r="G24" s="11">
        <f>IFERROR((G18-G10)/(G128-G126)-1,"n/a")</f>
        <v>-0.02005988023952099</v>
      </c>
      <c r="H24" s="50">
        <f>IFERROR((H18-H10)/(H128-H126)-1,"n/a")</f>
        <v>0.11714841218405714</v>
      </c>
      <c r="I24" s="13" t="s">
        <v>134</v>
      </c>
    </row>
    <row r="25" ht="24">
      <c r="A25" s="1"/>
      <c r="B25" s="57" t="s">
        <v>701</v>
      </c>
      <c r="C25" s="11">
        <f>IFERROR((1+C20)/(1+C24)-1,"n/a")</f>
        <v>0.2508101101749838</v>
      </c>
      <c r="D25" s="11">
        <f>IFERROR((1+D20)/(1+D24)-1,"n/a")</f>
        <v>0.3578882750153469</v>
      </c>
      <c r="E25" s="11">
        <f>IFERROR((1+E20)/(1+E24)-1,"n/a")</f>
        <v>0.364609571788413</v>
      </c>
      <c r="F25" s="11">
        <f>IFERROR((1+F20)/(1+F24)-1,"n/a")</f>
        <v>0.3699633699633702</v>
      </c>
      <c r="G25" s="11">
        <f>IFERROR((1+G20)/(1+G24)-1,"n/a")</f>
        <v>0.14818209593644993</v>
      </c>
      <c r="H25" s="50">
        <f>IFERROR((1+H20)/(1+H24)-1,"n/a")</f>
        <v>0.08240056500177584</v>
      </c>
      <c r="I25" s="13" t="s">
        <v>136</v>
      </c>
    </row>
    <row r="26">
      <c r="A26" s="1"/>
      <c r="B26" s="15" t="s">
        <v>179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50" t="s">
        <v>44</v>
      </c>
      <c r="I26" s="13" t="s">
        <v>125</v>
      </c>
    </row>
    <row r="27" ht="34.5">
      <c r="A27" s="1"/>
      <c r="B27" s="57" t="s">
        <v>702</v>
      </c>
      <c r="C27" s="11" t="s">
        <v>44</v>
      </c>
      <c r="D27" s="11" t="s">
        <v>44</v>
      </c>
      <c r="E27" s="11" t="s">
        <v>44</v>
      </c>
      <c r="F27" s="11" t="s">
        <v>44</v>
      </c>
      <c r="G27" s="11" t="s">
        <v>44</v>
      </c>
      <c r="H27" s="50" t="s">
        <v>44</v>
      </c>
      <c r="I27" s="13" t="s">
        <v>138</v>
      </c>
    </row>
    <row r="28">
      <c r="A28" s="1"/>
      <c r="B28" s="1" t="s">
        <v>703</v>
      </c>
      <c r="C28" s="9">
        <v>1482</v>
      </c>
      <c r="D28" s="9">
        <v>1684</v>
      </c>
      <c r="E28" s="9">
        <v>1528</v>
      </c>
      <c r="F28" s="9">
        <v>1714</v>
      </c>
      <c r="G28" s="22">
        <f>E129+F129+C28+D28</f>
        <v>6153</v>
      </c>
      <c r="H28" s="37">
        <f>F28*(1+H29)</f>
        <v>1765.42</v>
      </c>
      <c r="I28" s="13"/>
    </row>
    <row r="29" ht="24">
      <c r="A29" s="1"/>
      <c r="B29" s="57" t="s">
        <v>175</v>
      </c>
      <c r="C29" s="11">
        <f>IFERROR(C28/F129-1,"n/a")</f>
        <v>-0.006702412868632712</v>
      </c>
      <c r="D29" s="11">
        <f>IFERROR(D28/C28-1,"n/a")</f>
        <v>0.1363022941970311</v>
      </c>
      <c r="E29" s="11">
        <f>IFERROR(E28/D28-1,"n/a")</f>
        <v>-0.09263657957244653</v>
      </c>
      <c r="F29" s="11">
        <f>IFERROR(F28/E28-1,"n/a")</f>
        <v>0.12172774869109948</v>
      </c>
      <c r="G29" s="11" t="s">
        <v>44</v>
      </c>
      <c r="H29" s="66">
        <v>0.03</v>
      </c>
      <c r="I29" s="13" t="s">
        <v>704</v>
      </c>
    </row>
    <row r="30">
      <c r="A30" s="1"/>
      <c r="B30" s="15" t="s">
        <v>177</v>
      </c>
      <c r="C30" s="11">
        <f>IFERROR(C28/C129-1,"n/a")</f>
        <v>-0.12255772646536411</v>
      </c>
      <c r="D30" s="11">
        <f>IFERROR(D28/D129-1,"n/a")</f>
        <v>0.030599755201958345</v>
      </c>
      <c r="E30" s="11">
        <f>IFERROR(E28/E129-1,"n/a")</f>
        <v>0.022073578595317667</v>
      </c>
      <c r="F30" s="11">
        <f>IFERROR(F28/F129-1,"n/a")</f>
        <v>0.1487935656836461</v>
      </c>
      <c r="G30" s="11">
        <f>IFERROR(G28/G129-1,"n/a")</f>
        <v>-0.084238726000893</v>
      </c>
      <c r="H30" s="50">
        <f>IFERROR(H28/H129-1,"n/a")</f>
        <v>0.1912415654520918</v>
      </c>
      <c r="I30" s="13"/>
    </row>
    <row r="31">
      <c r="A31" s="1"/>
      <c r="B31" s="15" t="s">
        <v>131</v>
      </c>
      <c r="C31" s="5">
        <f>C28-F129</f>
        <v>-10</v>
      </c>
      <c r="D31" s="5">
        <f>D28-C28</f>
        <v>202</v>
      </c>
      <c r="E31" s="5">
        <f>E28-D28</f>
        <v>-156</v>
      </c>
      <c r="F31" s="5">
        <f>F28-E28</f>
        <v>186</v>
      </c>
      <c r="G31" s="5" t="s">
        <v>44</v>
      </c>
      <c r="H31" s="21">
        <f>H28-F28</f>
        <v>51.42000000000007</v>
      </c>
      <c r="I31" s="13"/>
    </row>
    <row r="32">
      <c r="A32" s="1"/>
      <c r="B32" s="15" t="s">
        <v>699</v>
      </c>
      <c r="C32" s="11">
        <f>IFERROR(C28/F129-1,"n/a")</f>
        <v>-0.006702412868632712</v>
      </c>
      <c r="D32" s="11">
        <f>IFERROR(D28/C28-1,"n/a")</f>
        <v>0.1363022941970311</v>
      </c>
      <c r="E32" s="11">
        <f>IFERROR(E28/D28-1,"n/a")</f>
        <v>-0.09263657957244653</v>
      </c>
      <c r="F32" s="11">
        <f>IFERROR(F28/E28-1,"n/a")</f>
        <v>0.12172774869109948</v>
      </c>
      <c r="G32" s="11" t="s">
        <v>44</v>
      </c>
      <c r="H32" s="50">
        <f>IFERROR(H28/F28-1,"n/a")</f>
        <v>0.030000000000000027</v>
      </c>
      <c r="I32" s="13"/>
    </row>
    <row r="33">
      <c r="A33" s="1"/>
      <c r="B33" s="15" t="s">
        <v>151</v>
      </c>
      <c r="C33" s="11">
        <f>C28/C60</f>
        <v>0.16599462365591397</v>
      </c>
      <c r="D33" s="11">
        <f>D28/D60</f>
        <v>0.1728065674704977</v>
      </c>
      <c r="E33" s="11">
        <f>E28/E60</f>
        <v>0.17520926499254671</v>
      </c>
      <c r="F33" s="11">
        <f>F28/F60</f>
        <v>0.19103878733838608</v>
      </c>
      <c r="G33" s="11">
        <f>G28/G60</f>
        <v>0.17230950180626733</v>
      </c>
      <c r="H33" s="50">
        <f>H28/H60</f>
        <v>0.19048540776629846</v>
      </c>
      <c r="I33" s="13"/>
    </row>
    <row r="34">
      <c r="A34" s="1"/>
      <c r="B34" s="15" t="s">
        <v>178</v>
      </c>
      <c r="C34" s="11" t="s">
        <v>44</v>
      </c>
      <c r="D34" s="11" t="s">
        <v>44</v>
      </c>
      <c r="E34" s="11" t="s">
        <v>44</v>
      </c>
      <c r="F34" s="11" t="s">
        <v>44</v>
      </c>
      <c r="G34" s="11" t="s">
        <v>44</v>
      </c>
      <c r="H34" s="50" t="s">
        <v>44</v>
      </c>
      <c r="I34" s="13" t="s">
        <v>124</v>
      </c>
    </row>
    <row r="35">
      <c r="A35" s="1"/>
      <c r="B35" s="15" t="s">
        <v>179</v>
      </c>
      <c r="C35" s="11" t="s">
        <v>44</v>
      </c>
      <c r="D35" s="11" t="s">
        <v>44</v>
      </c>
      <c r="E35" s="11" t="s">
        <v>44</v>
      </c>
      <c r="F35" s="11" t="s">
        <v>44</v>
      </c>
      <c r="G35" s="11" t="s">
        <v>44</v>
      </c>
      <c r="H35" s="50" t="s">
        <v>44</v>
      </c>
      <c r="I35" s="13" t="s">
        <v>125</v>
      </c>
    </row>
    <row r="36" ht="24">
      <c r="A36" s="1"/>
      <c r="B36" s="57" t="s">
        <v>180</v>
      </c>
      <c r="C36" s="11" t="s">
        <v>44</v>
      </c>
      <c r="D36" s="11" t="s">
        <v>44</v>
      </c>
      <c r="E36" s="11" t="s">
        <v>44</v>
      </c>
      <c r="F36" s="11" t="s">
        <v>44</v>
      </c>
      <c r="G36" s="11" t="s">
        <v>44</v>
      </c>
      <c r="H36" s="50" t="s">
        <v>44</v>
      </c>
      <c r="I36" s="13" t="s">
        <v>126</v>
      </c>
    </row>
    <row r="37" ht="24">
      <c r="A37" s="1"/>
      <c r="B37" s="4" t="s">
        <v>705</v>
      </c>
      <c r="C37" s="9">
        <v>2434</v>
      </c>
      <c r="D37" s="9">
        <v>2534</v>
      </c>
      <c r="E37" s="9">
        <v>2256</v>
      </c>
      <c r="F37" s="9">
        <v>2385</v>
      </c>
      <c r="G37" s="22">
        <f>E130+F130+C37+D37</f>
        <v>9572</v>
      </c>
      <c r="H37" s="37">
        <f>F37*(1+H38)</f>
        <v>2432.7</v>
      </c>
      <c r="I37" s="13"/>
    </row>
    <row r="38" ht="24">
      <c r="A38" s="1"/>
      <c r="B38" s="57" t="s">
        <v>175</v>
      </c>
      <c r="C38" s="11">
        <f>IFERROR(C37/F130-1,"n/a")</f>
        <v>0.027437737441958543</v>
      </c>
      <c r="D38" s="11">
        <f>IFERROR(D37/C37-1,"n/a")</f>
        <v>0.041084634346754356</v>
      </c>
      <c r="E38" s="11">
        <f>IFERROR(E37/D37-1,"n/a")</f>
        <v>-0.10970797158642465</v>
      </c>
      <c r="F38" s="11">
        <f>IFERROR(F37/E37-1,"n/a")</f>
        <v>0.05718085106382986</v>
      </c>
      <c r="G38" s="11" t="s">
        <v>44</v>
      </c>
      <c r="H38" s="66">
        <v>0.02</v>
      </c>
      <c r="I38" s="13" t="s">
        <v>706</v>
      </c>
    </row>
    <row r="39">
      <c r="A39" s="1"/>
      <c r="B39" s="15" t="s">
        <v>177</v>
      </c>
      <c r="C39" s="11">
        <f>IFERROR(C37/C130-1,"n/a")</f>
        <v>0</v>
      </c>
      <c r="D39" s="11">
        <f>IFERROR(D37/D130-1,"n/a")</f>
        <v>0.025080906148867266</v>
      </c>
      <c r="E39" s="11">
        <f>IFERROR(E37/E130-1,"n/a")</f>
        <v>0.00939597315436247</v>
      </c>
      <c r="F39" s="11">
        <f>IFERROR(F37/F130-1,"n/a")</f>
        <v>0.006753904601097593</v>
      </c>
      <c r="G39" s="11">
        <f>IFERROR(G37/G130-1,"n/a")</f>
        <v>-0.010134436401240898</v>
      </c>
      <c r="H39" s="50">
        <f>IFERROR(H37/H130-1,"n/a")</f>
        <v>-0.000534100246507907</v>
      </c>
      <c r="I39" s="13"/>
    </row>
    <row r="40">
      <c r="A40" s="1"/>
      <c r="B40" s="15" t="s">
        <v>131</v>
      </c>
      <c r="C40" s="5">
        <f>C37-F130</f>
        <v>65</v>
      </c>
      <c r="D40" s="5">
        <f>D37-C37</f>
        <v>100</v>
      </c>
      <c r="E40" s="5">
        <f>E37-D37</f>
        <v>-278</v>
      </c>
      <c r="F40" s="5">
        <f>F37-E37</f>
        <v>129</v>
      </c>
      <c r="G40" s="5" t="s">
        <v>44</v>
      </c>
      <c r="H40" s="21">
        <f>H37-F37</f>
        <v>47.69999999999982</v>
      </c>
      <c r="I40" s="13"/>
    </row>
    <row r="41">
      <c r="A41" s="1"/>
      <c r="B41" s="15" t="s">
        <v>699</v>
      </c>
      <c r="C41" s="11">
        <f>IFERROR(C37/F130-1,"n/a")</f>
        <v>0.027437737441958543</v>
      </c>
      <c r="D41" s="11">
        <f>IFERROR(D37/C37-1,"n/a")</f>
        <v>0.041084634346754356</v>
      </c>
      <c r="E41" s="11">
        <f>IFERROR(E37/D37-1,"n/a")</f>
        <v>-0.10970797158642465</v>
      </c>
      <c r="F41" s="11">
        <f>IFERROR(F37/E37-1,"n/a")</f>
        <v>0.05718085106382986</v>
      </c>
      <c r="G41" s="11" t="s">
        <v>44</v>
      </c>
      <c r="H41" s="50">
        <f>IFERROR(H37/F37-1,"n/a")</f>
        <v>0.020000000000000018</v>
      </c>
      <c r="I41" s="13"/>
    </row>
    <row r="42">
      <c r="A42" s="1"/>
      <c r="B42" s="15" t="s">
        <v>151</v>
      </c>
      <c r="C42" s="11">
        <f>C37/C60</f>
        <v>0.27262544802867383</v>
      </c>
      <c r="D42" s="11">
        <f>D37/D60</f>
        <v>0.2600307850179579</v>
      </c>
      <c r="E42" s="11">
        <f>E37/E60</f>
        <v>0.2586859305125559</v>
      </c>
      <c r="F42" s="11">
        <f>F37/F60</f>
        <v>0.26582701738742753</v>
      </c>
      <c r="G42" s="11">
        <f>G37/G60</f>
        <v>0.26805567223949145</v>
      </c>
      <c r="H42" s="50">
        <f>H37/H60</f>
        <v>0.26248363079214815</v>
      </c>
      <c r="I42" s="13"/>
    </row>
    <row r="43">
      <c r="A43" s="1"/>
      <c r="B43" s="15" t="s">
        <v>178</v>
      </c>
      <c r="C43" s="11" t="s">
        <v>44</v>
      </c>
      <c r="D43" s="11" t="s">
        <v>44</v>
      </c>
      <c r="E43" s="11" t="s">
        <v>44</v>
      </c>
      <c r="F43" s="11" t="s">
        <v>44</v>
      </c>
      <c r="G43" s="11" t="s">
        <v>44</v>
      </c>
      <c r="H43" s="50" t="s">
        <v>44</v>
      </c>
      <c r="I43" s="13" t="s">
        <v>124</v>
      </c>
    </row>
    <row r="44">
      <c r="A44" s="1"/>
      <c r="B44" s="15" t="s">
        <v>179</v>
      </c>
      <c r="C44" s="11" t="s">
        <v>44</v>
      </c>
      <c r="D44" s="11" t="s">
        <v>44</v>
      </c>
      <c r="E44" s="11" t="s">
        <v>44</v>
      </c>
      <c r="F44" s="11" t="s">
        <v>44</v>
      </c>
      <c r="G44" s="11" t="s">
        <v>44</v>
      </c>
      <c r="H44" s="50" t="s">
        <v>44</v>
      </c>
      <c r="I44" s="13" t="s">
        <v>125</v>
      </c>
    </row>
    <row r="45" ht="24">
      <c r="A45" s="1"/>
      <c r="B45" s="57" t="s">
        <v>180</v>
      </c>
      <c r="C45" s="11" t="s">
        <v>44</v>
      </c>
      <c r="D45" s="11" t="s">
        <v>44</v>
      </c>
      <c r="E45" s="11" t="s">
        <v>44</v>
      </c>
      <c r="F45" s="11" t="s">
        <v>44</v>
      </c>
      <c r="G45" s="11" t="s">
        <v>44</v>
      </c>
      <c r="H45" s="50" t="s">
        <v>44</v>
      </c>
      <c r="I45" s="13" t="s">
        <v>126</v>
      </c>
    </row>
    <row r="46">
      <c r="A46" s="1"/>
      <c r="B46" s="1" t="s">
        <v>707</v>
      </c>
      <c r="C46" s="9">
        <v>3000</v>
      </c>
      <c r="D46" s="9">
        <v>3234</v>
      </c>
      <c r="E46" s="9">
        <v>2687</v>
      </c>
      <c r="F46" s="9">
        <v>2572</v>
      </c>
      <c r="G46" s="22">
        <f>E131+F131+C46+D46</f>
        <v>12217</v>
      </c>
      <c r="H46" s="73">
        <f>'Revenue summary'!H63-H18-H28-H37-H54</f>
        <v>2681.1265139999987</v>
      </c>
      <c r="I46" s="13" t="s">
        <v>708</v>
      </c>
    </row>
    <row r="47">
      <c r="A47" s="1"/>
      <c r="B47" s="15" t="s">
        <v>177</v>
      </c>
      <c r="C47" s="11">
        <f>IFERROR(C46/C131-1,"n/a")</f>
        <v>-0.09145972138098124</v>
      </c>
      <c r="D47" s="11">
        <f>IFERROR(D46/D131-1,"n/a")</f>
        <v>-0.04206161137440756</v>
      </c>
      <c r="E47" s="11">
        <f>IFERROR(E46/E131-1,"n/a")</f>
        <v>-0.10343677010343677</v>
      </c>
      <c r="F47" s="11">
        <f>IFERROR(F46/F131-1,"n/a")</f>
        <v>-0.1386470194239786</v>
      </c>
      <c r="G47" s="11">
        <f>IFERROR(G46/G131-1,"n/a")</f>
        <v>-0.06210655611853222</v>
      </c>
      <c r="H47" s="50">
        <f>IFERROR(H46/H131-1,"n/a")</f>
        <v>-0.10629116200000044</v>
      </c>
      <c r="I47" s="13"/>
    </row>
    <row r="48">
      <c r="A48" s="1"/>
      <c r="B48" s="15" t="s">
        <v>131</v>
      </c>
      <c r="C48" s="5">
        <f>C46-F131</f>
        <v>14</v>
      </c>
      <c r="D48" s="5">
        <f>D46-C46</f>
        <v>234</v>
      </c>
      <c r="E48" s="5">
        <f>E46-D46</f>
        <v>-547</v>
      </c>
      <c r="F48" s="5">
        <f>F46-E46</f>
        <v>-115</v>
      </c>
      <c r="G48" s="5" t="s">
        <v>44</v>
      </c>
      <c r="H48" s="21">
        <f>H46-F46</f>
        <v>109.12651399999868</v>
      </c>
      <c r="I48" s="13"/>
    </row>
    <row r="49">
      <c r="A49" s="1"/>
      <c r="B49" s="15" t="s">
        <v>699</v>
      </c>
      <c r="C49" s="11">
        <f>IFERROR(C46/F131-1,"n/a")</f>
        <v>0.0046885465505692725</v>
      </c>
      <c r="D49" s="11">
        <f>IFERROR(D46/C46-1,"n/a")</f>
        <v>0.07800000000000007</v>
      </c>
      <c r="E49" s="11">
        <f>IFERROR(E46/D46-1,"n/a")</f>
        <v>-0.16914038342609772</v>
      </c>
      <c r="F49" s="11">
        <f>IFERROR(F46/E46-1,"n/a")</f>
        <v>-0.0427986602158541</v>
      </c>
      <c r="G49" s="11" t="s">
        <v>44</v>
      </c>
      <c r="H49" s="50">
        <f>IFERROR(H46/F46-1,"n/a")</f>
        <v>0.04242866018662461</v>
      </c>
      <c r="I49" s="13"/>
    </row>
    <row r="50">
      <c r="A50" s="1"/>
      <c r="B50" s="15" t="s">
        <v>151</v>
      </c>
      <c r="C50" s="11">
        <f>C46/C60</f>
        <v>0.33602150537634407</v>
      </c>
      <c r="D50" s="11">
        <f>D46/D60</f>
        <v>0.3318624935864546</v>
      </c>
      <c r="E50" s="11">
        <f>E46/E60</f>
        <v>0.30810686847838553</v>
      </c>
      <c r="F50" s="11">
        <f>F46/F60</f>
        <v>0.2866696388765047</v>
      </c>
      <c r="G50" s="11">
        <f>G46/G60</f>
        <v>0.3421266347419418</v>
      </c>
      <c r="H50" s="50">
        <f>H46/H60</f>
        <v>0.28928837177120686</v>
      </c>
      <c r="I50" s="13"/>
    </row>
    <row r="51">
      <c r="A51" s="1"/>
      <c r="B51" s="15" t="s">
        <v>178</v>
      </c>
      <c r="C51" s="11" t="s">
        <v>44</v>
      </c>
      <c r="D51" s="11" t="s">
        <v>44</v>
      </c>
      <c r="E51" s="11" t="s">
        <v>44</v>
      </c>
      <c r="F51" s="11" t="s">
        <v>44</v>
      </c>
      <c r="G51" s="11" t="s">
        <v>44</v>
      </c>
      <c r="H51" s="50" t="s">
        <v>44</v>
      </c>
      <c r="I51" s="13" t="s">
        <v>124</v>
      </c>
    </row>
    <row r="52">
      <c r="A52" s="1"/>
      <c r="B52" s="15" t="s">
        <v>179</v>
      </c>
      <c r="C52" s="11" t="s">
        <v>44</v>
      </c>
      <c r="D52" s="11" t="s">
        <v>44</v>
      </c>
      <c r="E52" s="11" t="s">
        <v>44</v>
      </c>
      <c r="F52" s="11" t="s">
        <v>44</v>
      </c>
      <c r="G52" s="11" t="s">
        <v>44</v>
      </c>
      <c r="H52" s="50" t="s">
        <v>44</v>
      </c>
      <c r="I52" s="13" t="s">
        <v>125</v>
      </c>
    </row>
    <row r="53" ht="24">
      <c r="A53" s="1"/>
      <c r="B53" s="57" t="s">
        <v>180</v>
      </c>
      <c r="C53" s="11" t="s">
        <v>44</v>
      </c>
      <c r="D53" s="11" t="s">
        <v>44</v>
      </c>
      <c r="E53" s="11" t="s">
        <v>44</v>
      </c>
      <c r="F53" s="11" t="s">
        <v>44</v>
      </c>
      <c r="G53" s="11" t="s">
        <v>44</v>
      </c>
      <c r="H53" s="50" t="s">
        <v>44</v>
      </c>
      <c r="I53" s="13" t="s">
        <v>126</v>
      </c>
    </row>
    <row r="54">
      <c r="A54" s="1"/>
      <c r="B54" s="1" t="s">
        <v>153</v>
      </c>
      <c r="C54" s="9">
        <v>82</v>
      </c>
      <c r="D54" s="9">
        <v>81</v>
      </c>
      <c r="E54" s="9">
        <v>83</v>
      </c>
      <c r="F54" s="9">
        <v>57</v>
      </c>
      <c r="G54" s="22">
        <f>E132+F132+C54+D54</f>
        <v>251</v>
      </c>
      <c r="H54" s="8">
        <v>55</v>
      </c>
      <c r="I54" s="13" t="s">
        <v>709</v>
      </c>
    </row>
    <row r="55">
      <c r="A55" s="1"/>
      <c r="B55" s="15" t="s">
        <v>177</v>
      </c>
      <c r="C55" s="11" t="s">
        <v>44</v>
      </c>
      <c r="D55" s="11" t="s">
        <v>44</v>
      </c>
      <c r="E55" s="11" t="s">
        <v>44</v>
      </c>
      <c r="F55" s="11" t="s">
        <v>44</v>
      </c>
      <c r="G55" s="11" t="s">
        <v>44</v>
      </c>
      <c r="H55" s="50" t="s">
        <v>44</v>
      </c>
      <c r="I55" s="13" t="s">
        <v>121</v>
      </c>
    </row>
    <row r="56">
      <c r="A56" s="1"/>
      <c r="B56" s="15" t="s">
        <v>131</v>
      </c>
      <c r="C56" s="5">
        <f>C54-F132</f>
        <v>38</v>
      </c>
      <c r="D56" s="5">
        <f>D54-C54</f>
        <v>-1</v>
      </c>
      <c r="E56" s="5">
        <f>E54-D54</f>
        <v>2</v>
      </c>
      <c r="F56" s="5">
        <f>F54-E54</f>
        <v>-26</v>
      </c>
      <c r="G56" s="5" t="s">
        <v>44</v>
      </c>
      <c r="H56" s="21">
        <f>H54-F54</f>
        <v>-2</v>
      </c>
      <c r="I56" s="13"/>
    </row>
    <row r="57">
      <c r="A57" s="1"/>
      <c r="B57" s="15" t="s">
        <v>178</v>
      </c>
      <c r="C57" s="11" t="s">
        <v>44</v>
      </c>
      <c r="D57" s="11" t="s">
        <v>44</v>
      </c>
      <c r="E57" s="11" t="s">
        <v>44</v>
      </c>
      <c r="F57" s="11" t="s">
        <v>44</v>
      </c>
      <c r="G57" s="11" t="s">
        <v>44</v>
      </c>
      <c r="H57" s="50" t="s">
        <v>44</v>
      </c>
      <c r="I57" s="13" t="s">
        <v>124</v>
      </c>
    </row>
    <row r="58">
      <c r="A58" s="1"/>
      <c r="B58" s="15" t="s">
        <v>179</v>
      </c>
      <c r="C58" s="11" t="s">
        <v>44</v>
      </c>
      <c r="D58" s="11" t="s">
        <v>44</v>
      </c>
      <c r="E58" s="11" t="s">
        <v>44</v>
      </c>
      <c r="F58" s="11" t="s">
        <v>44</v>
      </c>
      <c r="G58" s="11" t="s">
        <v>44</v>
      </c>
      <c r="H58" s="50" t="s">
        <v>44</v>
      </c>
      <c r="I58" s="13" t="s">
        <v>125</v>
      </c>
    </row>
    <row r="59" ht="24">
      <c r="A59" s="1"/>
      <c r="B59" s="57" t="s">
        <v>180</v>
      </c>
      <c r="C59" s="11" t="s">
        <v>44</v>
      </c>
      <c r="D59" s="11" t="s">
        <v>44</v>
      </c>
      <c r="E59" s="11" t="s">
        <v>44</v>
      </c>
      <c r="F59" s="11" t="s">
        <v>44</v>
      </c>
      <c r="G59" s="11" t="s">
        <v>44</v>
      </c>
      <c r="H59" s="50" t="s">
        <v>44</v>
      </c>
      <c r="I59" s="13" t="s">
        <v>126</v>
      </c>
    </row>
    <row r="60">
      <c r="A60" s="1"/>
      <c r="B60" s="45" t="s">
        <v>127</v>
      </c>
      <c r="C60" s="29">
        <f>C18+C28+C37+C46+C54</f>
        <v>8928</v>
      </c>
      <c r="D60" s="29">
        <f>D18+D28+D37+D46+D54</f>
        <v>9745</v>
      </c>
      <c r="E60" s="29">
        <f>E18+E28+E37+E46+E54</f>
        <v>8721</v>
      </c>
      <c r="F60" s="29">
        <f>F18+F28+F37+F46+F54</f>
        <v>8972</v>
      </c>
      <c r="G60" s="29">
        <f>G18+G28+G37+G46+G54</f>
        <v>35709</v>
      </c>
      <c r="H60" s="47">
        <f>H18+H28+H37+H46+H54</f>
        <v>9268.006513999999</v>
      </c>
      <c r="I60" s="13"/>
    </row>
    <row r="61">
      <c r="A61" s="1"/>
      <c r="B61" s="15" t="s">
        <v>102</v>
      </c>
      <c r="C61" s="11">
        <f>IFERROR(C60/C133-1,"n/a")</f>
        <v>-0.025221094005895894</v>
      </c>
      <c r="D61" s="11">
        <f>IFERROR(D60/D133-1,"n/a")</f>
        <v>0.04965532098233516</v>
      </c>
      <c r="E61" s="11">
        <f>IFERROR(E60/E133-1,"n/a")</f>
        <v>0.02720848056537095</v>
      </c>
      <c r="F61" s="11">
        <f>IFERROR(F60/F133-1,"n/a")</f>
        <v>0.04984788205008184</v>
      </c>
      <c r="G61" s="11">
        <f>IFERROR(G60/G133-1,"n/a")</f>
        <v>-0.01598280470666047</v>
      </c>
      <c r="H61" s="50">
        <f>IFERROR(H60/H133-1,"n/a")</f>
        <v>0.03808316689068092</v>
      </c>
      <c r="I61" s="13"/>
    </row>
    <row r="62">
      <c r="A62" s="1"/>
      <c r="B62" s="15" t="s">
        <v>103</v>
      </c>
      <c r="C62" s="11">
        <f>IFERROR(C60/F133-1,"n/a")</f>
        <v>0.044699274514392595</v>
      </c>
      <c r="D62" s="11">
        <f>IFERROR(D60/C60-1,"n/a")</f>
        <v>0.09150985663082434</v>
      </c>
      <c r="E62" s="11">
        <f>IFERROR(E60/D60-1,"n/a")</f>
        <v>-0.10507952796305797</v>
      </c>
      <c r="F62" s="11">
        <f>IFERROR(F60/E60-1,"n/a")</f>
        <v>0.028781103084508652</v>
      </c>
      <c r="G62" s="11" t="s">
        <v>44</v>
      </c>
      <c r="H62" s="50">
        <f>IFERROR(H60/F60-1,"n/a")</f>
        <v>0.032992255238519785</v>
      </c>
      <c r="I62" s="13"/>
    </row>
    <row r="63" ht="24">
      <c r="A63" s="1"/>
      <c r="B63" s="4" t="s">
        <v>710</v>
      </c>
      <c r="C63" s="42" t="b">
        <f>ROUND(C60-'Revenue summary'!C63,6)=0</f>
        <v>1</v>
      </c>
      <c r="D63" s="42" t="b">
        <f>ROUND(D60-'Revenue summary'!D63,6)=0</f>
        <v>1</v>
      </c>
      <c r="E63" s="42" t="b">
        <f>ROUND(E60-'Revenue summary'!E63,6)=0</f>
        <v>1</v>
      </c>
      <c r="F63" s="42" t="b">
        <f>ROUND(F60-'Revenue summary'!F63,6)=0</f>
        <v>1</v>
      </c>
      <c r="G63" s="42" t="b">
        <f>ROUND(G60-'Revenue summary'!G63,6)=0</f>
        <v>1</v>
      </c>
      <c r="H63" s="75" t="b">
        <f>ROUND(H60-'Revenue summary'!H63,6)=0</f>
        <v>1</v>
      </c>
      <c r="I63" s="13"/>
    </row>
    <row r="64" ht="34.5">
      <c r="A64" s="1"/>
      <c r="B64" s="26" t="s">
        <v>711</v>
      </c>
      <c r="C64" s="29">
        <f>C28+C37+C46</f>
        <v>6916</v>
      </c>
      <c r="D64" s="29">
        <f>D28+D37+D46</f>
        <v>7452</v>
      </c>
      <c r="E64" s="29">
        <f>E28+E37+E46</f>
        <v>6471</v>
      </c>
      <c r="F64" s="29">
        <f>F28+F37+F46</f>
        <v>6671</v>
      </c>
      <c r="G64" s="29">
        <f>G28+G37+G46</f>
        <v>27942</v>
      </c>
      <c r="H64" s="47">
        <f>H28+H37+H46</f>
        <v>6879.246513999999</v>
      </c>
      <c r="I64" s="13"/>
    </row>
    <row r="65">
      <c r="A65" s="1"/>
      <c r="B65" s="15" t="s">
        <v>102</v>
      </c>
      <c r="C65" s="11">
        <f>IFERROR(C64/C134-1,"n/a")</f>
        <v>-0.06855218855218859</v>
      </c>
      <c r="D65" s="11">
        <f>IFERROR(D64/D134-1,"n/a")</f>
        <v>-0.004009623095429071</v>
      </c>
      <c r="E65" s="11">
        <f>IFERROR(E64/E134-1,"n/a")</f>
        <v>-0.03805559684852089</v>
      </c>
      <c r="F65" s="11">
        <f>IFERROR(F64/F134-1,"n/a")</f>
        <v>-0.02570468818460636</v>
      </c>
      <c r="G65" s="11">
        <f>IFERROR(G64/G134-1,"n/a")</f>
        <v>-0.05007649158592553</v>
      </c>
      <c r="H65" s="50">
        <f>IFERROR(H64/H134-1,"n/a")</f>
        <v>-0.005314269230769386</v>
      </c>
      <c r="I65" s="13"/>
    </row>
    <row r="66">
      <c r="A66" s="1"/>
      <c r="B66" s="15" t="s">
        <v>123</v>
      </c>
      <c r="C66" s="5">
        <f>C64-F134</f>
        <v>69</v>
      </c>
      <c r="D66" s="5">
        <f>D64-C64</f>
        <v>536</v>
      </c>
      <c r="E66" s="5">
        <f>E64-D64</f>
        <v>-981</v>
      </c>
      <c r="F66" s="5">
        <f>F64-E64</f>
        <v>200</v>
      </c>
      <c r="G66" s="5" t="s">
        <v>44</v>
      </c>
      <c r="H66" s="21">
        <f>H64-F64</f>
        <v>208.24651399999857</v>
      </c>
      <c r="I66" s="13"/>
    </row>
    <row r="67">
      <c r="A67" s="1"/>
      <c r="B67" s="15" t="s">
        <v>103</v>
      </c>
      <c r="C67" s="11">
        <f>IFERROR(C64/F134-1,"n/a")</f>
        <v>0.01007740616328312</v>
      </c>
      <c r="D67" s="11">
        <f>IFERROR(D64/C64-1,"n/a")</f>
        <v>0.07750144592249852</v>
      </c>
      <c r="E67" s="11">
        <f>IFERROR(E64/D64-1,"n/a")</f>
        <v>-0.13164251207729472</v>
      </c>
      <c r="F67" s="11">
        <f>IFERROR(F64/E64-1,"n/a")</f>
        <v>0.030907124092103277</v>
      </c>
      <c r="G67" s="11" t="s">
        <v>44</v>
      </c>
      <c r="H67" s="50">
        <f>IFERROR(H64/F64-1,"n/a")</f>
        <v>0.0312166862539347</v>
      </c>
      <c r="I67" s="13"/>
    </row>
    <row r="68">
      <c r="A68" s="1"/>
      <c r="B68" s="15" t="s">
        <v>151</v>
      </c>
      <c r="C68" s="11">
        <f>C64/C60</f>
        <v>0.774641577060932</v>
      </c>
      <c r="D68" s="11">
        <f>D64/D60</f>
        <v>0.7646998460749103</v>
      </c>
      <c r="E68" s="11">
        <f>E64/E60</f>
        <v>0.7420020639834881</v>
      </c>
      <c r="F68" s="11">
        <f>F64/F60</f>
        <v>0.7435354436023183</v>
      </c>
      <c r="G68" s="11">
        <f>G64/G60</f>
        <v>0.7824918087877005</v>
      </c>
      <c r="H68" s="50">
        <f>H64/H60</f>
        <v>0.7422574103296535</v>
      </c>
      <c r="I68" s="13"/>
    </row>
    <row r="69" ht="34.5">
      <c r="A69" s="1"/>
      <c r="B69" s="57" t="s">
        <v>133</v>
      </c>
      <c r="C69" s="11">
        <f>IFERROR((C64-C13)/(C134-C127)-1,"n/a")</f>
        <v>-0.09158249158249154</v>
      </c>
      <c r="D69" s="11">
        <f>IFERROR((D64-D13)/(D134-D127)-1,"n/a")</f>
        <v>-0.03956161454156648</v>
      </c>
      <c r="E69" s="11">
        <f>IFERROR((E64-E13)/(E134-E127)-1,"n/a")</f>
        <v>-0.07239482681730336</v>
      </c>
      <c r="F69" s="11">
        <f>IFERROR((F64-F13)/(F134-F127)-1,"n/a")</f>
        <v>-0.05988023952095811</v>
      </c>
      <c r="G69" s="11">
        <f>IFERROR((G64-G13)/(G134-G127)-1,"n/a")</f>
        <v>-0.06493285738568755</v>
      </c>
      <c r="H69" s="50">
        <f>IFERROR((H64-H13)/(H134-H127)-1,"n/a")</f>
        <v>-0.015678797034840875</v>
      </c>
      <c r="I69" s="13" t="s">
        <v>134</v>
      </c>
    </row>
    <row r="70" ht="24">
      <c r="A70" s="1"/>
      <c r="B70" s="57" t="s">
        <v>135</v>
      </c>
      <c r="C70" s="11">
        <f>IFERROR((1+C65)/(1+C69)-1,"n/a")</f>
        <v>0.025352112676056304</v>
      </c>
      <c r="D70" s="11">
        <f>IFERROR((1+D65)/(1+D69)-1,"n/a")</f>
        <v>0.037016420818257734</v>
      </c>
      <c r="E70" s="11">
        <f>IFERROR((1+E65)/(1+E69)-1,"n/a")</f>
        <v>0.03701923076923075</v>
      </c>
      <c r="F70" s="11">
        <f>IFERROR((1+F65)/(1+F69)-1,"n/a")</f>
        <v>0.036352338045673616</v>
      </c>
      <c r="G70" s="11">
        <f>IFERROR((1+G65)/(1+G69)-1,"n/a")</f>
        <v>0.01588802035993453</v>
      </c>
      <c r="H70" s="50">
        <f>IFERROR((1+H65)/(1+H69)-1,"n/a")</f>
        <v>0.010529619572198001</v>
      </c>
      <c r="I70" s="13" t="s">
        <v>136</v>
      </c>
    </row>
    <row r="71">
      <c r="A71" s="1"/>
      <c r="B71" s="15" t="s">
        <v>107</v>
      </c>
      <c r="C71" s="11" t="s">
        <v>44</v>
      </c>
      <c r="D71" s="11" t="s">
        <v>44</v>
      </c>
      <c r="E71" s="11" t="s">
        <v>44</v>
      </c>
      <c r="F71" s="11" t="s">
        <v>44</v>
      </c>
      <c r="G71" s="11" t="s">
        <v>44</v>
      </c>
      <c r="H71" s="50" t="s">
        <v>44</v>
      </c>
      <c r="I71" s="13" t="s">
        <v>125</v>
      </c>
    </row>
    <row r="72" ht="34.5">
      <c r="A72" s="1"/>
      <c r="B72" s="57" t="s">
        <v>137</v>
      </c>
      <c r="C72" s="11" t="s">
        <v>44</v>
      </c>
      <c r="D72" s="11" t="s">
        <v>44</v>
      </c>
      <c r="E72" s="11" t="s">
        <v>44</v>
      </c>
      <c r="F72" s="11" t="s">
        <v>44</v>
      </c>
      <c r="G72" s="11" t="s">
        <v>44</v>
      </c>
      <c r="H72" s="50" t="s">
        <v>44</v>
      </c>
      <c r="I72" s="13" t="s">
        <v>138</v>
      </c>
    </row>
    <row r="73">
      <c r="A73" s="1"/>
      <c r="B73" s="41" t="s">
        <v>712</v>
      </c>
      <c r="C73" s="1"/>
      <c r="D73" s="1"/>
      <c r="E73" s="1"/>
      <c r="F73" s="1"/>
      <c r="G73" s="1"/>
      <c r="H73" s="53"/>
      <c r="I73" s="13"/>
    </row>
    <row r="74" ht="24">
      <c r="A74" s="1"/>
      <c r="B74" s="57" t="s">
        <v>713</v>
      </c>
      <c r="C74" s="11" t="s">
        <v>44</v>
      </c>
      <c r="D74" s="11" t="s">
        <v>44</v>
      </c>
      <c r="E74" s="11" t="s">
        <v>44</v>
      </c>
      <c r="F74" s="74">
        <v>-0.13</v>
      </c>
      <c r="G74" s="11" t="s">
        <v>44</v>
      </c>
      <c r="H74" s="50">
        <f>H75/F75-1</f>
        <v>0.04925693614457738</v>
      </c>
      <c r="I74" s="13"/>
    </row>
    <row r="75">
      <c r="A75" s="1"/>
      <c r="B75" s="1" t="s">
        <v>714</v>
      </c>
      <c r="C75" s="22" t="s">
        <v>44</v>
      </c>
      <c r="D75" s="22" t="s">
        <v>44</v>
      </c>
      <c r="E75" s="22">
        <f>F75/(1+F74)</f>
        <v>1908.0459770114942</v>
      </c>
      <c r="F75" s="9">
        <v>1660</v>
      </c>
      <c r="G75" s="22" t="s">
        <v>44</v>
      </c>
      <c r="H75" s="37">
        <f>H46-H81</f>
        <v>1741.7665139999986</v>
      </c>
      <c r="I75" s="13" t="s">
        <v>715</v>
      </c>
    </row>
    <row r="76">
      <c r="A76" s="1"/>
      <c r="B76" s="15" t="s">
        <v>716</v>
      </c>
      <c r="C76" s="11" t="s">
        <v>44</v>
      </c>
      <c r="D76" s="11" t="s">
        <v>44</v>
      </c>
      <c r="E76" s="11" t="s">
        <v>44</v>
      </c>
      <c r="F76" s="11" t="s">
        <v>44</v>
      </c>
      <c r="G76" s="11" t="s">
        <v>44</v>
      </c>
      <c r="H76" s="50" t="s">
        <v>44</v>
      </c>
      <c r="I76" s="13" t="s">
        <v>717</v>
      </c>
    </row>
    <row r="77">
      <c r="A77" s="1"/>
      <c r="B77" s="15" t="s">
        <v>178</v>
      </c>
      <c r="C77" s="11" t="s">
        <v>44</v>
      </c>
      <c r="D77" s="11" t="s">
        <v>44</v>
      </c>
      <c r="E77" s="11" t="s">
        <v>44</v>
      </c>
      <c r="F77" s="11" t="s">
        <v>44</v>
      </c>
      <c r="G77" s="11" t="s">
        <v>44</v>
      </c>
      <c r="H77" s="50" t="s">
        <v>44</v>
      </c>
      <c r="I77" s="13" t="s">
        <v>124</v>
      </c>
    </row>
    <row r="78">
      <c r="A78" s="1"/>
      <c r="B78" s="15" t="s">
        <v>179</v>
      </c>
      <c r="C78" s="11" t="s">
        <v>44</v>
      </c>
      <c r="D78" s="11" t="s">
        <v>44</v>
      </c>
      <c r="E78" s="11" t="s">
        <v>44</v>
      </c>
      <c r="F78" s="11" t="s">
        <v>44</v>
      </c>
      <c r="G78" s="11" t="s">
        <v>44</v>
      </c>
      <c r="H78" s="50" t="s">
        <v>44</v>
      </c>
      <c r="I78" s="13" t="s">
        <v>125</v>
      </c>
    </row>
    <row r="79" ht="24">
      <c r="A79" s="1"/>
      <c r="B79" s="57" t="s">
        <v>180</v>
      </c>
      <c r="C79" s="11" t="s">
        <v>44</v>
      </c>
      <c r="D79" s="11" t="s">
        <v>44</v>
      </c>
      <c r="E79" s="11" t="s">
        <v>44</v>
      </c>
      <c r="F79" s="11" t="s">
        <v>44</v>
      </c>
      <c r="G79" s="11" t="s">
        <v>44</v>
      </c>
      <c r="H79" s="50" t="s">
        <v>44</v>
      </c>
      <c r="I79" s="13" t="s">
        <v>126</v>
      </c>
    </row>
    <row r="80">
      <c r="A80" s="1"/>
      <c r="B80" s="15" t="s">
        <v>551</v>
      </c>
      <c r="C80" s="5" t="s">
        <v>44</v>
      </c>
      <c r="D80" s="5" t="s">
        <v>44</v>
      </c>
      <c r="E80" s="5" t="s">
        <v>44</v>
      </c>
      <c r="F80" s="5">
        <f>F75-E75</f>
        <v>-248.0459770114942</v>
      </c>
      <c r="G80" s="5" t="s">
        <v>44</v>
      </c>
      <c r="H80" s="21">
        <f>H75-F75</f>
        <v>81.76651399999855</v>
      </c>
      <c r="I80" s="13"/>
    </row>
    <row r="81">
      <c r="A81" s="1"/>
      <c r="B81" s="1" t="s">
        <v>718</v>
      </c>
      <c r="C81" s="22" t="s">
        <v>44</v>
      </c>
      <c r="D81" s="22" t="s">
        <v>44</v>
      </c>
      <c r="E81" s="22">
        <f>E46-E75</f>
        <v>778.9540229885058</v>
      </c>
      <c r="F81" s="22">
        <f>F46-F75</f>
        <v>912</v>
      </c>
      <c r="G81" s="22" t="s">
        <v>44</v>
      </c>
      <c r="H81" s="37">
        <f>F81*(1+H82)</f>
        <v>939.36</v>
      </c>
      <c r="I81" s="13"/>
    </row>
    <row r="82" ht="24">
      <c r="A82" s="1"/>
      <c r="B82" s="57" t="s">
        <v>719</v>
      </c>
      <c r="C82" s="11" t="s">
        <v>44</v>
      </c>
      <c r="D82" s="11" t="s">
        <v>44</v>
      </c>
      <c r="E82" s="11" t="s">
        <v>44</v>
      </c>
      <c r="F82" s="11">
        <f>F81/E81-1</f>
        <v>0.17080080862931424</v>
      </c>
      <c r="G82" s="11" t="s">
        <v>44</v>
      </c>
      <c r="H82" s="66">
        <v>0.03</v>
      </c>
      <c r="I82" s="13" t="s">
        <v>720</v>
      </c>
    </row>
    <row r="83">
      <c r="A83" s="1"/>
      <c r="B83" s="15" t="s">
        <v>716</v>
      </c>
      <c r="C83" s="11" t="s">
        <v>44</v>
      </c>
      <c r="D83" s="11" t="s">
        <v>44</v>
      </c>
      <c r="E83" s="11" t="s">
        <v>44</v>
      </c>
      <c r="F83" s="11" t="s">
        <v>44</v>
      </c>
      <c r="G83" s="11" t="s">
        <v>44</v>
      </c>
      <c r="H83" s="50" t="s">
        <v>44</v>
      </c>
      <c r="I83" s="13" t="s">
        <v>721</v>
      </c>
    </row>
    <row r="84">
      <c r="A84" s="1"/>
      <c r="B84" s="15" t="s">
        <v>178</v>
      </c>
      <c r="C84" s="11" t="s">
        <v>44</v>
      </c>
      <c r="D84" s="11" t="s">
        <v>44</v>
      </c>
      <c r="E84" s="11" t="s">
        <v>44</v>
      </c>
      <c r="F84" s="11" t="s">
        <v>44</v>
      </c>
      <c r="G84" s="11" t="s">
        <v>44</v>
      </c>
      <c r="H84" s="50" t="s">
        <v>44</v>
      </c>
      <c r="I84" s="13" t="s">
        <v>124</v>
      </c>
    </row>
    <row r="85">
      <c r="A85" s="1"/>
      <c r="B85" s="15" t="s">
        <v>179</v>
      </c>
      <c r="C85" s="11" t="s">
        <v>44</v>
      </c>
      <c r="D85" s="11" t="s">
        <v>44</v>
      </c>
      <c r="E85" s="11" t="s">
        <v>44</v>
      </c>
      <c r="F85" s="11" t="s">
        <v>44</v>
      </c>
      <c r="G85" s="11" t="s">
        <v>44</v>
      </c>
      <c r="H85" s="50" t="s">
        <v>44</v>
      </c>
      <c r="I85" s="13" t="s">
        <v>125</v>
      </c>
    </row>
    <row r="86" ht="24">
      <c r="A86" s="1"/>
      <c r="B86" s="57" t="s">
        <v>180</v>
      </c>
      <c r="C86" s="11" t="s">
        <v>44</v>
      </c>
      <c r="D86" s="11" t="s">
        <v>44</v>
      </c>
      <c r="E86" s="11" t="s">
        <v>44</v>
      </c>
      <c r="F86" s="11" t="s">
        <v>44</v>
      </c>
      <c r="G86" s="11" t="s">
        <v>44</v>
      </c>
      <c r="H86" s="50" t="s">
        <v>44</v>
      </c>
      <c r="I86" s="13" t="s">
        <v>126</v>
      </c>
    </row>
    <row r="87">
      <c r="A87" s="1"/>
      <c r="B87" s="15" t="s">
        <v>551</v>
      </c>
      <c r="C87" s="5" t="s">
        <v>44</v>
      </c>
      <c r="D87" s="5" t="s">
        <v>44</v>
      </c>
      <c r="E87" s="5" t="s">
        <v>44</v>
      </c>
      <c r="F87" s="5">
        <f>F81-E81</f>
        <v>133.0459770114942</v>
      </c>
      <c r="G87" s="5" t="s">
        <v>44</v>
      </c>
      <c r="H87" s="21">
        <f>H81-F81</f>
        <v>27.360000000000014</v>
      </c>
      <c r="I87" s="13"/>
    </row>
    <row r="88" ht="24">
      <c r="A88" s="1"/>
      <c r="B88" s="57" t="s">
        <v>722</v>
      </c>
      <c r="C88" s="11" t="s">
        <v>44</v>
      </c>
      <c r="D88" s="11" t="s">
        <v>44</v>
      </c>
      <c r="E88" s="11">
        <f>E75/E46</f>
        <v>0.7101027082290637</v>
      </c>
      <c r="F88" s="11">
        <f>F75/F46</f>
        <v>0.645412130637636</v>
      </c>
      <c r="G88" s="11" t="s">
        <v>44</v>
      </c>
      <c r="H88" s="50">
        <f>H75/H46</f>
        <v>0.6496398080825512</v>
      </c>
      <c r="I88" s="13" t="s">
        <v>723</v>
      </c>
    </row>
    <row r="89" ht="34.5">
      <c r="A89" s="1"/>
      <c r="B89" s="57" t="s">
        <v>724</v>
      </c>
      <c r="C89" s="5" t="s">
        <v>44</v>
      </c>
      <c r="D89" s="5" t="s">
        <v>44</v>
      </c>
      <c r="E89" s="5" t="s">
        <v>44</v>
      </c>
      <c r="F89" s="5" t="s">
        <v>44</v>
      </c>
      <c r="G89" s="5" t="s">
        <v>44</v>
      </c>
      <c r="H89" s="76">
        <f>(H75-F75)+Guidance!$G$26</f>
        <v>-68.23348600000145</v>
      </c>
      <c r="I89" s="13" t="s">
        <v>725</v>
      </c>
    </row>
    <row r="90">
      <c r="A90" s="1"/>
      <c r="B90" s="41" t="s">
        <v>726</v>
      </c>
      <c r="C90" s="1"/>
      <c r="D90" s="1"/>
      <c r="E90" s="1"/>
      <c r="F90" s="1"/>
      <c r="G90" s="1"/>
      <c r="H90" s="53"/>
      <c r="I90" s="13"/>
    </row>
    <row r="91">
      <c r="A91" s="1"/>
      <c r="B91" s="1" t="s">
        <v>152</v>
      </c>
      <c r="C91" s="9">
        <v>2134</v>
      </c>
      <c r="D91" s="22">
        <f>D18</f>
        <v>2212</v>
      </c>
      <c r="E91" s="22">
        <f>E18</f>
        <v>2167</v>
      </c>
      <c r="F91" s="22">
        <f>F18</f>
        <v>2244</v>
      </c>
      <c r="G91" s="22">
        <f>E135+F135+C91+D91</f>
        <v>8823</v>
      </c>
      <c r="H91" s="37">
        <f>H18</f>
        <v>2333.76</v>
      </c>
      <c r="I91" s="13" t="s">
        <v>727</v>
      </c>
    </row>
    <row r="92">
      <c r="A92" s="1"/>
      <c r="B92" s="15" t="s">
        <v>728</v>
      </c>
      <c r="C92" s="11">
        <f>IFERROR(C91/C135-1,"n/a")</f>
        <v>-0.047321428571428625</v>
      </c>
      <c r="D92" s="11">
        <f>IFERROR(D91/D135-1,"n/a")</f>
        <v>-0.03742384682332467</v>
      </c>
      <c r="E92" s="11">
        <f>IFERROR(E91/E135-1,"n/a")</f>
        <v>-0.040301151461470286</v>
      </c>
      <c r="F92" s="11">
        <f>IFERROR(F91/F135-1,"n/a")</f>
        <v>0.01126633618747186</v>
      </c>
      <c r="G92" s="11" t="s">
        <v>44</v>
      </c>
      <c r="H92" s="50">
        <f>IFERROR(H91/H135-1,"n/a")</f>
        <v>0.09360824742268048</v>
      </c>
      <c r="I92" s="13" t="s">
        <v>204</v>
      </c>
    </row>
    <row r="93">
      <c r="A93" s="1"/>
      <c r="B93" s="15" t="s">
        <v>131</v>
      </c>
      <c r="C93" s="5">
        <f>C91-F135</f>
        <v>-85</v>
      </c>
      <c r="D93" s="5">
        <f>D91-C91</f>
        <v>78</v>
      </c>
      <c r="E93" s="5">
        <f>E91-D91</f>
        <v>-45</v>
      </c>
      <c r="F93" s="5">
        <f>F91-E91</f>
        <v>77</v>
      </c>
      <c r="G93" s="5" t="s">
        <v>44</v>
      </c>
      <c r="H93" s="21">
        <f>H91-F91</f>
        <v>89.76000000000022</v>
      </c>
      <c r="I93" s="13"/>
    </row>
    <row r="94">
      <c r="A94" s="1"/>
      <c r="B94" s="15" t="s">
        <v>178</v>
      </c>
      <c r="C94" s="11" t="s">
        <v>44</v>
      </c>
      <c r="D94" s="11" t="s">
        <v>44</v>
      </c>
      <c r="E94" s="11" t="s">
        <v>44</v>
      </c>
      <c r="F94" s="11" t="s">
        <v>44</v>
      </c>
      <c r="G94" s="11" t="s">
        <v>44</v>
      </c>
      <c r="H94" s="50" t="s">
        <v>44</v>
      </c>
      <c r="I94" s="13" t="s">
        <v>124</v>
      </c>
    </row>
    <row r="95">
      <c r="A95" s="1"/>
      <c r="B95" s="15" t="s">
        <v>179</v>
      </c>
      <c r="C95" s="11" t="s">
        <v>44</v>
      </c>
      <c r="D95" s="11" t="s">
        <v>44</v>
      </c>
      <c r="E95" s="11" t="s">
        <v>44</v>
      </c>
      <c r="F95" s="11" t="s">
        <v>44</v>
      </c>
      <c r="G95" s="11" t="s">
        <v>44</v>
      </c>
      <c r="H95" s="50" t="s">
        <v>44</v>
      </c>
      <c r="I95" s="13" t="s">
        <v>125</v>
      </c>
    </row>
    <row r="96" ht="24">
      <c r="A96" s="1"/>
      <c r="B96" s="57" t="s">
        <v>180</v>
      </c>
      <c r="C96" s="11" t="s">
        <v>44</v>
      </c>
      <c r="D96" s="11" t="s">
        <v>44</v>
      </c>
      <c r="E96" s="11" t="s">
        <v>44</v>
      </c>
      <c r="F96" s="11" t="s">
        <v>44</v>
      </c>
      <c r="G96" s="11" t="s">
        <v>44</v>
      </c>
      <c r="H96" s="50" t="s">
        <v>44</v>
      </c>
      <c r="I96" s="13" t="s">
        <v>126</v>
      </c>
    </row>
    <row r="97">
      <c r="A97" s="1"/>
      <c r="B97" s="1" t="s">
        <v>703</v>
      </c>
      <c r="C97" s="9">
        <v>1507</v>
      </c>
      <c r="D97" s="22">
        <f>D28</f>
        <v>1684</v>
      </c>
      <c r="E97" s="22">
        <f>E28</f>
        <v>1528</v>
      </c>
      <c r="F97" s="22">
        <f>F28</f>
        <v>1714</v>
      </c>
      <c r="G97" s="22">
        <f>E136+F136+C97+D97</f>
        <v>6320</v>
      </c>
      <c r="H97" s="37">
        <f>H28</f>
        <v>1765.42</v>
      </c>
      <c r="I97" s="13"/>
    </row>
    <row r="98">
      <c r="A98" s="1"/>
      <c r="B98" s="15" t="s">
        <v>728</v>
      </c>
      <c r="C98" s="11">
        <f>IFERROR(C97/C136-1,"n/a")</f>
        <v>-0.14277588168373156</v>
      </c>
      <c r="D98" s="11">
        <f>IFERROR(D97/D136-1,"n/a")</f>
        <v>-0.011737089201877882</v>
      </c>
      <c r="E98" s="11">
        <f>IFERROR(E97/E136-1,"n/a")</f>
        <v>-0.021140294682895577</v>
      </c>
      <c r="F98" s="11">
        <f>IFERROR(F97/F136-1,"n/a")</f>
        <v>0.0931122448979591</v>
      </c>
      <c r="G98" s="11" t="s">
        <v>44</v>
      </c>
      <c r="H98" s="50">
        <f>IFERROR(H97/H136-1,"n/a")</f>
        <v>0.17147976111479757</v>
      </c>
      <c r="I98" s="13" t="s">
        <v>204</v>
      </c>
    </row>
    <row r="99">
      <c r="A99" s="1"/>
      <c r="B99" s="15" t="s">
        <v>131</v>
      </c>
      <c r="C99" s="5">
        <f>C97-F136</f>
        <v>-61</v>
      </c>
      <c r="D99" s="5">
        <f>D97-C97</f>
        <v>177</v>
      </c>
      <c r="E99" s="5">
        <f>E97-D97</f>
        <v>-156</v>
      </c>
      <c r="F99" s="5">
        <f>F97-E97</f>
        <v>186</v>
      </c>
      <c r="G99" s="5" t="s">
        <v>44</v>
      </c>
      <c r="H99" s="21">
        <f>H97-F97</f>
        <v>51.42000000000007</v>
      </c>
      <c r="I99" s="13"/>
    </row>
    <row r="100">
      <c r="A100" s="1"/>
      <c r="B100" s="15" t="s">
        <v>178</v>
      </c>
      <c r="C100" s="11" t="s">
        <v>44</v>
      </c>
      <c r="D100" s="11" t="s">
        <v>44</v>
      </c>
      <c r="E100" s="11" t="s">
        <v>44</v>
      </c>
      <c r="F100" s="11" t="s">
        <v>44</v>
      </c>
      <c r="G100" s="11" t="s">
        <v>44</v>
      </c>
      <c r="H100" s="50" t="s">
        <v>44</v>
      </c>
      <c r="I100" s="13" t="s">
        <v>124</v>
      </c>
    </row>
    <row r="101">
      <c r="A101" s="1"/>
      <c r="B101" s="15" t="s">
        <v>179</v>
      </c>
      <c r="C101" s="11" t="s">
        <v>44</v>
      </c>
      <c r="D101" s="11" t="s">
        <v>44</v>
      </c>
      <c r="E101" s="11" t="s">
        <v>44</v>
      </c>
      <c r="F101" s="11" t="s">
        <v>44</v>
      </c>
      <c r="G101" s="11" t="s">
        <v>44</v>
      </c>
      <c r="H101" s="50" t="s">
        <v>44</v>
      </c>
      <c r="I101" s="13" t="s">
        <v>125</v>
      </c>
    </row>
    <row r="102" ht="24">
      <c r="A102" s="1"/>
      <c r="B102" s="57" t="s">
        <v>180</v>
      </c>
      <c r="C102" s="11" t="s">
        <v>44</v>
      </c>
      <c r="D102" s="11" t="s">
        <v>44</v>
      </c>
      <c r="E102" s="11" t="s">
        <v>44</v>
      </c>
      <c r="F102" s="11" t="s">
        <v>44</v>
      </c>
      <c r="G102" s="11" t="s">
        <v>44</v>
      </c>
      <c r="H102" s="50" t="s">
        <v>44</v>
      </c>
      <c r="I102" s="13" t="s">
        <v>126</v>
      </c>
    </row>
    <row r="103">
      <c r="A103" s="1"/>
      <c r="B103" s="1" t="s">
        <v>729</v>
      </c>
      <c r="C103" s="9">
        <v>2462</v>
      </c>
      <c r="D103" s="22">
        <f>D37</f>
        <v>2534</v>
      </c>
      <c r="E103" s="22">
        <f>E37</f>
        <v>2256</v>
      </c>
      <c r="F103" s="22">
        <f>F37</f>
        <v>2385</v>
      </c>
      <c r="G103" s="22">
        <f>E137+F137+C103+D103</f>
        <v>9767</v>
      </c>
      <c r="H103" s="37">
        <f>H37</f>
        <v>2432.7</v>
      </c>
      <c r="I103" s="13"/>
    </row>
    <row r="104">
      <c r="A104" s="1"/>
      <c r="B104" s="15" t="s">
        <v>728</v>
      </c>
      <c r="C104" s="11">
        <f>IFERROR(C103/C137-1,"n/a")</f>
        <v>-0.028796844181459558</v>
      </c>
      <c r="D104" s="11">
        <f>IFERROR(D103/D137-1,"n/a")</f>
        <v>-0.011314865392118567</v>
      </c>
      <c r="E104" s="11">
        <f>IFERROR(E103/E137-1,"n/a")</f>
        <v>-0.02548596112311019</v>
      </c>
      <c r="F104" s="11">
        <f>IFERROR(F103/F137-1,"n/a")</f>
        <v>-0.028908794788273573</v>
      </c>
      <c r="G104" s="11" t="s">
        <v>44</v>
      </c>
      <c r="H104" s="50">
        <f>IFERROR(H103/H137-1,"n/a")</f>
        <v>-0.011900893582453387</v>
      </c>
      <c r="I104" s="13" t="s">
        <v>204</v>
      </c>
    </row>
    <row r="105">
      <c r="A105" s="1"/>
      <c r="B105" s="15" t="s">
        <v>131</v>
      </c>
      <c r="C105" s="5">
        <f>C103-F137</f>
        <v>6</v>
      </c>
      <c r="D105" s="5">
        <f>D103-C103</f>
        <v>72</v>
      </c>
      <c r="E105" s="5">
        <f>E103-D103</f>
        <v>-278</v>
      </c>
      <c r="F105" s="5">
        <f>F103-E103</f>
        <v>129</v>
      </c>
      <c r="G105" s="5" t="s">
        <v>44</v>
      </c>
      <c r="H105" s="21">
        <f>H103-F103</f>
        <v>47.69999999999982</v>
      </c>
      <c r="I105" s="13"/>
    </row>
    <row r="106">
      <c r="A106" s="1"/>
      <c r="B106" s="15" t="s">
        <v>178</v>
      </c>
      <c r="C106" s="11" t="s">
        <v>44</v>
      </c>
      <c r="D106" s="11" t="s">
        <v>44</v>
      </c>
      <c r="E106" s="11" t="s">
        <v>44</v>
      </c>
      <c r="F106" s="11" t="s">
        <v>44</v>
      </c>
      <c r="G106" s="11" t="s">
        <v>44</v>
      </c>
      <c r="H106" s="50" t="s">
        <v>44</v>
      </c>
      <c r="I106" s="13" t="s">
        <v>124</v>
      </c>
    </row>
    <row r="107">
      <c r="A107" s="1"/>
      <c r="B107" s="15" t="s">
        <v>179</v>
      </c>
      <c r="C107" s="11" t="s">
        <v>44</v>
      </c>
      <c r="D107" s="11" t="s">
        <v>44</v>
      </c>
      <c r="E107" s="11" t="s">
        <v>44</v>
      </c>
      <c r="F107" s="11" t="s">
        <v>44</v>
      </c>
      <c r="G107" s="11" t="s">
        <v>44</v>
      </c>
      <c r="H107" s="50" t="s">
        <v>44</v>
      </c>
      <c r="I107" s="13" t="s">
        <v>125</v>
      </c>
    </row>
    <row r="108" ht="24">
      <c r="A108" s="1"/>
      <c r="B108" s="57" t="s">
        <v>180</v>
      </c>
      <c r="C108" s="11" t="s">
        <v>44</v>
      </c>
      <c r="D108" s="11" t="s">
        <v>44</v>
      </c>
      <c r="E108" s="11" t="s">
        <v>44</v>
      </c>
      <c r="F108" s="11" t="s">
        <v>44</v>
      </c>
      <c r="G108" s="11" t="s">
        <v>44</v>
      </c>
      <c r="H108" s="50" t="s">
        <v>44</v>
      </c>
      <c r="I108" s="13" t="s">
        <v>126</v>
      </c>
    </row>
    <row r="109">
      <c r="A109" s="1"/>
      <c r="B109" s="1" t="s">
        <v>707</v>
      </c>
      <c r="C109" s="9">
        <v>3032</v>
      </c>
      <c r="D109" s="22">
        <f>D46</f>
        <v>3234</v>
      </c>
      <c r="E109" s="22">
        <f>E46</f>
        <v>2687</v>
      </c>
      <c r="F109" s="22">
        <f>F46</f>
        <v>2572</v>
      </c>
      <c r="G109" s="22">
        <f>E138+F138+C109+D109</f>
        <v>12434</v>
      </c>
      <c r="H109" s="37">
        <f>H46</f>
        <v>2681.1265139999987</v>
      </c>
      <c r="I109" s="13"/>
    </row>
    <row r="110">
      <c r="A110" s="1"/>
      <c r="B110" s="15" t="s">
        <v>728</v>
      </c>
      <c r="C110" s="11">
        <f>IFERROR(C109/C138-1,"n/a")</f>
        <v>-0.10771041789287816</v>
      </c>
      <c r="D110" s="11">
        <f>IFERROR(D109/D138-1,"n/a")</f>
        <v>-0.07335243553008597</v>
      </c>
      <c r="E110" s="11">
        <f>IFERROR(E109/E138-1,"n/a")</f>
        <v>-0.13126414484319426</v>
      </c>
      <c r="F110" s="11">
        <f>IFERROR(F109/F138-1,"n/a")</f>
        <v>-0.16357723577235772</v>
      </c>
      <c r="G110" s="11" t="s">
        <v>44</v>
      </c>
      <c r="H110" s="50">
        <f>IFERROR(H109/H138-1,"n/a")</f>
        <v>-0.11572344525066003</v>
      </c>
      <c r="I110" s="13" t="s">
        <v>204</v>
      </c>
    </row>
    <row r="111">
      <c r="A111" s="1"/>
      <c r="B111" s="15" t="s">
        <v>131</v>
      </c>
      <c r="C111" s="5">
        <f>C109-F138</f>
        <v>-43</v>
      </c>
      <c r="D111" s="5">
        <f>D109-C109</f>
        <v>202</v>
      </c>
      <c r="E111" s="5">
        <f>E109-D109</f>
        <v>-547</v>
      </c>
      <c r="F111" s="5">
        <f>F109-E109</f>
        <v>-115</v>
      </c>
      <c r="G111" s="5" t="s">
        <v>44</v>
      </c>
      <c r="H111" s="21">
        <f>H109-F109</f>
        <v>109.12651399999868</v>
      </c>
      <c r="I111" s="13"/>
    </row>
    <row r="112">
      <c r="A112" s="1"/>
      <c r="B112" s="15" t="s">
        <v>178</v>
      </c>
      <c r="C112" s="11" t="s">
        <v>44</v>
      </c>
      <c r="D112" s="11" t="s">
        <v>44</v>
      </c>
      <c r="E112" s="11" t="s">
        <v>44</v>
      </c>
      <c r="F112" s="11" t="s">
        <v>44</v>
      </c>
      <c r="G112" s="11" t="s">
        <v>44</v>
      </c>
      <c r="H112" s="50" t="s">
        <v>44</v>
      </c>
      <c r="I112" s="13" t="s">
        <v>124</v>
      </c>
    </row>
    <row r="113">
      <c r="A113" s="1"/>
      <c r="B113" s="15" t="s">
        <v>179</v>
      </c>
      <c r="C113" s="11" t="s">
        <v>44</v>
      </c>
      <c r="D113" s="11" t="s">
        <v>44</v>
      </c>
      <c r="E113" s="11" t="s">
        <v>44</v>
      </c>
      <c r="F113" s="11" t="s">
        <v>44</v>
      </c>
      <c r="G113" s="11" t="s">
        <v>44</v>
      </c>
      <c r="H113" s="50" t="s">
        <v>44</v>
      </c>
      <c r="I113" s="13" t="s">
        <v>125</v>
      </c>
    </row>
    <row r="114" ht="24">
      <c r="A114" s="1"/>
      <c r="B114" s="57" t="s">
        <v>180</v>
      </c>
      <c r="C114" s="11" t="s">
        <v>44</v>
      </c>
      <c r="D114" s="11" t="s">
        <v>44</v>
      </c>
      <c r="E114" s="11" t="s">
        <v>44</v>
      </c>
      <c r="F114" s="11" t="s">
        <v>44</v>
      </c>
      <c r="G114" s="11" t="s">
        <v>44</v>
      </c>
      <c r="H114" s="50" t="s">
        <v>44</v>
      </c>
      <c r="I114" s="13" t="s">
        <v>126</v>
      </c>
    </row>
    <row r="115">
      <c r="A115" s="1"/>
      <c r="B115" s="1" t="s">
        <v>153</v>
      </c>
      <c r="C115" s="9">
        <v>94</v>
      </c>
      <c r="D115" s="22">
        <f>D54</f>
        <v>81</v>
      </c>
      <c r="E115" s="22">
        <f>E54</f>
        <v>83</v>
      </c>
      <c r="F115" s="22">
        <f>F54</f>
        <v>57</v>
      </c>
      <c r="G115" s="22">
        <f>E139+F139+C115+D115</f>
        <v>331</v>
      </c>
      <c r="H115" s="37">
        <f>H54</f>
        <v>55</v>
      </c>
      <c r="I115" s="13"/>
    </row>
    <row r="116">
      <c r="A116" s="1"/>
      <c r="B116" s="15" t="s">
        <v>728</v>
      </c>
      <c r="C116" s="11" t="s">
        <v>44</v>
      </c>
      <c r="D116" s="11" t="s">
        <v>44</v>
      </c>
      <c r="E116" s="11" t="s">
        <v>44</v>
      </c>
      <c r="F116" s="11" t="s">
        <v>44</v>
      </c>
      <c r="G116" s="11" t="s">
        <v>44</v>
      </c>
      <c r="H116" s="50" t="s">
        <v>44</v>
      </c>
      <c r="I116" s="13" t="s">
        <v>121</v>
      </c>
    </row>
    <row r="117">
      <c r="A117" s="1"/>
      <c r="B117" s="15" t="s">
        <v>131</v>
      </c>
      <c r="C117" s="5">
        <f>C115-F139</f>
        <v>14</v>
      </c>
      <c r="D117" s="5">
        <f>D115-C115</f>
        <v>-13</v>
      </c>
      <c r="E117" s="5">
        <f>E115-D115</f>
        <v>2</v>
      </c>
      <c r="F117" s="5">
        <f>F115-E115</f>
        <v>-26</v>
      </c>
      <c r="G117" s="5" t="s">
        <v>44</v>
      </c>
      <c r="H117" s="21">
        <f>H115-F115</f>
        <v>-2</v>
      </c>
      <c r="I117" s="13"/>
    </row>
    <row r="118">
      <c r="A118" s="1"/>
      <c r="B118" s="15" t="s">
        <v>178</v>
      </c>
      <c r="C118" s="11" t="s">
        <v>44</v>
      </c>
      <c r="D118" s="11" t="s">
        <v>44</v>
      </c>
      <c r="E118" s="11" t="s">
        <v>44</v>
      </c>
      <c r="F118" s="11" t="s">
        <v>44</v>
      </c>
      <c r="G118" s="11" t="s">
        <v>44</v>
      </c>
      <c r="H118" s="50" t="s">
        <v>44</v>
      </c>
      <c r="I118" s="13" t="s">
        <v>124</v>
      </c>
    </row>
    <row r="119">
      <c r="A119" s="1"/>
      <c r="B119" s="15" t="s">
        <v>179</v>
      </c>
      <c r="C119" s="11" t="s">
        <v>44</v>
      </c>
      <c r="D119" s="11" t="s">
        <v>44</v>
      </c>
      <c r="E119" s="11" t="s">
        <v>44</v>
      </c>
      <c r="F119" s="11" t="s">
        <v>44</v>
      </c>
      <c r="G119" s="11" t="s">
        <v>44</v>
      </c>
      <c r="H119" s="50" t="s">
        <v>44</v>
      </c>
      <c r="I119" s="13" t="s">
        <v>125</v>
      </c>
    </row>
    <row r="120" ht="24">
      <c r="A120" s="1"/>
      <c r="B120" s="57" t="s">
        <v>180</v>
      </c>
      <c r="C120" s="11" t="s">
        <v>44</v>
      </c>
      <c r="D120" s="11" t="s">
        <v>44</v>
      </c>
      <c r="E120" s="11" t="s">
        <v>44</v>
      </c>
      <c r="F120" s="11" t="s">
        <v>44</v>
      </c>
      <c r="G120" s="11" t="s">
        <v>44</v>
      </c>
      <c r="H120" s="50" t="s">
        <v>44</v>
      </c>
      <c r="I120" s="13" t="s">
        <v>126</v>
      </c>
    </row>
    <row r="121">
      <c r="A121" s="1"/>
      <c r="B121" s="45" t="s">
        <v>730</v>
      </c>
      <c r="C121" s="29">
        <f>C91+C97+C103+C109+C115</f>
        <v>9229</v>
      </c>
      <c r="D121" s="29">
        <f>D91+D97+D103+D109+D115</f>
        <v>9745</v>
      </c>
      <c r="E121" s="29">
        <f>E91+E97+E103+E109+E115</f>
        <v>8721</v>
      </c>
      <c r="F121" s="29">
        <f>F91+F97+F103+F109+F115</f>
        <v>8972</v>
      </c>
      <c r="G121" s="29">
        <f>G91+G97+G103+G109+G115</f>
        <v>37675</v>
      </c>
      <c r="H121" s="47">
        <f>H91+H97+H103+H109+H115</f>
        <v>9268.006513999999</v>
      </c>
      <c r="I121" s="13"/>
    </row>
    <row r="122">
      <c r="A122" s="1"/>
      <c r="B122" s="15" t="s">
        <v>731</v>
      </c>
      <c r="C122" s="11">
        <f>IFERROR(C121/C140-1,"n/a")</f>
        <v>-0.07839025364489716</v>
      </c>
      <c r="D122" s="11">
        <f>IFERROR(D121/D140-1,"n/a")</f>
        <v>-0.039333596214511046</v>
      </c>
      <c r="E122" s="11">
        <f>IFERROR(E121/E140-1,"n/a")</f>
        <v>-0.06256046436633345</v>
      </c>
      <c r="F122" s="11">
        <f>IFERROR(F121/F140-1,"n/a")</f>
        <v>-0.04532879336028939</v>
      </c>
      <c r="G122" s="11" t="s">
        <v>44</v>
      </c>
      <c r="H122" s="50">
        <f>IFERROR(H121/H140-1,"n/a")</f>
        <v>0.004226515765521688</v>
      </c>
      <c r="I122" s="13" t="s">
        <v>204</v>
      </c>
    </row>
    <row r="123">
      <c r="A123" s="1"/>
      <c r="B123" s="15" t="s">
        <v>123</v>
      </c>
      <c r="C123" s="5">
        <f>C121-F140</f>
        <v>-169</v>
      </c>
      <c r="D123" s="5">
        <f>D121-C121</f>
        <v>516</v>
      </c>
      <c r="E123" s="5">
        <f>E121-D121</f>
        <v>-1024</v>
      </c>
      <c r="F123" s="5">
        <f>F121-E121</f>
        <v>251</v>
      </c>
      <c r="G123" s="5" t="s">
        <v>44</v>
      </c>
      <c r="H123" s="21">
        <f>H121-F121</f>
        <v>296.0065139999988</v>
      </c>
      <c r="I123" s="13"/>
    </row>
    <row r="124">
      <c r="A124" s="1"/>
      <c r="B124" s="1"/>
      <c r="C124" s="1"/>
      <c r="D124" s="1"/>
      <c r="E124" s="1"/>
      <c r="F124" s="1"/>
      <c r="G124" s="1"/>
      <c r="H124" s="53"/>
      <c r="I124" s="13"/>
    </row>
    <row r="125">
      <c r="A125" s="1"/>
      <c r="B125" s="41" t="s">
        <v>155</v>
      </c>
      <c r="C125" s="1"/>
      <c r="D125" s="1"/>
      <c r="E125" s="1"/>
      <c r="F125" s="1"/>
      <c r="G125" s="1"/>
      <c r="H125" s="53"/>
      <c r="I125" s="13" t="s">
        <v>156</v>
      </c>
    </row>
    <row r="126" ht="24">
      <c r="A126" s="1"/>
      <c r="B126" s="4" t="s">
        <v>732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37">
        <f>C10</f>
        <v>387</v>
      </c>
      <c r="I126" s="13"/>
    </row>
    <row r="127" ht="24">
      <c r="A127" s="1"/>
      <c r="B127" s="4" t="s">
        <v>733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37">
        <f>C13</f>
        <v>171</v>
      </c>
      <c r="I127" s="13"/>
    </row>
    <row r="128">
      <c r="A128" s="1"/>
      <c r="B128" s="1" t="s">
        <v>239</v>
      </c>
      <c r="C128" s="9">
        <v>1687</v>
      </c>
      <c r="D128" s="9">
        <v>1752</v>
      </c>
      <c r="E128" s="9">
        <v>1719</v>
      </c>
      <c r="F128" s="9">
        <v>1655</v>
      </c>
      <c r="G128" s="9">
        <v>6680</v>
      </c>
      <c r="H128" s="37">
        <f>C18</f>
        <v>1930</v>
      </c>
      <c r="I128" s="13"/>
    </row>
    <row r="129">
      <c r="A129" s="1"/>
      <c r="B129" s="1" t="s">
        <v>734</v>
      </c>
      <c r="C129" s="9">
        <v>1689</v>
      </c>
      <c r="D129" s="9">
        <v>1634</v>
      </c>
      <c r="E129" s="9">
        <v>1495</v>
      </c>
      <c r="F129" s="9">
        <v>1492</v>
      </c>
      <c r="G129" s="9">
        <v>6719</v>
      </c>
      <c r="H129" s="37">
        <f>C28</f>
        <v>1482</v>
      </c>
      <c r="I129" s="13"/>
    </row>
    <row r="130" ht="34.5">
      <c r="A130" s="1"/>
      <c r="B130" s="4" t="s">
        <v>735</v>
      </c>
      <c r="C130" s="9">
        <v>2434</v>
      </c>
      <c r="D130" s="9">
        <v>2472</v>
      </c>
      <c r="E130" s="9">
        <v>2235</v>
      </c>
      <c r="F130" s="9">
        <v>2369</v>
      </c>
      <c r="G130" s="9">
        <v>9670</v>
      </c>
      <c r="H130" s="37">
        <f>C37</f>
        <v>2434</v>
      </c>
      <c r="I130" s="13"/>
    </row>
    <row r="131" ht="24">
      <c r="A131" s="1"/>
      <c r="B131" s="4" t="s">
        <v>736</v>
      </c>
      <c r="C131" s="9">
        <v>3302</v>
      </c>
      <c r="D131" s="9">
        <v>3376</v>
      </c>
      <c r="E131" s="9">
        <v>2997</v>
      </c>
      <c r="F131" s="9">
        <v>2986</v>
      </c>
      <c r="G131" s="9">
        <v>13026</v>
      </c>
      <c r="H131" s="37">
        <f>C46</f>
        <v>3000</v>
      </c>
      <c r="I131" s="13"/>
    </row>
    <row r="132" ht="24">
      <c r="A132" s="1"/>
      <c r="B132" s="4" t="s">
        <v>163</v>
      </c>
      <c r="C132" s="9">
        <v>47</v>
      </c>
      <c r="D132" s="9">
        <v>50</v>
      </c>
      <c r="E132" s="9">
        <v>44</v>
      </c>
      <c r="F132" s="9">
        <v>44</v>
      </c>
      <c r="G132" s="9">
        <v>194</v>
      </c>
      <c r="H132" s="37">
        <f>C54</f>
        <v>82</v>
      </c>
      <c r="I132" s="13"/>
    </row>
    <row r="133">
      <c r="A133" s="1"/>
      <c r="B133" s="1" t="s">
        <v>165</v>
      </c>
      <c r="C133" s="16">
        <f>'Revenue summary'!C112</f>
        <v>9159</v>
      </c>
      <c r="D133" s="16">
        <f>'Revenue summary'!D112</f>
        <v>9284</v>
      </c>
      <c r="E133" s="16">
        <f>'Revenue summary'!E112</f>
        <v>8490</v>
      </c>
      <c r="F133" s="16">
        <f>'Revenue summary'!F112</f>
        <v>8546</v>
      </c>
      <c r="G133" s="16">
        <f>'Revenue summary'!G112</f>
        <v>36289</v>
      </c>
      <c r="H133" s="37">
        <f>C60</f>
        <v>8928</v>
      </c>
      <c r="I133" s="13"/>
    </row>
    <row r="134">
      <c r="A134" s="1"/>
      <c r="B134" s="1" t="s">
        <v>241</v>
      </c>
      <c r="C134" s="22">
        <f>C129+C130+C131</f>
        <v>7425</v>
      </c>
      <c r="D134" s="22">
        <f>D129+D130+D131</f>
        <v>7482</v>
      </c>
      <c r="E134" s="22">
        <f>E129+E130+E131</f>
        <v>6727</v>
      </c>
      <c r="F134" s="22">
        <f>F129+F130+F131</f>
        <v>6847</v>
      </c>
      <c r="G134" s="22">
        <f>G129+G130+G131</f>
        <v>29415</v>
      </c>
      <c r="H134" s="37">
        <f>C64</f>
        <v>6916</v>
      </c>
      <c r="I134" s="13"/>
    </row>
    <row r="135">
      <c r="A135" s="1"/>
      <c r="B135" s="1" t="s">
        <v>239</v>
      </c>
      <c r="C135" s="9">
        <v>2240</v>
      </c>
      <c r="D135" s="9">
        <v>2298</v>
      </c>
      <c r="E135" s="9">
        <v>2258</v>
      </c>
      <c r="F135" s="9">
        <v>2219</v>
      </c>
      <c r="G135" s="22"/>
      <c r="H135" s="37">
        <f>C91</f>
        <v>2134</v>
      </c>
      <c r="I135" s="13"/>
    </row>
    <row r="136">
      <c r="A136" s="1"/>
      <c r="B136" s="1" t="s">
        <v>734</v>
      </c>
      <c r="C136" s="9">
        <v>1758</v>
      </c>
      <c r="D136" s="9">
        <v>1704</v>
      </c>
      <c r="E136" s="9">
        <v>1561</v>
      </c>
      <c r="F136" s="9">
        <v>1568</v>
      </c>
      <c r="G136" s="22"/>
      <c r="H136" s="37">
        <f>C97</f>
        <v>1507</v>
      </c>
      <c r="I136" s="13"/>
    </row>
    <row r="137">
      <c r="A137" s="1"/>
      <c r="B137" s="1" t="s">
        <v>737</v>
      </c>
      <c r="C137" s="9">
        <v>2535</v>
      </c>
      <c r="D137" s="9">
        <v>2563</v>
      </c>
      <c r="E137" s="9">
        <v>2315</v>
      </c>
      <c r="F137" s="9">
        <v>2456</v>
      </c>
      <c r="G137" s="22"/>
      <c r="H137" s="37">
        <f>C103</f>
        <v>2462</v>
      </c>
      <c r="I137" s="13"/>
    </row>
    <row r="138" ht="24">
      <c r="A138" s="1"/>
      <c r="B138" s="4" t="s">
        <v>736</v>
      </c>
      <c r="C138" s="9">
        <v>3398</v>
      </c>
      <c r="D138" s="9">
        <v>3490</v>
      </c>
      <c r="E138" s="9">
        <v>3093</v>
      </c>
      <c r="F138" s="9">
        <v>3075</v>
      </c>
      <c r="G138" s="22"/>
      <c r="H138" s="37">
        <f>C109</f>
        <v>3032</v>
      </c>
      <c r="I138" s="13"/>
    </row>
    <row r="139" ht="24">
      <c r="A139" s="1"/>
      <c r="B139" s="4" t="s">
        <v>163</v>
      </c>
      <c r="C139" s="9">
        <v>83</v>
      </c>
      <c r="D139" s="9">
        <v>89</v>
      </c>
      <c r="E139" s="9">
        <v>76</v>
      </c>
      <c r="F139" s="9">
        <v>80</v>
      </c>
      <c r="G139" s="22"/>
      <c r="H139" s="37">
        <f>C115</f>
        <v>94</v>
      </c>
      <c r="I139" s="13"/>
    </row>
    <row r="140" ht="24">
      <c r="A140" s="1"/>
      <c r="B140" s="4" t="s">
        <v>738</v>
      </c>
      <c r="C140" s="22">
        <f>C135+C136+C137+C138+C139</f>
        <v>10014</v>
      </c>
      <c r="D140" s="22">
        <f>D135+D136+D137+D138+D139</f>
        <v>10144</v>
      </c>
      <c r="E140" s="22">
        <f>E135+E136+E137+E138+E139</f>
        <v>9303</v>
      </c>
      <c r="F140" s="22">
        <f>F135+F136+F137+F138+F139</f>
        <v>9398</v>
      </c>
      <c r="G140" s="22"/>
      <c r="H140" s="37">
        <f>C121</f>
        <v>9229</v>
      </c>
      <c r="I140" s="13"/>
    </row>
    <row r="141">
      <c r="A141" s="1"/>
      <c r="B141" s="1"/>
      <c r="C141" s="1"/>
      <c r="D141" s="1"/>
      <c r="E141" s="1"/>
      <c r="F141" s="1"/>
      <c r="G141" s="1"/>
      <c r="H141" s="1"/>
      <c r="I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</row>
  </sheetData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5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51" t="s">
        <v>1</v>
      </c>
      <c r="C2" s="1"/>
      <c r="D2" s="1"/>
      <c r="E2" s="1"/>
      <c r="F2" s="1"/>
      <c r="G2" s="1"/>
      <c r="H2" s="1"/>
      <c r="I2" s="1"/>
    </row>
    <row r="3">
      <c r="A3" s="1"/>
      <c r="B3" s="33" t="s">
        <v>739</v>
      </c>
      <c r="C3" s="1"/>
      <c r="D3" s="1"/>
      <c r="E3" s="1"/>
      <c r="F3" s="1"/>
      <c r="G3" s="1"/>
      <c r="H3" s="1"/>
      <c r="I3" s="1"/>
    </row>
    <row r="4">
      <c r="A4" s="1"/>
      <c r="B4" s="15" t="s">
        <v>3</v>
      </c>
      <c r="C4" s="1"/>
      <c r="D4" s="1"/>
      <c r="E4" s="1"/>
      <c r="F4" s="1"/>
      <c r="G4" s="1"/>
      <c r="H4" s="1"/>
      <c r="I4" s="1"/>
    </row>
    <row r="5">
      <c r="A5" s="1"/>
      <c r="B5" s="4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58" t="s">
        <v>10</v>
      </c>
      <c r="I5" s="46" t="s">
        <v>99</v>
      </c>
    </row>
    <row r="6">
      <c r="A6" s="1"/>
      <c r="B6" s="34" t="s">
        <v>11</v>
      </c>
      <c r="C6" s="18">
        <f>DATE(2025,9,30)</f>
        <v>45930</v>
      </c>
      <c r="D6" s="18">
        <f>DATE(2025,12,31)</f>
        <v>46022</v>
      </c>
      <c r="E6" s="18">
        <f>DATE(2026,3,31)</f>
        <v>46112</v>
      </c>
      <c r="F6" s="18">
        <f>DATE(2026,6,30)</f>
        <v>46203</v>
      </c>
      <c r="G6" s="18">
        <f>DATE(2025,12,31)</f>
        <v>46022</v>
      </c>
      <c r="H6" s="55">
        <f>DATE(2026,9,30)</f>
        <v>46295</v>
      </c>
      <c r="I6" s="34"/>
    </row>
    <row r="7">
      <c r="A7" s="1"/>
      <c r="B7" s="12" t="s">
        <v>12</v>
      </c>
      <c r="C7" s="6">
        <f>C6-EOMONTH(C6,-3)</f>
        <v>92</v>
      </c>
      <c r="D7" s="6">
        <f>D6-EOMONTH(D6,-3)</f>
        <v>92</v>
      </c>
      <c r="E7" s="6">
        <f>E6-EOMONTH(E6,-3)</f>
        <v>90</v>
      </c>
      <c r="F7" s="6">
        <f>F6-EOMONTH(F6,-3)</f>
        <v>91</v>
      </c>
      <c r="G7" s="6">
        <f>G6-EOMONTH(G6,-12)</f>
        <v>365</v>
      </c>
      <c r="H7" s="17">
        <f>H6-EOMONTH(H6,-3)</f>
        <v>92</v>
      </c>
      <c r="I7" s="12"/>
    </row>
    <row r="8">
      <c r="A8" s="1"/>
      <c r="B8" s="1"/>
      <c r="C8" s="1"/>
      <c r="D8" s="1"/>
      <c r="E8" s="1"/>
      <c r="F8" s="1"/>
      <c r="G8" s="1"/>
      <c r="H8" s="53"/>
      <c r="I8" s="1"/>
    </row>
    <row r="9">
      <c r="A9" s="1"/>
      <c r="B9" s="41" t="s">
        <v>740</v>
      </c>
      <c r="C9" s="1"/>
      <c r="D9" s="1"/>
      <c r="E9" s="1"/>
      <c r="F9" s="1"/>
      <c r="G9" s="1"/>
      <c r="H9" s="53"/>
      <c r="I9" s="13"/>
    </row>
    <row r="10">
      <c r="A10" s="1"/>
      <c r="B10" s="1" t="s">
        <v>741</v>
      </c>
      <c r="C10" s="9">
        <v>1351</v>
      </c>
      <c r="D10" s="22">
        <f>C17</f>
        <v>1494</v>
      </c>
      <c r="E10" s="22">
        <f>D17</f>
        <v>1495</v>
      </c>
      <c r="F10" s="22">
        <f>E17</f>
        <v>1495</v>
      </c>
      <c r="G10" s="9">
        <v>1401</v>
      </c>
      <c r="H10" s="37">
        <f>F17</f>
        <v>1484</v>
      </c>
      <c r="I10" s="13"/>
    </row>
    <row r="11" ht="24">
      <c r="A11" s="1"/>
      <c r="B11" s="4" t="s">
        <v>742</v>
      </c>
      <c r="C11" s="9">
        <v>141</v>
      </c>
      <c r="D11" s="9">
        <v>0</v>
      </c>
      <c r="E11" s="9">
        <v>0</v>
      </c>
      <c r="F11" s="9">
        <v>0</v>
      </c>
      <c r="G11" s="22">
        <f>C11+D11</f>
        <v>141</v>
      </c>
      <c r="H11" s="8">
        <v>0</v>
      </c>
      <c r="I11" s="13"/>
    </row>
    <row r="12">
      <c r="A12" s="1"/>
      <c r="B12" s="1" t="s">
        <v>743</v>
      </c>
      <c r="C12" s="9">
        <v>4</v>
      </c>
      <c r="D12" s="9">
        <v>0</v>
      </c>
      <c r="E12" s="9">
        <v>4</v>
      </c>
      <c r="F12" s="9">
        <v>0</v>
      </c>
      <c r="G12" s="22" t="s">
        <v>44</v>
      </c>
      <c r="H12" s="8">
        <v>4</v>
      </c>
      <c r="I12" s="13" t="s">
        <v>744</v>
      </c>
    </row>
    <row r="13" ht="24">
      <c r="A13" s="1"/>
      <c r="B13" s="4" t="s">
        <v>745</v>
      </c>
      <c r="C13" s="9">
        <v>0</v>
      </c>
      <c r="D13" s="9">
        <v>0</v>
      </c>
      <c r="E13" s="9">
        <v>2</v>
      </c>
      <c r="F13" s="9">
        <v>1</v>
      </c>
      <c r="G13" s="22" t="s">
        <v>44</v>
      </c>
      <c r="H13" s="8">
        <v>1</v>
      </c>
      <c r="I13" s="13"/>
    </row>
    <row r="14">
      <c r="A14" s="1"/>
      <c r="B14" s="1" t="s">
        <v>746</v>
      </c>
      <c r="C14" s="9">
        <v>1</v>
      </c>
      <c r="D14" s="9">
        <v>1</v>
      </c>
      <c r="E14" s="9">
        <v>3</v>
      </c>
      <c r="F14" s="9">
        <v>0</v>
      </c>
      <c r="G14" s="22" t="s">
        <v>44</v>
      </c>
      <c r="H14" s="8">
        <v>0</v>
      </c>
      <c r="I14" s="13"/>
    </row>
    <row r="15" ht="24">
      <c r="A15" s="1"/>
      <c r="B15" s="4" t="s">
        <v>747</v>
      </c>
      <c r="C15" s="9">
        <v>-3</v>
      </c>
      <c r="D15" s="9">
        <v>0</v>
      </c>
      <c r="E15" s="9">
        <v>-9</v>
      </c>
      <c r="F15" s="9">
        <v>-12</v>
      </c>
      <c r="G15" s="9">
        <v>-60</v>
      </c>
      <c r="H15" s="37">
        <f>-H23/H24</f>
        <v>-13.131313131313131</v>
      </c>
      <c r="I15" s="13"/>
    </row>
    <row r="16" ht="24">
      <c r="A16" s="1"/>
      <c r="B16" s="4" t="s">
        <v>748</v>
      </c>
      <c r="C16" s="22" t="s">
        <v>44</v>
      </c>
      <c r="D16" s="22" t="s">
        <v>44</v>
      </c>
      <c r="E16" s="22" t="s">
        <v>44</v>
      </c>
      <c r="F16" s="22" t="s">
        <v>44</v>
      </c>
      <c r="G16" s="22">
        <f>G17-G10-G11-G15</f>
        <v>13</v>
      </c>
      <c r="H16" s="37" t="s">
        <v>44</v>
      </c>
      <c r="I16" s="13" t="s">
        <v>749</v>
      </c>
    </row>
    <row r="17">
      <c r="A17" s="1"/>
      <c r="B17" s="45" t="s">
        <v>750</v>
      </c>
      <c r="C17" s="29">
        <f>C10+C11+C12+C13+C14+C15</f>
        <v>1494</v>
      </c>
      <c r="D17" s="29">
        <f>D10+D11+D12+D13+D14+D15</f>
        <v>1495</v>
      </c>
      <c r="E17" s="29">
        <f>E10+E11+E12+E13+E14+E15</f>
        <v>1495</v>
      </c>
      <c r="F17" s="29">
        <f>F10+F11+F12+F13+F14+F15</f>
        <v>1484</v>
      </c>
      <c r="G17" s="29">
        <f>D17</f>
        <v>1495</v>
      </c>
      <c r="H17" s="47">
        <f>H10+H11+H12+H13+H14+H15</f>
        <v>1475.8686868686868</v>
      </c>
      <c r="I17" s="13"/>
    </row>
    <row r="18" ht="24">
      <c r="A18" s="1"/>
      <c r="B18" s="4" t="s">
        <v>751</v>
      </c>
      <c r="C18" s="9">
        <v>1494</v>
      </c>
      <c r="D18" s="9">
        <v>1495</v>
      </c>
      <c r="E18" s="9">
        <v>1495</v>
      </c>
      <c r="F18" s="9">
        <v>1484</v>
      </c>
      <c r="G18" s="9">
        <v>1495</v>
      </c>
      <c r="H18" s="37" t="s">
        <v>44</v>
      </c>
      <c r="I18" s="13"/>
    </row>
    <row r="19" ht="24">
      <c r="A19" s="1"/>
      <c r="B19" s="4" t="s">
        <v>752</v>
      </c>
      <c r="C19" s="38" t="b">
        <f>ROUND(C17-C18,6)=0</f>
        <v>1</v>
      </c>
      <c r="D19" s="38" t="b">
        <f>ROUND(D17-D18,6)=0</f>
        <v>1</v>
      </c>
      <c r="E19" s="38" t="b">
        <f>ROUND(E17-E18,6)=0</f>
        <v>1</v>
      </c>
      <c r="F19" s="38" t="b">
        <f>ROUND(F17-F18,6)=0</f>
        <v>1</v>
      </c>
      <c r="G19" s="38" t="b">
        <f>ROUND(G17-G18,6)=0</f>
        <v>1</v>
      </c>
      <c r="H19" s="68" t="s">
        <v>44</v>
      </c>
      <c r="I19" s="13"/>
    </row>
    <row r="20">
      <c r="A20" s="1"/>
      <c r="B20" s="15" t="s">
        <v>753</v>
      </c>
      <c r="C20" s="5">
        <f>C17-C10</f>
        <v>143</v>
      </c>
      <c r="D20" s="5">
        <f>D17-C17</f>
        <v>1</v>
      </c>
      <c r="E20" s="5">
        <f>E17-D17</f>
        <v>0</v>
      </c>
      <c r="F20" s="5">
        <f>F17-E17</f>
        <v>-11</v>
      </c>
      <c r="G20" s="5" t="s">
        <v>44</v>
      </c>
      <c r="H20" s="21">
        <f>H17-F17</f>
        <v>-8.131313131313163</v>
      </c>
      <c r="I20" s="13"/>
    </row>
    <row r="21">
      <c r="A21" s="1"/>
      <c r="B21" s="15" t="s">
        <v>754</v>
      </c>
      <c r="C21" s="5" t="s">
        <v>44</v>
      </c>
      <c r="D21" s="5">
        <f>D17-G10</f>
        <v>94</v>
      </c>
      <c r="E21" s="5" t="s">
        <v>44</v>
      </c>
      <c r="F21" s="5">
        <f>F17-C10</f>
        <v>133</v>
      </c>
      <c r="G21" s="5">
        <f>G17-G10</f>
        <v>94</v>
      </c>
      <c r="H21" s="21">
        <f>H17-C17</f>
        <v>-18.131313131313163</v>
      </c>
      <c r="I21" s="13" t="s">
        <v>755</v>
      </c>
    </row>
    <row r="22">
      <c r="A22" s="1"/>
      <c r="B22" s="41" t="s">
        <v>756</v>
      </c>
      <c r="C22" s="1"/>
      <c r="D22" s="1"/>
      <c r="E22" s="1"/>
      <c r="F22" s="1"/>
      <c r="G22" s="1"/>
      <c r="H22" s="53"/>
      <c r="I22" s="13"/>
    </row>
    <row r="23">
      <c r="A23" s="1"/>
      <c r="B23" s="1" t="s">
        <v>757</v>
      </c>
      <c r="C23" s="16">
        <f>-'Cash Flow Statement'!C88</f>
        <v>114</v>
      </c>
      <c r="D23" s="16">
        <f>-'Cash Flow Statement'!D88</f>
        <v>0</v>
      </c>
      <c r="E23" s="16">
        <f>-'Cash Flow Statement'!E88</f>
        <v>451</v>
      </c>
      <c r="F23" s="16">
        <f>-'Cash Flow Statement'!F88</f>
        <v>648</v>
      </c>
      <c r="G23" s="16">
        <f>-'Cash Flow Statement'!G88</f>
        <v>2414</v>
      </c>
      <c r="H23" s="8">
        <v>650</v>
      </c>
      <c r="I23" s="13" t="s">
        <v>758</v>
      </c>
    </row>
    <row r="24" ht="24">
      <c r="A24" s="1"/>
      <c r="B24" s="4" t="s">
        <v>759</v>
      </c>
      <c r="C24" s="43">
        <f>IFERROR(-C23/C15,"n/a")</f>
        <v>38</v>
      </c>
      <c r="D24" s="43" t="str">
        <f>IFERROR(-D23/D15,"n/a")</f>
        <v>n/a</v>
      </c>
      <c r="E24" s="43">
        <f>IFERROR(-E23/E15,"n/a")</f>
        <v>50.111111111111114</v>
      </c>
      <c r="F24" s="43">
        <f>IFERROR(-F23/F15,"n/a")</f>
        <v>54</v>
      </c>
      <c r="G24" s="43">
        <f>IFERROR(-G23/G15,"n/a")</f>
        <v>40.233333333333334</v>
      </c>
      <c r="H24" s="65">
        <f>Inputs!$C$101</f>
        <v>49.5</v>
      </c>
      <c r="I24" s="13" t="s">
        <v>760</v>
      </c>
    </row>
    <row r="25">
      <c r="A25" s="1"/>
      <c r="B25" s="15" t="s">
        <v>761</v>
      </c>
      <c r="C25" s="5" t="s">
        <v>44</v>
      </c>
      <c r="D25" s="5">
        <f>D23-C23</f>
        <v>-114</v>
      </c>
      <c r="E25" s="5">
        <f>E23-D23</f>
        <v>451</v>
      </c>
      <c r="F25" s="5">
        <f>F23-E23</f>
        <v>197</v>
      </c>
      <c r="G25" s="5" t="s">
        <v>44</v>
      </c>
      <c r="H25" s="21">
        <f>H23-F23</f>
        <v>2</v>
      </c>
      <c r="I25" s="13"/>
    </row>
    <row r="26">
      <c r="A26" s="1"/>
      <c r="B26" s="15" t="s">
        <v>762</v>
      </c>
      <c r="C26" s="35">
        <f>C23+'Cash Flow Statement'!C166</f>
        <v>-387</v>
      </c>
      <c r="D26" s="35">
        <f>D23+'Cash Flow Statement'!D166</f>
        <v>-501</v>
      </c>
      <c r="E26" s="35">
        <f>E23+'Cash Flow Statement'!E166</f>
        <v>-1849</v>
      </c>
      <c r="F26" s="35">
        <f>F23+'Cash Flow Statement'!F166</f>
        <v>648</v>
      </c>
      <c r="G26" s="35">
        <f>G23+'Cash Flow Statement'!G166</f>
        <v>677</v>
      </c>
      <c r="H26" s="21">
        <f>H23-C23</f>
        <v>536</v>
      </c>
      <c r="I26" s="13"/>
    </row>
    <row r="27">
      <c r="A27" s="1"/>
      <c r="B27" s="15" t="s">
        <v>763</v>
      </c>
      <c r="C27" s="10" t="s">
        <v>44</v>
      </c>
      <c r="D27" s="10" t="s">
        <v>44</v>
      </c>
      <c r="E27" s="10" t="s">
        <v>44</v>
      </c>
      <c r="F27" s="10">
        <f>F24-E24</f>
        <v>3.8888888888888857</v>
      </c>
      <c r="G27" s="10" t="s">
        <v>44</v>
      </c>
      <c r="H27" s="19">
        <f>H24-F24</f>
        <v>-4.5</v>
      </c>
      <c r="I27" s="13" t="s">
        <v>764</v>
      </c>
    </row>
    <row r="28" ht="24">
      <c r="A28" s="1"/>
      <c r="B28" s="4" t="s">
        <v>765</v>
      </c>
      <c r="C28" s="44">
        <v>0.285</v>
      </c>
      <c r="D28" s="44">
        <v>0.285</v>
      </c>
      <c r="E28" s="44">
        <v>0.295</v>
      </c>
      <c r="F28" s="44">
        <v>0.295</v>
      </c>
      <c r="G28" s="44">
        <v>1.14</v>
      </c>
      <c r="H28" s="27">
        <v>0.295</v>
      </c>
      <c r="I28" s="13"/>
    </row>
    <row r="29">
      <c r="A29" s="1"/>
      <c r="B29" s="15" t="s">
        <v>763</v>
      </c>
      <c r="C29" s="10" t="s">
        <v>44</v>
      </c>
      <c r="D29" s="10">
        <f>D28-C28</f>
        <v>0</v>
      </c>
      <c r="E29" s="10">
        <f>E28-D28</f>
        <v>0.010000000000000009</v>
      </c>
      <c r="F29" s="10">
        <f>F28-E28</f>
        <v>0</v>
      </c>
      <c r="G29" s="10" t="s">
        <v>44</v>
      </c>
      <c r="H29" s="19">
        <f>H28-F28</f>
        <v>0</v>
      </c>
      <c r="I29" s="13" t="s">
        <v>766</v>
      </c>
    </row>
    <row r="30">
      <c r="A30" s="1"/>
      <c r="B30" s="15" t="s">
        <v>767</v>
      </c>
      <c r="C30" s="10" t="s">
        <v>44</v>
      </c>
      <c r="D30" s="10" t="s">
        <v>44</v>
      </c>
      <c r="E30" s="10" t="s">
        <v>44</v>
      </c>
      <c r="F30" s="10" t="s">
        <v>44</v>
      </c>
      <c r="G30" s="10" t="s">
        <v>44</v>
      </c>
      <c r="H30" s="19">
        <f>H28-C28</f>
        <v>0.010000000000000009</v>
      </c>
      <c r="I30" s="13" t="s">
        <v>768</v>
      </c>
    </row>
    <row r="31" ht="34.5">
      <c r="A31" s="1"/>
      <c r="B31" s="4" t="s">
        <v>769</v>
      </c>
      <c r="C31" s="22" t="s">
        <v>44</v>
      </c>
      <c r="D31" s="22" t="s">
        <v>44</v>
      </c>
      <c r="E31" s="22" t="s">
        <v>44</v>
      </c>
      <c r="F31" s="22" t="s">
        <v>44</v>
      </c>
      <c r="G31" s="22" t="s">
        <v>44</v>
      </c>
      <c r="H31" s="37">
        <f>H28*H17</f>
        <v>435.3812626262626</v>
      </c>
      <c r="I31" s="13" t="s">
        <v>770</v>
      </c>
    </row>
    <row r="32">
      <c r="A32" s="1"/>
      <c r="B32" s="41" t="s">
        <v>771</v>
      </c>
      <c r="C32" s="1"/>
      <c r="D32" s="1"/>
      <c r="E32" s="1"/>
      <c r="F32" s="1"/>
      <c r="G32" s="1"/>
      <c r="H32" s="53"/>
      <c r="I32" s="13"/>
    </row>
    <row r="33" ht="34.5">
      <c r="A33" s="1"/>
      <c r="B33" s="57" t="s">
        <v>772</v>
      </c>
      <c r="C33" s="11" t="s">
        <v>44</v>
      </c>
      <c r="D33" s="11" t="s">
        <v>44</v>
      </c>
      <c r="E33" s="11" t="s">
        <v>44</v>
      </c>
      <c r="F33" s="11" t="s">
        <v>44</v>
      </c>
      <c r="G33" s="11" t="s">
        <v>44</v>
      </c>
      <c r="H33" s="66">
        <v>0.5</v>
      </c>
      <c r="I33" s="13" t="s">
        <v>773</v>
      </c>
    </row>
    <row r="34" ht="24">
      <c r="A34" s="1"/>
      <c r="B34" s="4" t="s">
        <v>774</v>
      </c>
      <c r="C34" s="9">
        <v>1471</v>
      </c>
      <c r="D34" s="9">
        <v>1495</v>
      </c>
      <c r="E34" s="9">
        <v>1499</v>
      </c>
      <c r="F34" s="9">
        <v>1490</v>
      </c>
      <c r="G34" s="9">
        <v>1421</v>
      </c>
      <c r="H34" s="37">
        <f>H10+H33*(H17-H10)</f>
        <v>1479.9343434343434</v>
      </c>
      <c r="I34" s="13" t="s">
        <v>775</v>
      </c>
    </row>
    <row r="35">
      <c r="A35" s="1"/>
      <c r="B35" s="15" t="s">
        <v>754</v>
      </c>
      <c r="C35" s="5">
        <f>C34-C53</f>
        <v>54</v>
      </c>
      <c r="D35" s="5">
        <f>D34-D53</f>
        <v>89</v>
      </c>
      <c r="E35" s="5">
        <f>E34-E53</f>
        <v>133</v>
      </c>
      <c r="F35" s="5">
        <f>F34-F53</f>
        <v>138</v>
      </c>
      <c r="G35" s="5">
        <f>G34-G53</f>
        <v>0</v>
      </c>
      <c r="H35" s="21">
        <f>H34-H53</f>
        <v>8.934343434343418</v>
      </c>
      <c r="I35" s="13"/>
    </row>
    <row r="36">
      <c r="A36" s="1"/>
      <c r="B36" s="15" t="s">
        <v>776</v>
      </c>
      <c r="C36" s="5" t="s">
        <v>44</v>
      </c>
      <c r="D36" s="5">
        <f>D34-C34</f>
        <v>24</v>
      </c>
      <c r="E36" s="5">
        <f>E34-D34</f>
        <v>4</v>
      </c>
      <c r="F36" s="5">
        <f>F34-E34</f>
        <v>-9</v>
      </c>
      <c r="G36" s="5" t="s">
        <v>44</v>
      </c>
      <c r="H36" s="21">
        <f>H34-F34</f>
        <v>-10.065656565656582</v>
      </c>
      <c r="I36" s="13"/>
    </row>
    <row r="37" ht="24">
      <c r="A37" s="1"/>
      <c r="B37" s="4" t="s">
        <v>777</v>
      </c>
      <c r="C37" s="9">
        <v>17</v>
      </c>
      <c r="D37" s="9">
        <v>16</v>
      </c>
      <c r="E37" s="9">
        <v>15</v>
      </c>
      <c r="F37" s="9">
        <v>15</v>
      </c>
      <c r="G37" s="9">
        <v>16</v>
      </c>
      <c r="H37" s="8">
        <v>15</v>
      </c>
      <c r="I37" s="13"/>
    </row>
    <row r="38">
      <c r="A38" s="1"/>
      <c r="B38" s="15" t="s">
        <v>753</v>
      </c>
      <c r="C38" s="5" t="s">
        <v>44</v>
      </c>
      <c r="D38" s="5">
        <f>D37-C37</f>
        <v>-1</v>
      </c>
      <c r="E38" s="5">
        <f>E37-D37</f>
        <v>-1</v>
      </c>
      <c r="F38" s="5">
        <f>F37-E37</f>
        <v>0</v>
      </c>
      <c r="G38" s="5" t="s">
        <v>44</v>
      </c>
      <c r="H38" s="21">
        <f>H37-F37</f>
        <v>0</v>
      </c>
      <c r="I38" s="13"/>
    </row>
    <row r="39">
      <c r="A39" s="1"/>
      <c r="B39" s="15" t="s">
        <v>754</v>
      </c>
      <c r="C39" s="5" t="s">
        <v>44</v>
      </c>
      <c r="D39" s="5" t="s">
        <v>44</v>
      </c>
      <c r="E39" s="5" t="s">
        <v>44</v>
      </c>
      <c r="F39" s="5" t="s">
        <v>44</v>
      </c>
      <c r="G39" s="5" t="s">
        <v>44</v>
      </c>
      <c r="H39" s="21">
        <f>H37-C37</f>
        <v>-2</v>
      </c>
      <c r="I39" s="13" t="s">
        <v>778</v>
      </c>
    </row>
    <row r="40" ht="24">
      <c r="A40" s="1"/>
      <c r="B40" s="4" t="s">
        <v>779</v>
      </c>
      <c r="C40" s="9">
        <v>0</v>
      </c>
      <c r="D40" s="9">
        <v>0</v>
      </c>
      <c r="E40" s="9">
        <v>1</v>
      </c>
      <c r="F40" s="9">
        <v>1</v>
      </c>
      <c r="G40" s="9">
        <v>0</v>
      </c>
      <c r="H40" s="8">
        <v>1</v>
      </c>
      <c r="I40" s="13"/>
    </row>
    <row r="41">
      <c r="A41" s="1"/>
      <c r="B41" s="15" t="s">
        <v>753</v>
      </c>
      <c r="C41" s="5" t="s">
        <v>44</v>
      </c>
      <c r="D41" s="5">
        <f>D40-C40</f>
        <v>0</v>
      </c>
      <c r="E41" s="5">
        <f>E40-D40</f>
        <v>1</v>
      </c>
      <c r="F41" s="5">
        <f>F40-E40</f>
        <v>0</v>
      </c>
      <c r="G41" s="5" t="s">
        <v>44</v>
      </c>
      <c r="H41" s="21">
        <f>H40-F40</f>
        <v>0</v>
      </c>
      <c r="I41" s="13"/>
    </row>
    <row r="42">
      <c r="A42" s="1"/>
      <c r="B42" s="15" t="s">
        <v>754</v>
      </c>
      <c r="C42" s="5" t="s">
        <v>44</v>
      </c>
      <c r="D42" s="5" t="s">
        <v>44</v>
      </c>
      <c r="E42" s="5" t="s">
        <v>44</v>
      </c>
      <c r="F42" s="5" t="s">
        <v>44</v>
      </c>
      <c r="G42" s="5" t="s">
        <v>44</v>
      </c>
      <c r="H42" s="21">
        <f>H40-C40</f>
        <v>1</v>
      </c>
      <c r="I42" s="13" t="s">
        <v>780</v>
      </c>
    </row>
    <row r="43" ht="24">
      <c r="A43" s="1"/>
      <c r="B43" s="26" t="s">
        <v>781</v>
      </c>
      <c r="C43" s="29">
        <f>C34+C37+C40</f>
        <v>1488</v>
      </c>
      <c r="D43" s="29">
        <f>D34+D37+D40</f>
        <v>1511</v>
      </c>
      <c r="E43" s="29">
        <f>E34+E37+E40</f>
        <v>1515</v>
      </c>
      <c r="F43" s="29">
        <f>F34+F37+F40</f>
        <v>1506</v>
      </c>
      <c r="G43" s="29">
        <f>G34+G37+G40</f>
        <v>1437</v>
      </c>
      <c r="H43" s="47">
        <f>H34+H37+H40</f>
        <v>1495.9343434343434</v>
      </c>
      <c r="I43" s="13"/>
    </row>
    <row r="44" ht="24">
      <c r="A44" s="1"/>
      <c r="B44" s="4" t="s">
        <v>782</v>
      </c>
      <c r="C44" s="9">
        <v>1488</v>
      </c>
      <c r="D44" s="9">
        <v>1511</v>
      </c>
      <c r="E44" s="9">
        <v>1515</v>
      </c>
      <c r="F44" s="9">
        <v>1506</v>
      </c>
      <c r="G44" s="9">
        <v>1437</v>
      </c>
      <c r="H44" s="37" t="s">
        <v>44</v>
      </c>
      <c r="I44" s="13"/>
    </row>
    <row r="45" ht="24">
      <c r="A45" s="1"/>
      <c r="B45" s="4" t="s">
        <v>783</v>
      </c>
      <c r="C45" s="38" t="b">
        <f>ROUND(C43-C44,6)=0</f>
        <v>1</v>
      </c>
      <c r="D45" s="38" t="b">
        <f>ROUND(D43-D44,6)=0</f>
        <v>1</v>
      </c>
      <c r="E45" s="38" t="b">
        <f>ROUND(E43-E44,6)=0</f>
        <v>1</v>
      </c>
      <c r="F45" s="38" t="b">
        <f>ROUND(F43-F44,6)=0</f>
        <v>1</v>
      </c>
      <c r="G45" s="38" t="b">
        <f>ROUND(G43-G44,6)=0</f>
        <v>1</v>
      </c>
      <c r="H45" s="68" t="s">
        <v>44</v>
      </c>
      <c r="I45" s="13"/>
    </row>
    <row r="46">
      <c r="A46" s="1"/>
      <c r="B46" s="15" t="s">
        <v>753</v>
      </c>
      <c r="C46" s="5" t="s">
        <v>44</v>
      </c>
      <c r="D46" s="5">
        <f>D43-C43</f>
        <v>23</v>
      </c>
      <c r="E46" s="5">
        <f>E43-D43</f>
        <v>4</v>
      </c>
      <c r="F46" s="5">
        <f>F43-E43</f>
        <v>-9</v>
      </c>
      <c r="G46" s="5" t="s">
        <v>44</v>
      </c>
      <c r="H46" s="21">
        <f>H43-F43</f>
        <v>-10.065656565656582</v>
      </c>
      <c r="I46" s="13"/>
    </row>
    <row r="47">
      <c r="A47" s="1"/>
      <c r="B47" s="15" t="s">
        <v>754</v>
      </c>
      <c r="C47" s="35">
        <f>C43-'Income Statement'!C259</f>
        <v>56</v>
      </c>
      <c r="D47" s="35">
        <f>D43-'Income Statement'!D259</f>
        <v>91</v>
      </c>
      <c r="E47" s="35">
        <f>E43-'Income Statement'!E259</f>
        <v>135</v>
      </c>
      <c r="F47" s="35">
        <f>F43-'Income Statement'!F259</f>
        <v>140</v>
      </c>
      <c r="G47" s="35">
        <f>G43-'Income Statement'!G259</f>
        <v>1</v>
      </c>
      <c r="H47" s="21">
        <f>H43-C43</f>
        <v>7.934343434343418</v>
      </c>
      <c r="I47" s="13"/>
    </row>
    <row r="48" ht="24">
      <c r="A48" s="1"/>
      <c r="B48" s="57" t="s">
        <v>784</v>
      </c>
      <c r="C48" s="11">
        <f>C43/C34-1</f>
        <v>0.011556764106050332</v>
      </c>
      <c r="D48" s="11">
        <f>D43/D34-1</f>
        <v>0.01070234113712365</v>
      </c>
      <c r="E48" s="11">
        <f>E43/E34-1</f>
        <v>0.010673782521681163</v>
      </c>
      <c r="F48" s="11">
        <f>F43/F34-1</f>
        <v>0.010738255033557076</v>
      </c>
      <c r="G48" s="11">
        <f>G43/G34-1</f>
        <v>0.011259676284306908</v>
      </c>
      <c r="H48" s="50">
        <f>H43/H34-1</f>
        <v>0.010811290427162001</v>
      </c>
      <c r="I48" s="13"/>
    </row>
    <row r="49">
      <c r="A49" s="1"/>
      <c r="B49" s="15" t="s">
        <v>785</v>
      </c>
      <c r="C49" s="40" t="s">
        <v>44</v>
      </c>
      <c r="D49" s="40">
        <f>(D48-C48)*10000</f>
        <v>-8.544229689266825</v>
      </c>
      <c r="E49" s="40">
        <f>(E48-D48)*10000</f>
        <v>-0.2855861544248661</v>
      </c>
      <c r="F49" s="40">
        <f>(F48-E48)*10000</f>
        <v>0.6447251187591263</v>
      </c>
      <c r="G49" s="40" t="s">
        <v>44</v>
      </c>
      <c r="H49" s="56">
        <f>(H48-F48)*10000</f>
        <v>0.730353936049255</v>
      </c>
      <c r="I49" s="13"/>
    </row>
    <row r="50" ht="24">
      <c r="A50" s="1"/>
      <c r="B50" s="4" t="s">
        <v>786</v>
      </c>
      <c r="C50" s="3">
        <f>'Income Statement'!C206/C43</f>
        <v>0.6901881720430108</v>
      </c>
      <c r="D50" s="3">
        <f>'Income Statement'!D206/D43</f>
        <v>0.7802779616148247</v>
      </c>
      <c r="E50" s="3">
        <f>'Income Statement'!E206/E43</f>
        <v>0.5168316831683168</v>
      </c>
      <c r="F50" s="3">
        <f>'Income Statement'!F206/F43</f>
        <v>0.5531208499335989</v>
      </c>
      <c r="G50" s="3">
        <f>'Income Statement'!G206/G43</f>
        <v>2.929714683368128</v>
      </c>
      <c r="H50" s="65">
        <f>'Income Statement'!H206/H43</f>
        <v>0.618123009507993</v>
      </c>
      <c r="I50" s="13"/>
    </row>
    <row r="51">
      <c r="A51" s="1"/>
      <c r="B51" s="1"/>
      <c r="C51" s="1"/>
      <c r="D51" s="1"/>
      <c r="E51" s="1"/>
      <c r="F51" s="1"/>
      <c r="G51" s="1"/>
      <c r="H51" s="53"/>
      <c r="I51" s="13"/>
    </row>
    <row r="52">
      <c r="A52" s="1"/>
      <c r="B52" s="41" t="s">
        <v>155</v>
      </c>
      <c r="C52" s="1"/>
      <c r="D52" s="1"/>
      <c r="E52" s="1"/>
      <c r="F52" s="1"/>
      <c r="G52" s="1"/>
      <c r="H52" s="53"/>
      <c r="I52" s="13" t="s">
        <v>156</v>
      </c>
    </row>
    <row r="53" ht="24">
      <c r="A53" s="1"/>
      <c r="B53" s="4" t="s">
        <v>787</v>
      </c>
      <c r="C53" s="9">
        <v>1417</v>
      </c>
      <c r="D53" s="9">
        <v>1406</v>
      </c>
      <c r="E53" s="9">
        <v>1366</v>
      </c>
      <c r="F53" s="9">
        <v>1352</v>
      </c>
      <c r="G53" s="9">
        <v>1421</v>
      </c>
      <c r="H53" s="37">
        <f>C34</f>
        <v>1471</v>
      </c>
      <c r="I53" s="13"/>
    </row>
    <row r="54">
      <c r="A54" s="1"/>
      <c r="B54" s="1"/>
      <c r="C54" s="1"/>
      <c r="D54" s="1"/>
      <c r="E54" s="1"/>
      <c r="F54" s="1"/>
      <c r="G54" s="1"/>
      <c r="H54" s="1"/>
      <c r="I54" s="1"/>
    </row>
    <row r="55">
      <c r="A55" s="1"/>
      <c r="B55" s="1"/>
      <c r="C55" s="1"/>
      <c r="D55" s="1"/>
      <c r="E55" s="1"/>
      <c r="F55" s="1"/>
      <c r="G55" s="1"/>
      <c r="H55" s="1"/>
      <c r="I55" s="1"/>
    </row>
  </sheetData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6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51" t="s">
        <v>1</v>
      </c>
      <c r="C2" s="1"/>
      <c r="D2" s="1"/>
      <c r="E2" s="1"/>
      <c r="F2" s="1"/>
      <c r="G2" s="1"/>
      <c r="H2" s="1"/>
      <c r="I2" s="1"/>
      <c r="J2" s="1"/>
    </row>
    <row r="3">
      <c r="A3" s="1"/>
      <c r="B3" s="33" t="s">
        <v>788</v>
      </c>
      <c r="C3" s="1"/>
      <c r="D3" s="1"/>
      <c r="E3" s="1"/>
      <c r="F3" s="1"/>
      <c r="G3" s="1"/>
      <c r="H3" s="1"/>
      <c r="I3" s="1"/>
      <c r="J3" s="1"/>
    </row>
    <row r="4">
      <c r="A4" s="1"/>
      <c r="B4" s="15" t="s">
        <v>3</v>
      </c>
      <c r="C4" s="1"/>
      <c r="D4" s="1"/>
      <c r="E4" s="1"/>
      <c r="F4" s="1"/>
      <c r="G4" s="1"/>
      <c r="H4" s="1"/>
      <c r="I4" s="1"/>
      <c r="J4" s="1"/>
    </row>
    <row r="5">
      <c r="A5" s="1"/>
      <c r="B5" s="103" t="s">
        <v>789</v>
      </c>
      <c r="C5" s="7"/>
      <c r="D5" s="7"/>
      <c r="E5" s="7"/>
      <c r="F5" s="7"/>
      <c r="G5" s="7"/>
      <c r="H5" s="102"/>
      <c r="I5" s="46"/>
      <c r="J5" s="46"/>
    </row>
    <row r="6">
      <c r="A6" s="1"/>
      <c r="B6" s="34"/>
      <c r="C6" s="18"/>
      <c r="D6" s="18"/>
      <c r="E6" s="18"/>
      <c r="F6" s="18"/>
      <c r="G6" s="18"/>
      <c r="H6" s="104"/>
      <c r="I6" s="34"/>
      <c r="J6" s="34"/>
    </row>
    <row r="7">
      <c r="A7" s="1"/>
      <c r="B7" s="12"/>
      <c r="C7" s="6"/>
      <c r="D7" s="6"/>
      <c r="E7" s="6"/>
      <c r="F7" s="6"/>
      <c r="G7" s="6"/>
      <c r="H7" s="101"/>
      <c r="I7" s="12"/>
      <c r="J7" s="12"/>
    </row>
    <row r="8">
      <c r="A8" s="1"/>
      <c r="B8" s="1"/>
      <c r="C8" s="1"/>
      <c r="D8" s="1"/>
      <c r="E8" s="1"/>
      <c r="F8" s="1"/>
      <c r="G8" s="1"/>
      <c r="H8" s="1"/>
      <c r="I8" s="1"/>
      <c r="J8" s="1"/>
    </row>
    <row r="9">
      <c r="A9" s="1"/>
      <c r="B9" s="41" t="s">
        <v>790</v>
      </c>
      <c r="C9" s="1"/>
      <c r="D9" s="1"/>
      <c r="E9" s="1"/>
      <c r="F9" s="1"/>
      <c r="G9" s="1"/>
      <c r="H9" s="1"/>
      <c r="I9" s="1"/>
      <c r="J9" s="1"/>
    </row>
    <row r="10">
      <c r="A10" s="1"/>
      <c r="B10" s="23" t="s">
        <v>791</v>
      </c>
      <c r="C10" s="106" t="s">
        <v>792</v>
      </c>
      <c r="D10" s="23" t="s">
        <v>4</v>
      </c>
      <c r="E10" s="106" t="s">
        <v>81</v>
      </c>
      <c r="F10" s="106" t="s">
        <v>80</v>
      </c>
      <c r="G10" s="106" t="s">
        <v>793</v>
      </c>
      <c r="H10" s="106" t="s">
        <v>794</v>
      </c>
      <c r="I10" s="23" t="s">
        <v>795</v>
      </c>
      <c r="J10" s="23" t="s">
        <v>796</v>
      </c>
    </row>
    <row r="11">
      <c r="A11" s="1"/>
      <c r="B11" s="1" t="s">
        <v>797</v>
      </c>
      <c r="C11" s="20">
        <v>45856</v>
      </c>
      <c r="D11" s="1" t="s">
        <v>798</v>
      </c>
      <c r="E11" s="9">
        <v>18200</v>
      </c>
      <c r="F11" s="9">
        <v>18800</v>
      </c>
      <c r="G11" s="22">
        <f>AVERAGE(E11:F11)</f>
        <v>18500</v>
      </c>
      <c r="H11" s="16">
        <f>'Income Statement'!C10+'Income Statement'!D10</f>
        <v>18673</v>
      </c>
      <c r="I11" s="1" t="str">
        <f>IF(ISNUMBER(H11),IF(H11&gt;G11,"Beat",IF(H11&lt;G11,"Miss","In line")),"Pending")</f>
        <v>Beat</v>
      </c>
      <c r="J11" s="1" t="s">
        <v>799</v>
      </c>
    </row>
    <row r="12" ht="24">
      <c r="A12" s="1"/>
      <c r="B12" s="4" t="s">
        <v>800</v>
      </c>
      <c r="C12" s="20">
        <v>45856</v>
      </c>
      <c r="D12" s="1" t="s">
        <v>798</v>
      </c>
      <c r="E12" s="28">
        <v>0</v>
      </c>
      <c r="F12" s="28">
        <v>0</v>
      </c>
      <c r="G12" s="61">
        <f>AVERAGE(E12:F12)</f>
        <v>0</v>
      </c>
      <c r="H12" s="48">
        <f>('Income Statement'!C164+'Income Statement'!D164)/('Income Statement'!C10+'Income Statement'!D10)-'Income Statement'!F282</f>
        <v>-0.004789407167932608</v>
      </c>
      <c r="I12" s="1" t="str">
        <f>IF(ISNUMBER(H12),IF(H12&gt;G12,"Beat",IF(H12&lt;G12,"Miss","In line")),"Pending")</f>
        <v>Miss</v>
      </c>
      <c r="J12" s="1" t="s">
        <v>801</v>
      </c>
    </row>
    <row r="13" ht="34.5">
      <c r="A13" s="1"/>
      <c r="B13" s="4" t="s">
        <v>802</v>
      </c>
      <c r="C13" s="20">
        <v>45947</v>
      </c>
      <c r="D13" s="1" t="s">
        <v>803</v>
      </c>
      <c r="E13" s="30">
        <v>0.07</v>
      </c>
      <c r="F13" s="30">
        <v>0.09</v>
      </c>
      <c r="G13" s="25">
        <f>AVERAGE(E13:F13)</f>
        <v>0.08</v>
      </c>
      <c r="H13" s="64">
        <f>'Income Statement'!D12</f>
        <v>0.09150985663082434</v>
      </c>
      <c r="I13" s="1" t="str">
        <f>IF(ISNUMBER(H13),IF(H13&gt;G13,"Beat",IF(H13&lt;G13,"Miss","In line")),"Pending")</f>
        <v>Beat</v>
      </c>
      <c r="J13" s="1" t="s">
        <v>804</v>
      </c>
    </row>
    <row r="14" ht="24">
      <c r="A14" s="1"/>
      <c r="B14" s="4" t="s">
        <v>805</v>
      </c>
      <c r="C14" s="20">
        <v>45947</v>
      </c>
      <c r="D14" s="1" t="s">
        <v>803</v>
      </c>
      <c r="E14" s="28">
        <v>0.005</v>
      </c>
      <c r="F14" s="28">
        <v>0.015</v>
      </c>
      <c r="G14" s="61">
        <f>AVERAGE(E14:F14)</f>
        <v>0.01</v>
      </c>
      <c r="H14" s="48">
        <f>'Income Statement'!D167-'Income Statement'!C167</f>
        <v>0.008352815339545516</v>
      </c>
      <c r="I14" s="1" t="str">
        <f>IF(ISNUMBER(H14),IF(H14&gt;G14,"Beat",IF(H14&lt;G14,"Miss","In line")),"Pending")</f>
        <v>Miss</v>
      </c>
      <c r="J14" s="1" t="s">
        <v>806</v>
      </c>
    </row>
    <row r="15" ht="34.5">
      <c r="A15" s="1"/>
      <c r="B15" s="4" t="s">
        <v>807</v>
      </c>
      <c r="C15" s="20">
        <v>46045</v>
      </c>
      <c r="D15" s="1" t="s">
        <v>808</v>
      </c>
      <c r="E15" s="30">
        <v>-0.09</v>
      </c>
      <c r="F15" s="30">
        <v>-0.07</v>
      </c>
      <c r="G15" s="25">
        <f>AVERAGE(E15:F15)</f>
        <v>-0.08</v>
      </c>
      <c r="H15" s="64">
        <f>'Income Statement'!E12</f>
        <v>-0.10507952796305797</v>
      </c>
      <c r="I15" s="1" t="str">
        <f>IF(ISNUMBER(H15),IF(H15&gt;G15,"Beat",IF(H15&lt;G15,"Miss","In line")),"Pending")</f>
        <v>Miss</v>
      </c>
      <c r="J15" s="1" t="s">
        <v>809</v>
      </c>
    </row>
    <row r="16" ht="24">
      <c r="A16" s="1"/>
      <c r="B16" s="4" t="s">
        <v>810</v>
      </c>
      <c r="C16" s="20">
        <v>46045</v>
      </c>
      <c r="D16" s="1" t="s">
        <v>808</v>
      </c>
      <c r="E16" s="28">
        <v>-0.02</v>
      </c>
      <c r="F16" s="28">
        <v>-0.015</v>
      </c>
      <c r="G16" s="61">
        <f>AVERAGE(E16:F16)</f>
        <v>-0.0175</v>
      </c>
      <c r="H16" s="48">
        <f>'Income Statement'!E167-'Income Statement'!D167</f>
        <v>-0.035897215952082534</v>
      </c>
      <c r="I16" s="1" t="str">
        <f>IF(ISNUMBER(H16),IF(H16&gt;G16,"Beat",IF(H16&lt;G16,"Miss","In line")),"Pending")</f>
        <v>Miss</v>
      </c>
      <c r="J16" s="1" t="s">
        <v>811</v>
      </c>
    </row>
    <row r="17">
      <c r="A17" s="1"/>
      <c r="B17" s="1" t="s">
        <v>812</v>
      </c>
      <c r="C17" s="20">
        <v>46045</v>
      </c>
      <c r="D17" s="1" t="s">
        <v>813</v>
      </c>
      <c r="E17" s="9">
        <v>8600</v>
      </c>
      <c r="F17" s="9">
        <v>9100</v>
      </c>
      <c r="G17" s="22">
        <f>AVERAGE(E17:F17)</f>
        <v>8850</v>
      </c>
      <c r="H17" s="22"/>
      <c r="I17" s="1" t="str">
        <f>IF(ISNUMBER(H17),IF(H17&gt;G17,"Beat",IF(H17&lt;G17,"Miss","In line")),"Pending")</f>
        <v>Pending</v>
      </c>
      <c r="J17" s="1" t="s">
        <v>814</v>
      </c>
    </row>
    <row r="18" ht="34.5">
      <c r="A18" s="1"/>
      <c r="B18" s="4" t="s">
        <v>815</v>
      </c>
      <c r="C18" s="20">
        <v>46136</v>
      </c>
      <c r="D18" s="1" t="s">
        <v>816</v>
      </c>
      <c r="E18" s="44">
        <v>0.06</v>
      </c>
      <c r="F18" s="44">
        <v>0.08</v>
      </c>
      <c r="G18" s="43">
        <f>AVERAGE(E18:F18)</f>
        <v>0.07</v>
      </c>
      <c r="H18" s="108" t="s">
        <v>817</v>
      </c>
      <c r="I18" s="1" t="s">
        <v>818</v>
      </c>
      <c r="J18" s="1" t="s">
        <v>819</v>
      </c>
    </row>
    <row r="19" ht="24">
      <c r="A19" s="1"/>
      <c r="B19" s="4" t="s">
        <v>820</v>
      </c>
      <c r="C19" s="20">
        <v>46136</v>
      </c>
      <c r="D19" s="1" t="s">
        <v>816</v>
      </c>
      <c r="E19" s="30">
        <v>0</v>
      </c>
      <c r="F19" s="30">
        <v>0</v>
      </c>
      <c r="G19" s="25">
        <f>AVERAGE(E19:F19)</f>
        <v>0</v>
      </c>
      <c r="H19" s="64">
        <f>Geo!F22</f>
        <v>0.035532994923857864</v>
      </c>
      <c r="I19" s="1" t="str">
        <f>IF(ISNUMBER(H19),IF(H19&gt;G19,"Beat",IF(H19&lt;G19,"Miss","In line")),"Pending")</f>
        <v>Beat</v>
      </c>
      <c r="J19" s="1" t="s">
        <v>821</v>
      </c>
    </row>
    <row r="20" ht="24">
      <c r="A20" s="1"/>
      <c r="B20" s="4" t="s">
        <v>822</v>
      </c>
      <c r="C20" s="20">
        <v>46227</v>
      </c>
      <c r="D20" s="1" t="s">
        <v>823</v>
      </c>
      <c r="E20" s="30">
        <v>0.03</v>
      </c>
      <c r="F20" s="30">
        <v>0.04</v>
      </c>
      <c r="G20" s="25">
        <f>AVERAGE(E20:F20)</f>
        <v>0.035</v>
      </c>
      <c r="H20" s="25"/>
      <c r="I20" s="1" t="str">
        <f>IF(ISNUMBER(H20),IF(H20&gt;G20,"Beat",IF(H20&lt;G20,"Miss","In line")),"Pending")</f>
        <v>Pending</v>
      </c>
      <c r="J20" s="1" t="s">
        <v>824</v>
      </c>
    </row>
    <row r="21" ht="24">
      <c r="A21" s="1"/>
      <c r="B21" s="4" t="s">
        <v>825</v>
      </c>
      <c r="C21" s="20">
        <v>46227</v>
      </c>
      <c r="D21" s="1" t="s">
        <v>823</v>
      </c>
      <c r="E21" s="16">
        <f>'Income Statement'!F10*(1+E20)</f>
        <v>9241.16</v>
      </c>
      <c r="F21" s="16">
        <f>'Income Statement'!F10*(1+F20)</f>
        <v>9330.880000000001</v>
      </c>
      <c r="G21" s="22">
        <f>AVERAGE(E21:F21)</f>
        <v>9286.02</v>
      </c>
      <c r="H21" s="22"/>
      <c r="I21" s="1"/>
      <c r="J21" s="1" t="s">
        <v>826</v>
      </c>
    </row>
    <row r="22" ht="24">
      <c r="A22" s="1"/>
      <c r="B22" s="4" t="s">
        <v>827</v>
      </c>
      <c r="C22" s="20">
        <v>46313</v>
      </c>
      <c r="D22" s="1" t="s">
        <v>823</v>
      </c>
      <c r="E22" s="16">
        <f>Inputs!$C$75</f>
        <v>9241.16</v>
      </c>
      <c r="F22" s="16">
        <f>Inputs!$C$76</f>
        <v>9330.88</v>
      </c>
      <c r="G22" s="22">
        <f>AVERAGE(E22:F22)</f>
        <v>9286.02</v>
      </c>
      <c r="H22" s="22"/>
      <c r="I22" s="1"/>
      <c r="J22" s="1" t="s">
        <v>828</v>
      </c>
    </row>
    <row r="23" ht="24">
      <c r="A23" s="1"/>
      <c r="B23" s="4" t="s">
        <v>829</v>
      </c>
      <c r="C23" s="20">
        <v>46227</v>
      </c>
      <c r="D23" s="1" t="s">
        <v>823</v>
      </c>
      <c r="E23" s="28">
        <v>0.0075</v>
      </c>
      <c r="F23" s="28">
        <v>0.0075</v>
      </c>
      <c r="G23" s="61">
        <f>AVERAGE(E23:F23)</f>
        <v>0.0075</v>
      </c>
      <c r="H23" s="61"/>
      <c r="I23" s="1" t="str">
        <f>IF(ISNUMBER(H23),IF(H23&gt;G23,"Beat",IF(H23&lt;G23,"Miss","In line")),"Pending")</f>
        <v>Pending</v>
      </c>
      <c r="J23" s="1" t="s">
        <v>830</v>
      </c>
    </row>
    <row r="24" ht="45">
      <c r="A24" s="1"/>
      <c r="B24" s="4" t="s">
        <v>831</v>
      </c>
      <c r="C24" s="20">
        <v>46227</v>
      </c>
      <c r="D24" s="1" t="s">
        <v>823</v>
      </c>
      <c r="E24" s="30">
        <v>0.01</v>
      </c>
      <c r="F24" s="30">
        <v>0.05</v>
      </c>
      <c r="G24" s="25">
        <f>AVERAGE(E24:F24)</f>
        <v>0.030000000000000002</v>
      </c>
      <c r="H24" s="25"/>
      <c r="I24" s="1" t="str">
        <f>IF(ISNUMBER(H24),IF(H24&gt;G24,"Beat",IF(H24&lt;G24,"Miss","In line")),"Pending")</f>
        <v>Pending</v>
      </c>
      <c r="J24" s="1" t="s">
        <v>832</v>
      </c>
    </row>
    <row r="25" ht="34.5">
      <c r="A25" s="1"/>
      <c r="B25" s="4" t="s">
        <v>833</v>
      </c>
      <c r="C25" s="20">
        <v>46227</v>
      </c>
      <c r="D25" s="1" t="s">
        <v>823</v>
      </c>
      <c r="E25" s="30">
        <v>0.01</v>
      </c>
      <c r="F25" s="30">
        <v>0.03</v>
      </c>
      <c r="G25" s="25">
        <f>AVERAGE(E25:F25)</f>
        <v>0.02</v>
      </c>
      <c r="H25" s="25"/>
      <c r="I25" s="1" t="str">
        <f>IF(ISNUMBER(H25),IF(H25&gt;G25,"Beat",IF(H25&lt;G25,"Miss","In line")),"Pending")</f>
        <v>Pending</v>
      </c>
      <c r="J25" s="1" t="s">
        <v>832</v>
      </c>
    </row>
    <row r="26" ht="34.5">
      <c r="A26" s="1"/>
      <c r="B26" s="4" t="s">
        <v>834</v>
      </c>
      <c r="C26" s="20">
        <v>46227</v>
      </c>
      <c r="D26" s="1" t="s">
        <v>823</v>
      </c>
      <c r="E26" s="9">
        <v>-150</v>
      </c>
      <c r="F26" s="9">
        <v>-150</v>
      </c>
      <c r="G26" s="22">
        <f>AVERAGE(E26:F26)</f>
        <v>-150</v>
      </c>
      <c r="H26" s="22"/>
      <c r="I26" s="1" t="s">
        <v>835</v>
      </c>
      <c r="J26" s="1" t="s">
        <v>836</v>
      </c>
    </row>
    <row r="27" ht="24">
      <c r="A27" s="1"/>
      <c r="B27" s="4" t="s">
        <v>837</v>
      </c>
      <c r="C27" s="20">
        <v>46227</v>
      </c>
      <c r="D27" s="1" t="s">
        <v>823</v>
      </c>
      <c r="E27" s="9">
        <v>-75</v>
      </c>
      <c r="F27" s="9">
        <v>-75</v>
      </c>
      <c r="G27" s="22">
        <f>AVERAGE(E27:F27)</f>
        <v>-75</v>
      </c>
      <c r="H27" s="22"/>
      <c r="I27" s="1" t="s">
        <v>835</v>
      </c>
      <c r="J27" s="1" t="s">
        <v>836</v>
      </c>
    </row>
    <row r="28" ht="24">
      <c r="A28" s="1"/>
      <c r="B28" s="4" t="s">
        <v>838</v>
      </c>
      <c r="C28" s="20">
        <v>46227</v>
      </c>
      <c r="D28" s="1" t="s">
        <v>839</v>
      </c>
      <c r="E28" s="9">
        <v>10000</v>
      </c>
      <c r="F28" s="22"/>
      <c r="G28" s="22">
        <f>E28</f>
        <v>10000</v>
      </c>
      <c r="H28" s="22"/>
      <c r="I28" s="1" t="s">
        <v>840</v>
      </c>
      <c r="J28" s="1" t="s">
        <v>841</v>
      </c>
    </row>
    <row r="29" ht="24">
      <c r="A29" s="1"/>
      <c r="B29" s="4" t="s">
        <v>842</v>
      </c>
      <c r="C29" s="20">
        <v>46227</v>
      </c>
      <c r="D29" s="1" t="s">
        <v>839</v>
      </c>
      <c r="E29" s="30">
        <v>0.24</v>
      </c>
      <c r="F29" s="30">
        <v>0.24</v>
      </c>
      <c r="G29" s="25">
        <f>AVERAGE(E29:F29)</f>
        <v>0.24</v>
      </c>
      <c r="H29" s="25"/>
      <c r="I29" s="1" t="str">
        <f>IF(ISNUMBER(H29),IF(H29&gt;G29,"Beat",IF(H29&lt;G29,"Miss","In line")),"Pending")</f>
        <v>Pending</v>
      </c>
      <c r="J29" s="1" t="s">
        <v>836</v>
      </c>
    </row>
    <row r="30" ht="24">
      <c r="A30" s="1"/>
      <c r="B30" s="4" t="s">
        <v>843</v>
      </c>
      <c r="C30" s="20">
        <v>46227</v>
      </c>
      <c r="D30" s="1" t="s">
        <v>839</v>
      </c>
      <c r="E30" s="9">
        <v>2100</v>
      </c>
      <c r="F30" s="9">
        <v>2200</v>
      </c>
      <c r="G30" s="22">
        <f>AVERAGE(E30:F30)</f>
        <v>2150</v>
      </c>
      <c r="H30" s="22"/>
      <c r="I30" s="1" t="str">
        <f>IF(ISNUMBER(H30),IF(H30&gt;G30,"Beat",IF(H30&lt;G30,"Miss","In line")),"Pending")</f>
        <v>Pending</v>
      </c>
      <c r="J30" s="1" t="s">
        <v>844</v>
      </c>
    </row>
    <row r="31" ht="24">
      <c r="A31" s="1"/>
      <c r="B31" s="4" t="s">
        <v>845</v>
      </c>
      <c r="C31" s="20">
        <v>46227</v>
      </c>
      <c r="D31" s="1" t="s">
        <v>813</v>
      </c>
      <c r="E31" s="9">
        <v>2500</v>
      </c>
      <c r="F31" s="9">
        <v>2500</v>
      </c>
      <c r="G31" s="22">
        <f>AVERAGE(E31:F31)</f>
        <v>2500</v>
      </c>
      <c r="H31" s="22"/>
      <c r="I31" s="1" t="str">
        <f>IF(ISNUMBER(H31),IF(H31&gt;G31,"Beat",IF(H31&lt;G31,"Miss","In line")),"Pending")</f>
        <v>Pending</v>
      </c>
      <c r="J31" s="1" t="s">
        <v>846</v>
      </c>
    </row>
    <row r="32">
      <c r="A32" s="1"/>
      <c r="B32" s="1" t="s">
        <v>847</v>
      </c>
      <c r="C32" s="20">
        <v>46227</v>
      </c>
      <c r="D32" s="1" t="s">
        <v>813</v>
      </c>
      <c r="E32" s="9">
        <v>2400</v>
      </c>
      <c r="F32" s="22"/>
      <c r="G32" s="22">
        <f>E32</f>
        <v>2400</v>
      </c>
      <c r="H32" s="22"/>
      <c r="I32" s="1" t="s">
        <v>840</v>
      </c>
      <c r="J32" s="1" t="s">
        <v>848</v>
      </c>
    </row>
    <row r="33" ht="24">
      <c r="A33" s="1"/>
      <c r="B33" s="4" t="s">
        <v>849</v>
      </c>
      <c r="C33" s="20">
        <v>46227</v>
      </c>
      <c r="D33" s="1" t="s">
        <v>813</v>
      </c>
      <c r="E33" s="9">
        <v>4000</v>
      </c>
      <c r="F33" s="22"/>
      <c r="G33" s="22">
        <f>E33</f>
        <v>4000</v>
      </c>
      <c r="H33" s="22"/>
      <c r="I33" s="1" t="s">
        <v>840</v>
      </c>
      <c r="J33" s="1" t="s">
        <v>836</v>
      </c>
    </row>
    <row r="34" ht="34.5">
      <c r="A34" s="1"/>
      <c r="B34" s="4" t="s">
        <v>850</v>
      </c>
      <c r="C34" s="20">
        <v>46227</v>
      </c>
      <c r="D34" s="1" t="s">
        <v>839</v>
      </c>
      <c r="E34" s="9">
        <v>1000</v>
      </c>
      <c r="F34" s="22"/>
      <c r="G34" s="22">
        <f>E34</f>
        <v>1000</v>
      </c>
      <c r="H34" s="22"/>
      <c r="I34" s="1" t="s">
        <v>840</v>
      </c>
      <c r="J34" s="1" t="s">
        <v>851</v>
      </c>
    </row>
    <row r="35">
      <c r="A35" s="1"/>
      <c r="B35" s="1"/>
      <c r="C35" s="32"/>
      <c r="D35" s="1"/>
      <c r="E35" s="1"/>
      <c r="F35" s="1"/>
      <c r="G35" s="1"/>
      <c r="H35" s="1"/>
      <c r="I35" s="1"/>
      <c r="J35" s="1"/>
    </row>
    <row r="36">
      <c r="A36" s="1"/>
      <c r="B36" s="41" t="s">
        <v>852</v>
      </c>
      <c r="C36" s="32"/>
      <c r="D36" s="1"/>
      <c r="E36" s="1"/>
      <c r="F36" s="1"/>
      <c r="G36" s="1"/>
      <c r="H36" s="1"/>
      <c r="I36" s="1"/>
      <c r="J36" s="1"/>
    </row>
    <row r="37">
      <c r="A37" s="1"/>
      <c r="B37" s="1" t="s">
        <v>853</v>
      </c>
      <c r="C37" s="32">
        <f>COUNTIF(I11:I19,"Beat")</f>
        <v>4</v>
      </c>
      <c r="D37" s="1"/>
      <c r="E37" s="1"/>
      <c r="F37" s="1"/>
      <c r="G37" s="1"/>
      <c r="H37" s="1"/>
      <c r="I37" s="1"/>
      <c r="J37" s="1"/>
    </row>
    <row r="38">
      <c r="A38" s="1"/>
      <c r="B38" s="1" t="s">
        <v>854</v>
      </c>
      <c r="C38" s="32">
        <f>COUNTIF(I11:I19,"Miss")</f>
        <v>4</v>
      </c>
      <c r="D38" s="1"/>
      <c r="E38" s="1"/>
      <c r="F38" s="1"/>
      <c r="G38" s="1"/>
      <c r="H38" s="1"/>
      <c r="I38" s="1"/>
      <c r="J38" s="1"/>
    </row>
    <row r="39">
      <c r="A39" s="1"/>
      <c r="B39" s="1" t="s">
        <v>855</v>
      </c>
      <c r="C39" s="32" t="s">
        <v>856</v>
      </c>
      <c r="D39" s="1"/>
      <c r="E39" s="1"/>
      <c r="F39" s="1"/>
      <c r="G39" s="1"/>
      <c r="H39" s="1"/>
      <c r="I39" s="1"/>
      <c r="J39" s="1"/>
    </row>
    <row r="40">
      <c r="A40" s="1"/>
      <c r="B40" s="1"/>
      <c r="C40" s="32"/>
      <c r="D40" s="1"/>
      <c r="E40" s="1"/>
      <c r="F40" s="1"/>
      <c r="G40" s="1"/>
      <c r="H40" s="1"/>
      <c r="I40" s="1"/>
      <c r="J40" s="1"/>
    </row>
    <row r="41">
      <c r="A41" s="1"/>
      <c r="B41" s="41" t="s">
        <v>857</v>
      </c>
      <c r="C41" s="32"/>
      <c r="D41" s="1"/>
      <c r="E41" s="1"/>
      <c r="F41" s="1"/>
      <c r="G41" s="1"/>
      <c r="H41" s="1"/>
      <c r="I41" s="1"/>
      <c r="J41" s="1"/>
    </row>
    <row r="42">
      <c r="A42" s="1"/>
      <c r="B42" s="1" t="s">
        <v>858</v>
      </c>
      <c r="C42" s="32">
        <f>G21</f>
        <v>9286.02</v>
      </c>
      <c r="D42" s="1"/>
      <c r="E42" s="1"/>
      <c r="F42" s="1"/>
      <c r="G42" s="1"/>
      <c r="H42" s="1"/>
      <c r="I42" s="1"/>
      <c r="J42" s="1"/>
    </row>
    <row r="43" ht="24">
      <c r="A43" s="1"/>
      <c r="B43" s="4" t="s">
        <v>859</v>
      </c>
      <c r="C43" s="24">
        <f>'Income Statement'!F167+G23</f>
        <v>0.21915849308961213</v>
      </c>
      <c r="D43" s="1"/>
      <c r="E43" s="1"/>
      <c r="F43" s="1"/>
      <c r="G43" s="1"/>
      <c r="H43" s="1"/>
      <c r="I43" s="1"/>
      <c r="J43" s="1"/>
    </row>
    <row r="44">
      <c r="A44" s="1"/>
      <c r="B44" s="45" t="s">
        <v>860</v>
      </c>
      <c r="C44" s="31">
        <f>C42*C43</f>
        <v>2035.1101500000002</v>
      </c>
      <c r="D44" s="1"/>
      <c r="E44" s="1"/>
      <c r="F44" s="1"/>
      <c r="G44" s="1"/>
      <c r="H44" s="1"/>
      <c r="I44" s="1"/>
      <c r="J44" s="1"/>
    </row>
    <row r="45">
      <c r="A45" s="1"/>
      <c r="B45" s="1" t="s">
        <v>861</v>
      </c>
      <c r="C45" s="24">
        <f>-'Income Statement'!H97</f>
        <v>-711</v>
      </c>
      <c r="D45" s="1"/>
      <c r="E45" s="1"/>
      <c r="F45" s="1"/>
      <c r="G45" s="1"/>
      <c r="H45" s="1"/>
      <c r="I45" s="1"/>
      <c r="J45" s="1"/>
    </row>
    <row r="46" ht="24">
      <c r="A46" s="1"/>
      <c r="B46" s="4" t="s">
        <v>862</v>
      </c>
      <c r="C46" s="24">
        <f>-'Income Statement'!H60</f>
        <v>-130</v>
      </c>
      <c r="D46" s="1"/>
      <c r="E46" s="1"/>
      <c r="F46" s="1"/>
      <c r="G46" s="1"/>
      <c r="H46" s="1"/>
      <c r="I46" s="1"/>
      <c r="J46" s="1"/>
    </row>
    <row r="47" ht="24">
      <c r="A47" s="1"/>
      <c r="B47" s="4" t="s">
        <v>863</v>
      </c>
      <c r="C47" s="24">
        <f>'Income Statement'!H20</f>
        <v>28</v>
      </c>
      <c r="D47" s="1"/>
      <c r="E47" s="1"/>
      <c r="F47" s="1"/>
      <c r="G47" s="1"/>
      <c r="H47" s="1"/>
      <c r="I47" s="1"/>
      <c r="J47" s="1"/>
    </row>
    <row r="48" ht="24">
      <c r="A48" s="1"/>
      <c r="B48" s="4" t="s">
        <v>864</v>
      </c>
      <c r="C48" s="32">
        <f>SUM(C44:C47)</f>
        <v>1222.1101500000002</v>
      </c>
      <c r="D48" s="1"/>
      <c r="E48" s="1"/>
      <c r="F48" s="1"/>
      <c r="G48" s="1"/>
      <c r="H48" s="1"/>
      <c r="I48" s="1"/>
      <c r="J48" s="1"/>
    </row>
    <row r="49" ht="24">
      <c r="A49" s="1"/>
      <c r="B49" s="4" t="s">
        <v>865</v>
      </c>
      <c r="C49" s="24">
        <f>-C48*'Income Statement'!H226</f>
        <v>-248.08836045000007</v>
      </c>
      <c r="D49" s="1"/>
      <c r="E49" s="1"/>
      <c r="F49" s="1"/>
      <c r="G49" s="1"/>
      <c r="H49" s="1"/>
      <c r="I49" s="1"/>
      <c r="J49" s="1"/>
    </row>
    <row r="50" ht="24">
      <c r="A50" s="1"/>
      <c r="B50" s="4" t="s">
        <v>866</v>
      </c>
      <c r="C50" s="24">
        <f>-'Income Statement'!H229</f>
        <v>-31</v>
      </c>
      <c r="D50" s="1"/>
      <c r="E50" s="1"/>
      <c r="F50" s="1"/>
      <c r="G50" s="1"/>
      <c r="H50" s="1"/>
      <c r="I50" s="1"/>
      <c r="J50" s="1"/>
    </row>
    <row r="51" ht="34.5">
      <c r="A51" s="1"/>
      <c r="B51" s="26" t="s">
        <v>867</v>
      </c>
      <c r="C51" s="31">
        <f>C48+C49+C50</f>
        <v>943.0217895500001</v>
      </c>
      <c r="D51" s="1"/>
      <c r="E51" s="1"/>
      <c r="F51" s="1"/>
      <c r="G51" s="1"/>
      <c r="H51" s="1"/>
      <c r="I51" s="1"/>
      <c r="J51" s="1"/>
    </row>
    <row r="52">
      <c r="A52" s="1"/>
      <c r="B52" s="1" t="s">
        <v>868</v>
      </c>
      <c r="C52" s="24">
        <f>'Share Count'!H43</f>
        <v>1495.9343434343434</v>
      </c>
      <c r="D52" s="1"/>
      <c r="E52" s="1"/>
      <c r="F52" s="1"/>
      <c r="G52" s="1"/>
      <c r="H52" s="1"/>
      <c r="I52" s="1"/>
      <c r="J52" s="1"/>
    </row>
    <row r="53" ht="24">
      <c r="A53" s="1"/>
      <c r="B53" s="26" t="s">
        <v>869</v>
      </c>
      <c r="C53" s="31">
        <f>C51/C52</f>
        <v>0.6303898253883422</v>
      </c>
      <c r="D53" s="1"/>
      <c r="E53" s="1"/>
      <c r="F53" s="1"/>
      <c r="G53" s="1"/>
      <c r="H53" s="1"/>
      <c r="I53" s="1"/>
      <c r="J53" s="1"/>
    </row>
    <row r="54">
      <c r="A54" s="1"/>
      <c r="B54" s="1"/>
      <c r="C54" s="32"/>
      <c r="D54" s="1"/>
      <c r="E54" s="1"/>
      <c r="F54" s="1"/>
      <c r="G54" s="1"/>
      <c r="H54" s="1"/>
      <c r="I54" s="1"/>
      <c r="J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</row>
  </sheetData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54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10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51" t="s">
        <v>1</v>
      </c>
      <c r="C2" s="1"/>
      <c r="D2" s="1"/>
      <c r="E2" s="1"/>
      <c r="F2" s="1"/>
      <c r="G2" s="1"/>
      <c r="H2" s="1"/>
      <c r="I2" s="1"/>
      <c r="J2" s="1"/>
    </row>
    <row r="3">
      <c r="A3" s="1"/>
      <c r="B3" s="33" t="s">
        <v>870</v>
      </c>
      <c r="C3" s="1"/>
      <c r="D3" s="1"/>
      <c r="E3" s="1"/>
      <c r="F3" s="1"/>
      <c r="G3" s="1"/>
      <c r="H3" s="1"/>
      <c r="I3" s="1"/>
      <c r="J3" s="1"/>
    </row>
    <row r="4">
      <c r="A4" s="1"/>
      <c r="B4" s="15" t="s">
        <v>3</v>
      </c>
      <c r="C4" s="1"/>
      <c r="D4" s="1"/>
      <c r="E4" s="1"/>
      <c r="F4" s="1"/>
      <c r="G4" s="1"/>
      <c r="H4" s="1"/>
      <c r="I4" s="1"/>
      <c r="J4" s="1"/>
    </row>
    <row r="5">
      <c r="A5" s="1"/>
      <c r="B5" s="103" t="s">
        <v>871</v>
      </c>
      <c r="C5" s="7"/>
      <c r="D5" s="7"/>
      <c r="E5" s="7"/>
      <c r="F5" s="7"/>
      <c r="G5" s="7"/>
      <c r="H5" s="102"/>
      <c r="I5" s="46"/>
      <c r="J5" s="46"/>
    </row>
    <row r="6">
      <c r="A6" s="1"/>
      <c r="B6" s="34"/>
      <c r="C6" s="18"/>
      <c r="D6" s="18"/>
      <c r="E6" s="18"/>
      <c r="F6" s="18"/>
      <c r="G6" s="18"/>
      <c r="H6" s="104"/>
      <c r="I6" s="34"/>
      <c r="J6" s="34"/>
    </row>
    <row r="7">
      <c r="A7" s="1"/>
      <c r="B7" s="12"/>
      <c r="C7" s="6"/>
      <c r="D7" s="6"/>
      <c r="E7" s="6"/>
      <c r="F7" s="6"/>
      <c r="G7" s="6"/>
      <c r="H7" s="101"/>
      <c r="I7" s="12"/>
      <c r="J7" s="12"/>
    </row>
    <row r="8">
      <c r="A8" s="1"/>
      <c r="B8" s="1"/>
      <c r="C8" s="1"/>
      <c r="D8" s="1"/>
      <c r="E8" s="1"/>
      <c r="F8" s="1"/>
      <c r="G8" s="1"/>
      <c r="H8" s="1"/>
      <c r="I8" s="1"/>
      <c r="J8" s="1"/>
    </row>
    <row r="9">
      <c r="A9" s="1"/>
      <c r="B9" s="41" t="s">
        <v>872</v>
      </c>
      <c r="C9" s="1"/>
      <c r="D9" s="1"/>
      <c r="E9" s="1"/>
      <c r="F9" s="1"/>
      <c r="G9" s="1"/>
      <c r="H9" s="1"/>
      <c r="I9" s="1"/>
      <c r="J9" s="1"/>
    </row>
    <row r="10" ht="24">
      <c r="A10" s="1"/>
      <c r="B10" s="23" t="s">
        <v>873</v>
      </c>
      <c r="C10" s="14" t="s">
        <v>874</v>
      </c>
      <c r="D10" s="14" t="s">
        <v>875</v>
      </c>
      <c r="E10" s="14" t="s">
        <v>876</v>
      </c>
      <c r="F10" s="14" t="s">
        <v>877</v>
      </c>
      <c r="G10" s="14" t="s">
        <v>878</v>
      </c>
      <c r="H10" s="14" t="s">
        <v>879</v>
      </c>
      <c r="I10" s="14" t="s">
        <v>880</v>
      </c>
      <c r="J10" s="14" t="s">
        <v>881</v>
      </c>
    </row>
    <row r="11" ht="34.5">
      <c r="A11" s="1"/>
      <c r="B11" s="4" t="s">
        <v>882</v>
      </c>
      <c r="C11" s="2">
        <v>46313</v>
      </c>
      <c r="D11" s="4" t="s">
        <v>883</v>
      </c>
      <c r="E11" s="4" t="s">
        <v>884</v>
      </c>
      <c r="F11" s="4" t="s">
        <v>59</v>
      </c>
      <c r="G11" s="4" t="s">
        <v>885</v>
      </c>
      <c r="H11" s="4" t="s">
        <v>59</v>
      </c>
      <c r="I11" s="4" t="s">
        <v>886</v>
      </c>
      <c r="J11" s="4" t="s">
        <v>887</v>
      </c>
    </row>
    <row r="12" ht="34.5">
      <c r="A12" s="1"/>
      <c r="B12" s="4" t="s">
        <v>888</v>
      </c>
      <c r="C12" s="2">
        <v>46313</v>
      </c>
      <c r="D12" s="4" t="s">
        <v>883</v>
      </c>
      <c r="E12" s="4" t="s">
        <v>884</v>
      </c>
      <c r="F12" s="4" t="s">
        <v>59</v>
      </c>
      <c r="G12" s="4" t="s">
        <v>885</v>
      </c>
      <c r="H12" s="4" t="s">
        <v>59</v>
      </c>
      <c r="I12" s="4" t="s">
        <v>889</v>
      </c>
      <c r="J12" s="4" t="s">
        <v>890</v>
      </c>
    </row>
    <row r="13" ht="34.5">
      <c r="A13" s="1"/>
      <c r="B13" s="4" t="s">
        <v>891</v>
      </c>
      <c r="C13" s="2">
        <v>45947</v>
      </c>
      <c r="D13" s="4" t="s">
        <v>892</v>
      </c>
      <c r="E13" s="4" t="s">
        <v>893</v>
      </c>
      <c r="F13" s="4" t="s">
        <v>59</v>
      </c>
      <c r="G13" s="4" t="s">
        <v>894</v>
      </c>
      <c r="H13" s="4" t="s">
        <v>59</v>
      </c>
      <c r="I13" s="4" t="s">
        <v>895</v>
      </c>
      <c r="J13" s="4" t="s">
        <v>896</v>
      </c>
    </row>
    <row r="14" ht="34.5">
      <c r="A14" s="1"/>
      <c r="B14" s="4" t="s">
        <v>897</v>
      </c>
      <c r="C14" s="2">
        <v>46045</v>
      </c>
      <c r="D14" s="4" t="s">
        <v>892</v>
      </c>
      <c r="E14" s="4" t="s">
        <v>893</v>
      </c>
      <c r="F14" s="4" t="s">
        <v>59</v>
      </c>
      <c r="G14" s="4" t="s">
        <v>894</v>
      </c>
      <c r="H14" s="4" t="s">
        <v>59</v>
      </c>
      <c r="I14" s="4" t="s">
        <v>898</v>
      </c>
      <c r="J14" s="4" t="s">
        <v>899</v>
      </c>
    </row>
    <row r="15" ht="34.5">
      <c r="A15" s="1"/>
      <c r="B15" s="4" t="s">
        <v>900</v>
      </c>
      <c r="C15" s="2">
        <v>46136</v>
      </c>
      <c r="D15" s="4" t="s">
        <v>892</v>
      </c>
      <c r="E15" s="4" t="s">
        <v>893</v>
      </c>
      <c r="F15" s="4" t="s">
        <v>59</v>
      </c>
      <c r="G15" s="4" t="s">
        <v>894</v>
      </c>
      <c r="H15" s="4" t="s">
        <v>59</v>
      </c>
      <c r="I15" s="4" t="s">
        <v>901</v>
      </c>
      <c r="J15" s="4" t="s">
        <v>902</v>
      </c>
    </row>
    <row r="16" ht="34.5">
      <c r="A16" s="1"/>
      <c r="B16" s="4" t="s">
        <v>903</v>
      </c>
      <c r="C16" s="2">
        <v>46227</v>
      </c>
      <c r="D16" s="4" t="s">
        <v>892</v>
      </c>
      <c r="E16" s="4" t="s">
        <v>904</v>
      </c>
      <c r="F16" s="4" t="s">
        <v>59</v>
      </c>
      <c r="G16" s="4" t="s">
        <v>894</v>
      </c>
      <c r="H16" s="4" t="s">
        <v>59</v>
      </c>
      <c r="I16" s="4" t="s">
        <v>905</v>
      </c>
      <c r="J16" s="4" t="s">
        <v>906</v>
      </c>
    </row>
    <row r="17" ht="34.5">
      <c r="A17" s="1"/>
      <c r="B17" s="4" t="s">
        <v>907</v>
      </c>
      <c r="C17" s="2">
        <v>46227</v>
      </c>
      <c r="D17" s="4" t="s">
        <v>908</v>
      </c>
      <c r="E17" s="4" t="s">
        <v>904</v>
      </c>
      <c r="F17" s="4" t="s">
        <v>59</v>
      </c>
      <c r="G17" s="4" t="s">
        <v>909</v>
      </c>
      <c r="H17" s="4" t="s">
        <v>59</v>
      </c>
      <c r="I17" s="4" t="s">
        <v>910</v>
      </c>
      <c r="J17" s="4" t="s">
        <v>911</v>
      </c>
    </row>
    <row r="18" ht="34.5">
      <c r="A18" s="1"/>
      <c r="B18" s="4" t="s">
        <v>912</v>
      </c>
      <c r="C18" s="2">
        <v>46232</v>
      </c>
      <c r="D18" s="4" t="s">
        <v>913</v>
      </c>
      <c r="E18" s="4" t="s">
        <v>914</v>
      </c>
      <c r="F18" s="4" t="s">
        <v>59</v>
      </c>
      <c r="G18" s="4" t="s">
        <v>915</v>
      </c>
      <c r="H18" s="4" t="s">
        <v>59</v>
      </c>
      <c r="I18" s="4" t="s">
        <v>916</v>
      </c>
      <c r="J18" s="4" t="s">
        <v>917</v>
      </c>
    </row>
    <row r="19" ht="34.5">
      <c r="A19" s="1"/>
      <c r="B19" s="4" t="s">
        <v>918</v>
      </c>
      <c r="C19" s="2">
        <v>46141</v>
      </c>
      <c r="D19" s="4" t="s">
        <v>913</v>
      </c>
      <c r="E19" s="4" t="s">
        <v>919</v>
      </c>
      <c r="F19" s="4" t="s">
        <v>59</v>
      </c>
      <c r="G19" s="4" t="s">
        <v>915</v>
      </c>
      <c r="H19" s="4" t="s">
        <v>59</v>
      </c>
      <c r="I19" s="4" t="s">
        <v>920</v>
      </c>
      <c r="J19" s="4" t="s">
        <v>921</v>
      </c>
    </row>
    <row r="20" ht="34.5">
      <c r="A20" s="1"/>
      <c r="B20" s="4" t="s">
        <v>922</v>
      </c>
      <c r="C20" s="2">
        <v>45952</v>
      </c>
      <c r="D20" s="4" t="s">
        <v>913</v>
      </c>
      <c r="E20" s="4" t="s">
        <v>919</v>
      </c>
      <c r="F20" s="4" t="s">
        <v>59</v>
      </c>
      <c r="G20" s="4" t="s">
        <v>915</v>
      </c>
      <c r="H20" s="4" t="s">
        <v>59</v>
      </c>
      <c r="I20" s="4" t="s">
        <v>923</v>
      </c>
      <c r="J20" s="4" t="s">
        <v>924</v>
      </c>
    </row>
    <row r="21" ht="24">
      <c r="A21" s="1"/>
      <c r="B21" s="4" t="s">
        <v>925</v>
      </c>
      <c r="C21" s="2">
        <v>46045</v>
      </c>
      <c r="D21" s="4" t="s">
        <v>913</v>
      </c>
      <c r="E21" s="4" t="s">
        <v>926</v>
      </c>
      <c r="F21" s="4" t="s">
        <v>59</v>
      </c>
      <c r="G21" s="4" t="s">
        <v>927</v>
      </c>
      <c r="H21" s="4" t="s">
        <v>59</v>
      </c>
      <c r="I21" s="4" t="s">
        <v>928</v>
      </c>
      <c r="J21" s="4" t="s">
        <v>929</v>
      </c>
    </row>
    <row r="22" ht="34.5">
      <c r="A22" s="1"/>
      <c r="B22" s="4" t="s">
        <v>930</v>
      </c>
      <c r="C22" s="2">
        <v>46293</v>
      </c>
      <c r="D22" s="4" t="s">
        <v>931</v>
      </c>
      <c r="E22" s="4" t="s">
        <v>932</v>
      </c>
      <c r="F22" s="4" t="s">
        <v>59</v>
      </c>
      <c r="G22" s="4" t="s">
        <v>933</v>
      </c>
      <c r="H22" s="4" t="s">
        <v>59</v>
      </c>
      <c r="I22" s="4" t="s">
        <v>934</v>
      </c>
      <c r="J22" s="4" t="s">
        <v>935</v>
      </c>
    </row>
    <row r="23" ht="34.5">
      <c r="A23" s="1"/>
      <c r="B23" s="4" t="s">
        <v>936</v>
      </c>
      <c r="C23" s="2">
        <v>46045</v>
      </c>
      <c r="D23" s="4" t="s">
        <v>908</v>
      </c>
      <c r="E23" s="4" t="s">
        <v>937</v>
      </c>
      <c r="F23" s="4" t="s">
        <v>59</v>
      </c>
      <c r="G23" s="4" t="s">
        <v>909</v>
      </c>
      <c r="H23" s="4" t="s">
        <v>59</v>
      </c>
      <c r="I23" s="4" t="s">
        <v>938</v>
      </c>
      <c r="J23" s="4" t="s">
        <v>939</v>
      </c>
    </row>
    <row r="24" ht="24">
      <c r="A24" s="1"/>
      <c r="B24" s="4" t="s">
        <v>940</v>
      </c>
      <c r="C24" s="2">
        <v>45947</v>
      </c>
      <c r="D24" s="4" t="s">
        <v>908</v>
      </c>
      <c r="E24" s="4" t="s">
        <v>937</v>
      </c>
      <c r="F24" s="4" t="s">
        <v>59</v>
      </c>
      <c r="G24" s="4" t="s">
        <v>941</v>
      </c>
      <c r="H24" s="4" t="s">
        <v>59</v>
      </c>
      <c r="I24" s="4" t="s">
        <v>942</v>
      </c>
      <c r="J24" s="4" t="s">
        <v>943</v>
      </c>
    </row>
    <row r="25" ht="24">
      <c r="A25" s="1"/>
      <c r="B25" s="4" t="s">
        <v>944</v>
      </c>
      <c r="C25" s="2">
        <v>45856</v>
      </c>
      <c r="D25" s="4" t="s">
        <v>908</v>
      </c>
      <c r="E25" s="4" t="s">
        <v>937</v>
      </c>
      <c r="F25" s="4" t="s">
        <v>59</v>
      </c>
      <c r="G25" s="4" t="s">
        <v>941</v>
      </c>
      <c r="H25" s="4" t="s">
        <v>59</v>
      </c>
      <c r="I25" s="4" t="s">
        <v>945</v>
      </c>
      <c r="J25" s="4" t="s">
        <v>946</v>
      </c>
    </row>
    <row r="26" ht="34.5">
      <c r="A26" s="1"/>
      <c r="B26" s="4" t="s">
        <v>947</v>
      </c>
      <c r="C26" s="2">
        <v>46136</v>
      </c>
      <c r="D26" s="4" t="s">
        <v>908</v>
      </c>
      <c r="E26" s="4" t="s">
        <v>937</v>
      </c>
      <c r="F26" s="4" t="s">
        <v>59</v>
      </c>
      <c r="G26" s="4" t="s">
        <v>909</v>
      </c>
      <c r="H26" s="4" t="s">
        <v>59</v>
      </c>
      <c r="I26" s="4" t="s">
        <v>948</v>
      </c>
      <c r="J26" s="4" t="s">
        <v>949</v>
      </c>
    </row>
    <row r="27" ht="45">
      <c r="A27" s="1"/>
      <c r="B27" s="4" t="s">
        <v>950</v>
      </c>
      <c r="C27" s="2">
        <v>46265</v>
      </c>
      <c r="D27" s="4" t="s">
        <v>951</v>
      </c>
      <c r="E27" s="4" t="s">
        <v>952</v>
      </c>
      <c r="F27" s="4" t="s">
        <v>59</v>
      </c>
      <c r="G27" s="4" t="s">
        <v>953</v>
      </c>
      <c r="H27" s="4" t="s">
        <v>59</v>
      </c>
      <c r="I27" s="4" t="s">
        <v>954</v>
      </c>
      <c r="J27" s="4" t="s">
        <v>955</v>
      </c>
    </row>
    <row r="28" ht="45">
      <c r="A28" s="1"/>
      <c r="B28" s="4" t="s">
        <v>956</v>
      </c>
      <c r="C28" s="2">
        <v>46276</v>
      </c>
      <c r="D28" s="4" t="s">
        <v>957</v>
      </c>
      <c r="E28" s="4" t="s">
        <v>958</v>
      </c>
      <c r="F28" s="4" t="s">
        <v>59</v>
      </c>
      <c r="G28" s="4" t="s">
        <v>959</v>
      </c>
      <c r="H28" s="4" t="s">
        <v>59</v>
      </c>
      <c r="I28" s="4" t="s">
        <v>960</v>
      </c>
      <c r="J28" s="4" t="s">
        <v>961</v>
      </c>
    </row>
    <row r="29" ht="34.5">
      <c r="A29" s="1"/>
      <c r="B29" s="4" t="s">
        <v>962</v>
      </c>
      <c r="C29" s="39" t="s">
        <v>963</v>
      </c>
      <c r="D29" s="4" t="s">
        <v>964</v>
      </c>
      <c r="E29" s="4" t="s">
        <v>958</v>
      </c>
      <c r="F29" s="4" t="s">
        <v>59</v>
      </c>
      <c r="G29" s="4" t="s">
        <v>965</v>
      </c>
      <c r="H29" s="4" t="s">
        <v>59</v>
      </c>
      <c r="I29" s="4" t="s">
        <v>966</v>
      </c>
      <c r="J29" s="4" t="s">
        <v>967</v>
      </c>
    </row>
    <row r="30" ht="45">
      <c r="A30" s="1"/>
      <c r="B30" s="4" t="s">
        <v>968</v>
      </c>
      <c r="C30" s="2">
        <v>46290</v>
      </c>
      <c r="D30" s="4" t="s">
        <v>969</v>
      </c>
      <c r="E30" s="4" t="s">
        <v>970</v>
      </c>
      <c r="F30" s="4" t="s">
        <v>59</v>
      </c>
      <c r="G30" s="4" t="s">
        <v>971</v>
      </c>
      <c r="H30" s="4" t="s">
        <v>59</v>
      </c>
      <c r="I30" s="4" t="s">
        <v>972</v>
      </c>
      <c r="J30" s="4" t="s">
        <v>973</v>
      </c>
    </row>
    <row r="31" ht="45">
      <c r="A31" s="1"/>
      <c r="B31" s="4" t="s">
        <v>974</v>
      </c>
      <c r="C31" s="2">
        <v>46245</v>
      </c>
      <c r="D31" s="4" t="s">
        <v>975</v>
      </c>
      <c r="E31" s="4" t="s">
        <v>958</v>
      </c>
      <c r="F31" s="4" t="s">
        <v>59</v>
      </c>
      <c r="G31" s="4" t="s">
        <v>965</v>
      </c>
      <c r="H31" s="4" t="s">
        <v>59</v>
      </c>
      <c r="I31" s="4" t="s">
        <v>976</v>
      </c>
      <c r="J31" s="4" t="s">
        <v>977</v>
      </c>
    </row>
    <row r="32" ht="45">
      <c r="A32" s="1"/>
      <c r="B32" s="4" t="s">
        <v>978</v>
      </c>
      <c r="C32" s="39" t="s">
        <v>979</v>
      </c>
      <c r="D32" s="4" t="s">
        <v>980</v>
      </c>
      <c r="E32" s="4" t="s">
        <v>981</v>
      </c>
      <c r="F32" s="4" t="s">
        <v>59</v>
      </c>
      <c r="G32" s="4" t="s">
        <v>982</v>
      </c>
      <c r="H32" s="4" t="s">
        <v>983</v>
      </c>
      <c r="I32" s="4" t="s">
        <v>984</v>
      </c>
      <c r="J32" s="4" t="s">
        <v>985</v>
      </c>
    </row>
    <row r="33" ht="55.5">
      <c r="A33" s="1"/>
      <c r="B33" s="4" t="s">
        <v>986</v>
      </c>
      <c r="C33" s="2">
        <v>46311</v>
      </c>
      <c r="D33" s="4" t="s">
        <v>987</v>
      </c>
      <c r="E33" s="4" t="s">
        <v>932</v>
      </c>
      <c r="F33" s="4" t="s">
        <v>59</v>
      </c>
      <c r="G33" s="4" t="s">
        <v>988</v>
      </c>
      <c r="H33" s="4" t="s">
        <v>59</v>
      </c>
      <c r="I33" s="4" t="s">
        <v>989</v>
      </c>
      <c r="J33" s="4" t="s">
        <v>990</v>
      </c>
    </row>
    <row r="34" ht="45">
      <c r="A34" s="1"/>
      <c r="B34" s="4" t="s">
        <v>991</v>
      </c>
      <c r="C34" s="2">
        <v>46311</v>
      </c>
      <c r="D34" s="4" t="s">
        <v>992</v>
      </c>
      <c r="E34" s="4" t="s">
        <v>993</v>
      </c>
      <c r="F34" s="4" t="s">
        <v>59</v>
      </c>
      <c r="G34" s="4" t="s">
        <v>994</v>
      </c>
      <c r="H34" s="4" t="s">
        <v>59</v>
      </c>
      <c r="I34" s="4" t="s">
        <v>995</v>
      </c>
      <c r="J34" s="4" t="s">
        <v>996</v>
      </c>
    </row>
    <row r="35" ht="24">
      <c r="A35" s="1"/>
      <c r="B35" s="4" t="s">
        <v>997</v>
      </c>
      <c r="C35" s="39" t="s">
        <v>998</v>
      </c>
      <c r="D35" s="4" t="s">
        <v>999</v>
      </c>
      <c r="E35" s="4" t="s">
        <v>993</v>
      </c>
      <c r="F35" s="4" t="s">
        <v>59</v>
      </c>
      <c r="G35" s="4" t="s">
        <v>1000</v>
      </c>
      <c r="H35" s="4" t="s">
        <v>59</v>
      </c>
      <c r="I35" s="4" t="s">
        <v>1001</v>
      </c>
      <c r="J35" s="4" t="s">
        <v>1002</v>
      </c>
    </row>
    <row r="36" ht="55.5">
      <c r="A36" s="1"/>
      <c r="B36" s="4" t="s">
        <v>1003</v>
      </c>
      <c r="C36" s="39" t="s">
        <v>1004</v>
      </c>
      <c r="D36" s="4" t="s">
        <v>1005</v>
      </c>
      <c r="E36" s="4" t="s">
        <v>958</v>
      </c>
      <c r="F36" s="4" t="s">
        <v>59</v>
      </c>
      <c r="G36" s="4" t="s">
        <v>1006</v>
      </c>
      <c r="H36" s="4" t="s">
        <v>983</v>
      </c>
      <c r="I36" s="4" t="s">
        <v>1007</v>
      </c>
      <c r="J36" s="4" t="s">
        <v>1008</v>
      </c>
    </row>
    <row r="37" ht="34.5">
      <c r="A37" s="1"/>
      <c r="B37" s="4" t="s">
        <v>1009</v>
      </c>
      <c r="C37" s="2">
        <v>46227</v>
      </c>
      <c r="D37" s="4" t="s">
        <v>1010</v>
      </c>
      <c r="E37" s="4" t="s">
        <v>970</v>
      </c>
      <c r="F37" s="4" t="s">
        <v>59</v>
      </c>
      <c r="G37" s="4" t="s">
        <v>1011</v>
      </c>
      <c r="H37" s="4" t="s">
        <v>983</v>
      </c>
      <c r="I37" s="4" t="s">
        <v>1012</v>
      </c>
      <c r="J37" s="4" t="s">
        <v>1013</v>
      </c>
    </row>
    <row r="38" ht="55.5">
      <c r="A38" s="1"/>
      <c r="B38" s="4" t="s">
        <v>1014</v>
      </c>
      <c r="C38" s="39" t="s">
        <v>1015</v>
      </c>
      <c r="D38" s="4" t="s">
        <v>1016</v>
      </c>
      <c r="E38" s="4" t="s">
        <v>970</v>
      </c>
      <c r="F38" s="4" t="s">
        <v>59</v>
      </c>
      <c r="G38" s="4" t="s">
        <v>933</v>
      </c>
      <c r="H38" s="4" t="s">
        <v>983</v>
      </c>
      <c r="I38" s="4" t="s">
        <v>1017</v>
      </c>
      <c r="J38" s="4" t="s">
        <v>1018</v>
      </c>
    </row>
    <row r="39" ht="45">
      <c r="A39" s="1"/>
      <c r="B39" s="4" t="s">
        <v>1019</v>
      </c>
      <c r="C39" s="39" t="s">
        <v>1020</v>
      </c>
      <c r="D39" s="4" t="s">
        <v>1021</v>
      </c>
      <c r="E39" s="4" t="s">
        <v>1022</v>
      </c>
      <c r="F39" s="4" t="s">
        <v>59</v>
      </c>
      <c r="G39" s="4" t="s">
        <v>1000</v>
      </c>
      <c r="H39" s="4" t="s">
        <v>983</v>
      </c>
      <c r="I39" s="4" t="s">
        <v>1023</v>
      </c>
      <c r="J39" s="4" t="s">
        <v>1024</v>
      </c>
    </row>
    <row r="40" ht="55.5">
      <c r="A40" s="1"/>
      <c r="B40" s="4" t="s">
        <v>1025</v>
      </c>
      <c r="C40" s="2">
        <v>46273</v>
      </c>
      <c r="D40" s="4" t="s">
        <v>1026</v>
      </c>
      <c r="E40" s="4" t="s">
        <v>970</v>
      </c>
      <c r="F40" s="4" t="s">
        <v>59</v>
      </c>
      <c r="G40" s="4" t="s">
        <v>965</v>
      </c>
      <c r="H40" s="4" t="s">
        <v>59</v>
      </c>
      <c r="I40" s="4" t="s">
        <v>1027</v>
      </c>
      <c r="J40" s="4" t="s">
        <v>973</v>
      </c>
    </row>
    <row r="41" ht="45">
      <c r="A41" s="1"/>
      <c r="B41" s="4" t="s">
        <v>1028</v>
      </c>
      <c r="C41" s="39" t="s">
        <v>1029</v>
      </c>
      <c r="D41" s="4" t="s">
        <v>1030</v>
      </c>
      <c r="E41" s="4" t="s">
        <v>932</v>
      </c>
      <c r="F41" s="4" t="s">
        <v>59</v>
      </c>
      <c r="G41" s="4" t="s">
        <v>1031</v>
      </c>
      <c r="H41" s="4" t="s">
        <v>983</v>
      </c>
      <c r="I41" s="4" t="s">
        <v>1032</v>
      </c>
      <c r="J41" s="4" t="s">
        <v>1033</v>
      </c>
    </row>
    <row r="42" ht="34.5">
      <c r="A42" s="1"/>
      <c r="B42" s="4" t="s">
        <v>1034</v>
      </c>
      <c r="C42" s="2">
        <v>45588</v>
      </c>
      <c r="D42" s="4" t="s">
        <v>913</v>
      </c>
      <c r="E42" s="4" t="s">
        <v>1035</v>
      </c>
      <c r="F42" s="4" t="s">
        <v>59</v>
      </c>
      <c r="G42" s="4" t="s">
        <v>915</v>
      </c>
      <c r="H42" s="4" t="s">
        <v>59</v>
      </c>
      <c r="I42" s="4" t="s">
        <v>1036</v>
      </c>
      <c r="J42" s="4" t="s">
        <v>1037</v>
      </c>
    </row>
    <row r="43" ht="34.5">
      <c r="A43" s="1"/>
      <c r="B43" s="4" t="s">
        <v>1038</v>
      </c>
      <c r="C43" s="2">
        <v>45772</v>
      </c>
      <c r="D43" s="4" t="s">
        <v>913</v>
      </c>
      <c r="E43" s="4" t="s">
        <v>1035</v>
      </c>
      <c r="F43" s="4" t="s">
        <v>59</v>
      </c>
      <c r="G43" s="4" t="s">
        <v>915</v>
      </c>
      <c r="H43" s="4" t="s">
        <v>59</v>
      </c>
      <c r="I43" s="4" t="s">
        <v>1039</v>
      </c>
      <c r="J43" s="4" t="s">
        <v>1040</v>
      </c>
    </row>
    <row r="44" ht="34.5">
      <c r="A44" s="1"/>
      <c r="B44" s="4" t="s">
        <v>1041</v>
      </c>
      <c r="C44" s="2">
        <v>45862</v>
      </c>
      <c r="D44" s="4" t="s">
        <v>913</v>
      </c>
      <c r="E44" s="4" t="s">
        <v>1035</v>
      </c>
      <c r="F44" s="4" t="s">
        <v>59</v>
      </c>
      <c r="G44" s="4" t="s">
        <v>915</v>
      </c>
      <c r="H44" s="4" t="s">
        <v>59</v>
      </c>
      <c r="I44" s="4" t="s">
        <v>1042</v>
      </c>
      <c r="J44" s="4" t="s">
        <v>1043</v>
      </c>
    </row>
    <row r="45">
      <c r="A45" s="1"/>
      <c r="B45" s="1"/>
      <c r="C45" s="36"/>
      <c r="D45" s="1"/>
      <c r="E45" s="1"/>
      <c r="F45" s="1"/>
      <c r="G45" s="1"/>
      <c r="H45" s="1"/>
      <c r="I45" s="1"/>
      <c r="J45" s="1"/>
    </row>
    <row r="46">
      <c r="A46" s="1"/>
      <c r="B46" s="41" t="s">
        <v>1044</v>
      </c>
      <c r="C46" s="36"/>
      <c r="D46" s="1"/>
      <c r="E46" s="1"/>
      <c r="F46" s="1"/>
      <c r="G46" s="1"/>
      <c r="H46" s="1"/>
      <c r="I46" s="1"/>
      <c r="J46" s="1"/>
    </row>
    <row r="47">
      <c r="A47" s="1"/>
      <c r="B47" s="1" t="s">
        <v>1045</v>
      </c>
      <c r="C47" s="36"/>
      <c r="D47" s="1"/>
      <c r="E47" s="1"/>
      <c r="F47" s="1"/>
      <c r="G47" s="1"/>
      <c r="H47" s="1"/>
      <c r="I47" s="1"/>
      <c r="J47" s="1"/>
    </row>
    <row r="48">
      <c r="A48" s="1"/>
      <c r="B48" s="1" t="s">
        <v>1046</v>
      </c>
      <c r="C48" s="36"/>
      <c r="D48" s="1"/>
      <c r="E48" s="1"/>
      <c r="F48" s="1"/>
      <c r="G48" s="1"/>
      <c r="H48" s="1"/>
      <c r="I48" s="1"/>
      <c r="J48" s="1"/>
    </row>
    <row r="49">
      <c r="A49" s="1"/>
      <c r="B49" s="1" t="s">
        <v>1047</v>
      </c>
      <c r="C49" s="36"/>
      <c r="D49" s="1"/>
      <c r="E49" s="1"/>
      <c r="F49" s="1"/>
      <c r="G49" s="1"/>
      <c r="H49" s="1"/>
      <c r="I49" s="1"/>
      <c r="J49" s="1"/>
    </row>
    <row r="50">
      <c r="A50" s="1"/>
      <c r="B50" s="1" t="s">
        <v>1048</v>
      </c>
      <c r="C50" s="36"/>
      <c r="D50" s="1"/>
      <c r="E50" s="1"/>
      <c r="F50" s="1"/>
      <c r="G50" s="1"/>
      <c r="H50" s="1"/>
      <c r="I50" s="1"/>
      <c r="J50" s="1"/>
    </row>
    <row r="51">
      <c r="A51" s="1"/>
      <c r="B51" s="1" t="s">
        <v>1049</v>
      </c>
      <c r="C51" s="36"/>
      <c r="D51" s="1"/>
      <c r="E51" s="1"/>
      <c r="F51" s="1"/>
      <c r="G51" s="1"/>
      <c r="H51" s="1"/>
      <c r="I51" s="1"/>
      <c r="J51" s="1"/>
    </row>
    <row r="52">
      <c r="A52" s="1"/>
      <c r="B52" s="1"/>
      <c r="C52" s="36"/>
      <c r="D52" s="1"/>
      <c r="E52" s="1"/>
      <c r="F52" s="1"/>
      <c r="G52" s="1"/>
      <c r="H52" s="1"/>
      <c r="I52" s="1"/>
      <c r="J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dimension ref="A1:N16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4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1"/>
      <c r="B2" s="5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>
      <c r="A3" s="1"/>
      <c r="B3" s="33" t="s">
        <v>1050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>
      <c r="A4" s="1"/>
      <c r="B4" s="1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>
      <c r="A5" s="1"/>
      <c r="B5" s="103" t="s">
        <v>1051</v>
      </c>
      <c r="C5" s="7"/>
      <c r="D5" s="7"/>
      <c r="E5" s="7"/>
      <c r="F5" s="7"/>
      <c r="G5" s="7"/>
      <c r="H5" s="102"/>
      <c r="I5" s="46"/>
      <c r="J5" s="46"/>
      <c r="K5" s="46"/>
      <c r="L5" s="46"/>
      <c r="M5" s="46"/>
      <c r="N5" s="46"/>
    </row>
    <row r="6">
      <c r="A6" s="1"/>
      <c r="B6" s="34"/>
      <c r="C6" s="18"/>
      <c r="D6" s="18"/>
      <c r="E6" s="18"/>
      <c r="F6" s="18"/>
      <c r="G6" s="18"/>
      <c r="H6" s="104"/>
      <c r="I6" s="34"/>
      <c r="J6" s="34"/>
      <c r="K6" s="34"/>
      <c r="L6" s="34"/>
      <c r="M6" s="34"/>
      <c r="N6" s="34"/>
    </row>
    <row r="7">
      <c r="A7" s="1"/>
      <c r="B7" s="12"/>
      <c r="C7" s="6"/>
      <c r="D7" s="6"/>
      <c r="E7" s="6"/>
      <c r="F7" s="6"/>
      <c r="G7" s="6"/>
      <c r="H7" s="101"/>
      <c r="I7" s="12"/>
      <c r="J7" s="12"/>
      <c r="K7" s="12"/>
      <c r="L7" s="12"/>
      <c r="M7" s="12"/>
      <c r="N7" s="12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>
      <c r="A9" s="1"/>
      <c r="B9" s="41" t="s">
        <v>1052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>
      <c r="A10" s="1"/>
      <c r="B10" s="23" t="s">
        <v>1053</v>
      </c>
      <c r="C10" s="23" t="s">
        <v>1054</v>
      </c>
      <c r="D10" s="23"/>
      <c r="E10" s="23"/>
      <c r="F10" s="23"/>
      <c r="G10" s="23"/>
      <c r="H10" s="23"/>
      <c r="I10" s="1"/>
      <c r="J10" s="1"/>
      <c r="K10" s="1"/>
      <c r="L10" s="1"/>
      <c r="M10" s="1"/>
      <c r="N10" s="1"/>
    </row>
    <row r="11">
      <c r="A11" s="1"/>
      <c r="B11" s="1" t="s">
        <v>1055</v>
      </c>
      <c r="C11" s="1" t="s">
        <v>1056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>
      <c r="A12" s="1"/>
      <c r="B12" s="1" t="s">
        <v>1057</v>
      </c>
      <c r="C12" s="1" t="s">
        <v>1058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>
      <c r="A13" s="1"/>
      <c r="B13" s="1" t="s">
        <v>1059</v>
      </c>
      <c r="C13" s="1" t="s">
        <v>1060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>
      <c r="A14" s="1"/>
      <c r="B14" s="1" t="s">
        <v>1061</v>
      </c>
      <c r="C14" s="1" t="s">
        <v>1062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>
      <c r="A15" s="1"/>
      <c r="B15" s="1" t="s">
        <v>1063</v>
      </c>
      <c r="C15" s="100">
        <v>46295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>
      <c r="A16" s="1"/>
      <c r="B16" s="1" t="s">
        <v>1064</v>
      </c>
      <c r="C16" s="100">
        <v>46313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>
      <c r="A17" s="1"/>
      <c r="B17" s="1" t="s">
        <v>1065</v>
      </c>
      <c r="C17" s="99">
        <v>24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>
      <c r="A18" s="1"/>
      <c r="B18" s="1" t="s">
        <v>1066</v>
      </c>
      <c r="C18" s="44">
        <v>0.61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>
      <c r="A19" s="1"/>
      <c r="B19" s="1" t="s">
        <v>1067</v>
      </c>
      <c r="C19" s="1" t="s">
        <v>1068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>
      <c r="A20" s="1"/>
      <c r="B20" s="1" t="s">
        <v>1069</v>
      </c>
      <c r="C20" s="9">
        <v>9266.41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>
      <c r="A21" s="1"/>
      <c r="B21" s="1" t="s">
        <v>1070</v>
      </c>
      <c r="C21" s="1" t="s">
        <v>1071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>
      <c r="A22" s="1"/>
      <c r="B22" s="1" t="s">
        <v>1072</v>
      </c>
      <c r="C22" s="1" t="s">
        <v>1073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>
      <c r="A23" s="1"/>
      <c r="B23" s="1" t="s">
        <v>1074</v>
      </c>
      <c r="C23" s="1" t="s">
        <v>1075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>
      <c r="A24" s="1"/>
      <c r="B24" s="1" t="s">
        <v>1076</v>
      </c>
      <c r="C24" s="1" t="s">
        <v>1071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>
      <c r="A25" s="1"/>
      <c r="B25" s="1" t="s">
        <v>1077</v>
      </c>
      <c r="C25" s="1" t="s">
        <v>1071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>
      <c r="A26" s="1"/>
      <c r="B26" s="1" t="s">
        <v>1078</v>
      </c>
      <c r="C26" s="1" t="s">
        <v>1079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>
      <c r="A27" s="1"/>
      <c r="B27" s="1" t="s">
        <v>1080</v>
      </c>
      <c r="C27" s="1" t="s">
        <v>1071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24">
      <c r="A28" s="1"/>
      <c r="B28" s="4" t="s">
        <v>1081</v>
      </c>
      <c r="C28" s="1" t="s">
        <v>1082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>
      <c r="A29" s="1"/>
      <c r="B29" s="1" t="s">
        <v>1083</v>
      </c>
      <c r="C29" s="1" t="s">
        <v>1058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>
      <c r="A30" s="1"/>
      <c r="B30" s="1" t="s">
        <v>1084</v>
      </c>
      <c r="C30" s="1" t="s">
        <v>1085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>
      <c r="A31" s="1"/>
      <c r="B31" s="1" t="s">
        <v>1086</v>
      </c>
      <c r="C31" s="1" t="s">
        <v>1087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>
      <c r="A32" s="1"/>
      <c r="B32" s="1" t="s">
        <v>1088</v>
      </c>
      <c r="C32" s="1" t="s">
        <v>1089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>
      <c r="A33" s="1"/>
      <c r="B33" s="1" t="s">
        <v>1090</v>
      </c>
      <c r="C33" s="1" t="s">
        <v>1062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>
      <c r="A35" s="1"/>
      <c r="B35" s="41" t="s">
        <v>1091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>
      <c r="A36" s="1"/>
      <c r="B36" s="23" t="s">
        <v>1053</v>
      </c>
      <c r="C36" s="23" t="s">
        <v>1054</v>
      </c>
      <c r="D36" s="23"/>
      <c r="E36" s="23"/>
      <c r="F36" s="23"/>
      <c r="G36" s="23"/>
      <c r="H36" s="23"/>
      <c r="I36" s="1"/>
      <c r="J36" s="1"/>
      <c r="K36" s="1"/>
      <c r="L36" s="1"/>
      <c r="M36" s="1"/>
      <c r="N36" s="1"/>
    </row>
    <row r="37">
      <c r="A37" s="1"/>
      <c r="B37" s="1" t="s">
        <v>1057</v>
      </c>
      <c r="C37" s="1" t="s">
        <v>1058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>
      <c r="A38" s="1"/>
      <c r="B38" s="1" t="s">
        <v>1092</v>
      </c>
      <c r="C38" s="1" t="s">
        <v>1060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>
      <c r="A39" s="1"/>
      <c r="B39" s="1" t="s">
        <v>1093</v>
      </c>
      <c r="C39" s="1" t="s">
        <v>1094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>
      <c r="A40" s="1"/>
      <c r="B40" s="1" t="s">
        <v>1095</v>
      </c>
      <c r="C40" s="99">
        <v>301966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>
      <c r="A41" s="1"/>
      <c r="B41" s="1" t="s">
        <v>1096</v>
      </c>
      <c r="C41" s="1" t="s">
        <v>1071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>
      <c r="A42" s="1"/>
      <c r="B42" s="1" t="s">
        <v>1097</v>
      </c>
      <c r="C42" s="1" t="s">
        <v>1098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>
      <c r="A43" s="1"/>
      <c r="B43" s="1" t="s">
        <v>1099</v>
      </c>
      <c r="C43" s="1" t="s">
        <v>1062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>
      <c r="A44" s="1"/>
      <c r="B44" s="1" t="s">
        <v>1100</v>
      </c>
      <c r="C44" s="100">
        <v>46295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>
      <c r="A45" s="1"/>
      <c r="B45" s="1" t="s">
        <v>1101</v>
      </c>
      <c r="C45" s="100">
        <v>46318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>
      <c r="A46" s="1"/>
      <c r="B46" s="1" t="s">
        <v>1067</v>
      </c>
      <c r="C46" s="1" t="s">
        <v>1102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>
      <c r="A47" s="1"/>
      <c r="B47" s="1" t="s">
        <v>1103</v>
      </c>
      <c r="C47" s="52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>
      <c r="A48" s="1"/>
      <c r="B48" s="1" t="s">
        <v>1104</v>
      </c>
      <c r="C48" s="52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>
      <c r="A49" s="1"/>
      <c r="B49" s="1" t="s">
        <v>1105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>
      <c r="A50" s="1"/>
      <c r="B50" s="1" t="s">
        <v>1106</v>
      </c>
      <c r="C50" s="97">
        <v>0.61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>
      <c r="A51" s="1"/>
      <c r="B51" s="1" t="s">
        <v>1107</v>
      </c>
      <c r="C51" s="97">
        <v>0.62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>
      <c r="A52" s="1"/>
      <c r="B52" s="1" t="s">
        <v>1108</v>
      </c>
      <c r="C52" s="97">
        <v>0.68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>
      <c r="A53" s="1"/>
      <c r="B53" s="1" t="s">
        <v>1109</v>
      </c>
      <c r="C53" s="97">
        <v>0.51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>
      <c r="A54" s="1"/>
      <c r="B54" s="1" t="s">
        <v>1110</v>
      </c>
      <c r="C54" s="97">
        <v>0.03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>
      <c r="A55" s="1"/>
      <c r="B55" s="1" t="s">
        <v>1111</v>
      </c>
      <c r="C55" s="52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>
      <c r="A56" s="1"/>
      <c r="B56" s="1" t="s">
        <v>1112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>
      <c r="A57" s="1"/>
      <c r="B57" s="1" t="s">
        <v>1113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>
      <c r="A58" s="1"/>
      <c r="B58" s="1" t="s">
        <v>1114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>
      <c r="A59" s="1"/>
      <c r="B59" s="1" t="s">
        <v>1115</v>
      </c>
      <c r="C59" s="97">
        <v>0.61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>
      <c r="A60" s="1"/>
      <c r="B60" s="1" t="s">
        <v>1116</v>
      </c>
      <c r="C60" s="97">
        <v>0.62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>
      <c r="A61" s="1"/>
      <c r="B61" s="1" t="s">
        <v>1117</v>
      </c>
      <c r="C61" s="97">
        <v>0.63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>
      <c r="A62" s="1"/>
      <c r="B62" s="1" t="s">
        <v>1118</v>
      </c>
      <c r="C62" s="97">
        <v>0.55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>
      <c r="A63" s="1"/>
      <c r="B63" s="1" t="s">
        <v>1119</v>
      </c>
      <c r="C63" s="97">
        <v>0.03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>
      <c r="A64" s="1"/>
      <c r="B64" s="1" t="s">
        <v>1120</v>
      </c>
      <c r="C64" s="52">
        <v>13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>
      <c r="A65" s="1"/>
      <c r="B65" s="1" t="s">
        <v>1121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>
      <c r="A66" s="1"/>
      <c r="B66" s="1" t="s">
        <v>1122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>
      <c r="A67" s="1"/>
      <c r="B67" s="1" t="s">
        <v>1123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>
      <c r="A68" s="1"/>
      <c r="B68" s="1" t="s">
        <v>1124</v>
      </c>
      <c r="C68" s="49">
        <v>9266.41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>
      <c r="A69" s="1"/>
      <c r="B69" s="1" t="s">
        <v>1125</v>
      </c>
      <c r="C69" s="49">
        <v>9286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>
      <c r="A70" s="1"/>
      <c r="B70" s="1" t="s">
        <v>1126</v>
      </c>
      <c r="C70" s="49">
        <v>9309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>
      <c r="A71" s="1"/>
      <c r="B71" s="1" t="s">
        <v>1127</v>
      </c>
      <c r="C71" s="49">
        <v>8943.3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>
      <c r="A72" s="1"/>
      <c r="B72" s="1" t="s">
        <v>1128</v>
      </c>
      <c r="C72" s="49">
        <v>74.45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>
      <c r="A73" s="1"/>
      <c r="B73" s="1" t="s">
        <v>1129</v>
      </c>
      <c r="C73" s="52">
        <v>21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>
      <c r="A74" s="1"/>
      <c r="B74" s="1" t="s">
        <v>1130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>
      <c r="A75" s="1"/>
      <c r="B75" s="1" t="s">
        <v>1131</v>
      </c>
      <c r="C75" s="49">
        <v>9241.16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>
      <c r="A76" s="1"/>
      <c r="B76" s="1" t="s">
        <v>1132</v>
      </c>
      <c r="C76" s="49">
        <v>9330.88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>
      <c r="A77" s="1"/>
      <c r="B77" s="1" t="s">
        <v>1133</v>
      </c>
      <c r="C77" s="49">
        <v>2018.56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>
      <c r="A78" s="1"/>
      <c r="B78" s="1" t="s">
        <v>1134</v>
      </c>
      <c r="C78" s="49">
        <v>1299.85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>
      <c r="A79" s="1"/>
      <c r="B79" s="1" t="s">
        <v>1135</v>
      </c>
      <c r="C79" s="49">
        <v>1214.58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>
      <c r="A80" s="1"/>
      <c r="B80" s="1" t="s">
        <v>1136</v>
      </c>
      <c r="C80" s="49">
        <v>1173.43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>
      <c r="A81" s="1"/>
      <c r="B81" s="1" t="s">
        <v>1137</v>
      </c>
      <c r="C81" s="49">
        <v>934.02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>
      <c r="A82" s="1"/>
      <c r="B82" s="1" t="s">
        <v>1138</v>
      </c>
      <c r="C82" s="49">
        <v>899.12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>
      <c r="A83" s="1"/>
      <c r="B83" s="1" t="s">
        <v>1139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>
      <c r="A84" s="1"/>
      <c r="B84" s="1" t="s">
        <v>1140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>
      <c r="A85" s="1"/>
      <c r="B85" s="1" t="s">
        <v>1141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>
      <c r="A86" s="1"/>
      <c r="B86" s="1" t="s">
        <v>1142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>
      <c r="A87" s="1"/>
      <c r="B87" s="1" t="s">
        <v>1143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>
      <c r="A88" s="1"/>
      <c r="B88" s="1" t="s">
        <v>1144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>
      <c r="A89" s="1"/>
      <c r="B89" s="1" t="s">
        <v>1145</v>
      </c>
      <c r="C89" s="49">
        <v>-130.16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>
      <c r="A90" s="1"/>
      <c r="B90" s="1" t="s">
        <v>1146</v>
      </c>
      <c r="C90" s="49">
        <v>8897.33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>
      <c r="A91" s="1"/>
      <c r="B91" s="1" t="s">
        <v>1147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>
      <c r="A92" s="1"/>
      <c r="B92" s="1" t="s">
        <v>1148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>
      <c r="A93" s="1"/>
      <c r="B93" s="1" t="s">
        <v>1149</v>
      </c>
      <c r="C93" s="49">
        <v>62.38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>
      <c r="A94" s="1"/>
      <c r="B94" s="1" t="s">
        <v>1150</v>
      </c>
      <c r="C94" s="49">
        <v>63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>
      <c r="A95" s="1"/>
      <c r="B95" s="1" t="s">
        <v>1151</v>
      </c>
      <c r="C95" s="49">
        <v>75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>
      <c r="A96" s="1"/>
      <c r="B96" s="1" t="s">
        <v>1152</v>
      </c>
      <c r="C96" s="49">
        <v>43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>
      <c r="A97" s="1"/>
      <c r="B97" s="1" t="s">
        <v>1153</v>
      </c>
      <c r="C97" s="49">
        <v>6.35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>
      <c r="A98" s="1"/>
      <c r="B98" s="1" t="s">
        <v>1154</v>
      </c>
      <c r="C98" s="52">
        <v>29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>
      <c r="A99" s="1"/>
      <c r="B99" s="1" t="s">
        <v>1155</v>
      </c>
      <c r="C99" s="1" t="s">
        <v>1156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>
      <c r="A100" s="1"/>
      <c r="B100" s="1" t="s">
        <v>1157</v>
      </c>
      <c r="C100" s="49">
        <v>1.6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>
      <c r="A101" s="1"/>
      <c r="B101" s="1" t="s">
        <v>1158</v>
      </c>
      <c r="C101" s="49">
        <v>49.5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>
      <c r="A102" s="1"/>
      <c r="B102" s="1" t="s">
        <v>1159</v>
      </c>
      <c r="C102" s="1" t="s">
        <v>1160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>
      <c r="A103" s="1"/>
      <c r="B103" s="1" t="s">
        <v>1161</v>
      </c>
      <c r="C103" s="100">
        <v>46313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>
      <c r="A104" s="1"/>
      <c r="B104" s="1" t="s">
        <v>1162</v>
      </c>
      <c r="C104" s="1" t="s">
        <v>1163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>
      <c r="A106" s="1"/>
      <c r="B106" s="41" t="s">
        <v>1164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ht="45">
      <c r="A107" s="1"/>
      <c r="B107" s="23" t="s">
        <v>1063</v>
      </c>
      <c r="C107" s="105" t="s">
        <v>1165</v>
      </c>
      <c r="D107" s="105" t="s">
        <v>1166</v>
      </c>
      <c r="E107" s="105" t="s">
        <v>1167</v>
      </c>
      <c r="F107" s="105" t="s">
        <v>1168</v>
      </c>
      <c r="G107" s="105" t="s">
        <v>1169</v>
      </c>
      <c r="H107" s="105" t="s">
        <v>1170</v>
      </c>
      <c r="I107" s="105" t="s">
        <v>1171</v>
      </c>
      <c r="J107" s="105" t="s">
        <v>1172</v>
      </c>
      <c r="K107" s="14" t="s">
        <v>1173</v>
      </c>
      <c r="L107" s="105" t="s">
        <v>1174</v>
      </c>
      <c r="M107" s="105" t="s">
        <v>1175</v>
      </c>
      <c r="N107" s="105" t="s">
        <v>1176</v>
      </c>
    </row>
    <row r="108">
      <c r="A108" s="1"/>
      <c r="B108" s="98">
        <v>45747</v>
      </c>
      <c r="C108" s="96">
        <v>45772</v>
      </c>
      <c r="D108" s="44">
        <v>0.73</v>
      </c>
      <c r="E108" s="44">
        <v>0.72</v>
      </c>
      <c r="F108" s="44">
        <v>0.74</v>
      </c>
      <c r="G108" s="44">
        <v>0.58</v>
      </c>
      <c r="H108" s="9">
        <v>8592.52</v>
      </c>
      <c r="I108" s="9">
        <v>8490</v>
      </c>
      <c r="J108" s="43">
        <f>E108-D108</f>
        <v>-0.010000000000000009</v>
      </c>
      <c r="K108" s="1" t="b">
        <f>E108&gt;D108</f>
        <v>0</v>
      </c>
      <c r="L108" s="43">
        <f>G108-F108</f>
        <v>-0.16000000000000003</v>
      </c>
      <c r="M108" s="22">
        <f>I108-H108</f>
        <v>-102.52000000000044</v>
      </c>
      <c r="N108" s="25">
        <f>I108/H108-1</f>
        <v>-0.011931307695530635</v>
      </c>
    </row>
    <row r="109">
      <c r="A109" s="1"/>
      <c r="B109" s="98">
        <v>45838</v>
      </c>
      <c r="C109" s="96">
        <v>45856</v>
      </c>
      <c r="D109" s="44">
        <v>0.73</v>
      </c>
      <c r="E109" s="44">
        <v>0.74</v>
      </c>
      <c r="F109" s="44">
        <v>0.73</v>
      </c>
      <c r="G109" s="44">
        <v>0.74</v>
      </c>
      <c r="H109" s="9">
        <v>8495.96</v>
      </c>
      <c r="I109" s="9">
        <v>8546</v>
      </c>
      <c r="J109" s="43">
        <f>E109-D109</f>
        <v>0.010000000000000009</v>
      </c>
      <c r="K109" s="1" t="b">
        <f>E109&gt;D109</f>
        <v>1</v>
      </c>
      <c r="L109" s="43">
        <f>G109-F109</f>
        <v>0.010000000000000009</v>
      </c>
      <c r="M109" s="22">
        <f>I109-H109</f>
        <v>50.04000000000087</v>
      </c>
      <c r="N109" s="25">
        <f>I109/H109-1</f>
        <v>0.005889858238504075</v>
      </c>
    </row>
    <row r="110">
      <c r="A110" s="1"/>
      <c r="B110" s="98">
        <v>45930</v>
      </c>
      <c r="C110" s="96">
        <v>45947</v>
      </c>
      <c r="D110" s="44">
        <v>0.66</v>
      </c>
      <c r="E110" s="44">
        <v>0.69</v>
      </c>
      <c r="F110" s="44">
        <v>0.66</v>
      </c>
      <c r="G110" s="44">
        <v>0.5</v>
      </c>
      <c r="H110" s="9">
        <v>8918.59</v>
      </c>
      <c r="I110" s="9">
        <v>8928</v>
      </c>
      <c r="J110" s="43">
        <f>E110-D110</f>
        <v>0.029999999999999916</v>
      </c>
      <c r="K110" s="1" t="b">
        <f>E110&gt;D110</f>
        <v>1</v>
      </c>
      <c r="L110" s="43">
        <f>G110-F110</f>
        <v>-0.16000000000000003</v>
      </c>
      <c r="M110" s="22">
        <f>I110-H110</f>
        <v>9.409999999999854</v>
      </c>
      <c r="N110" s="25">
        <f>I110/H110-1</f>
        <v>0.0010550995168518984</v>
      </c>
    </row>
    <row r="111">
      <c r="A111" s="1"/>
      <c r="B111" s="98">
        <v>46022</v>
      </c>
      <c r="C111" s="96">
        <v>46045</v>
      </c>
      <c r="D111" s="44">
        <v>0.74</v>
      </c>
      <c r="E111" s="44">
        <v>0.78</v>
      </c>
      <c r="F111" s="44">
        <v>0.75</v>
      </c>
      <c r="G111" s="44">
        <v>0.55</v>
      </c>
      <c r="H111" s="9">
        <v>9545.83</v>
      </c>
      <c r="I111" s="9">
        <v>9745</v>
      </c>
      <c r="J111" s="43">
        <f>E111-D111</f>
        <v>0.040000000000000036</v>
      </c>
      <c r="K111" s="1" t="b">
        <f>E111&gt;D111</f>
        <v>1</v>
      </c>
      <c r="L111" s="43">
        <f>G111-F111</f>
        <v>-0.19999999999999996</v>
      </c>
      <c r="M111" s="22">
        <f>I111-H111</f>
        <v>199.17000000000007</v>
      </c>
      <c r="N111" s="25">
        <f>I111/H111-1</f>
        <v>0.020864607896851295</v>
      </c>
    </row>
    <row r="112">
      <c r="A112" s="1"/>
      <c r="B112" s="98">
        <v>46112</v>
      </c>
      <c r="C112" s="96">
        <v>46136</v>
      </c>
      <c r="D112" s="44">
        <v>0.51</v>
      </c>
      <c r="E112" s="44">
        <v>0.52</v>
      </c>
      <c r="F112" s="44">
        <v>0.5</v>
      </c>
      <c r="G112" s="44">
        <v>0.5</v>
      </c>
      <c r="H112" s="9">
        <v>8647.57</v>
      </c>
      <c r="I112" s="9">
        <v>8721</v>
      </c>
      <c r="J112" s="43">
        <f>E112-D112</f>
        <v>0.010000000000000009</v>
      </c>
      <c r="K112" s="1" t="b">
        <f>E112&gt;D112</f>
        <v>1</v>
      </c>
      <c r="L112" s="43">
        <f>G112-F112</f>
        <v>0</v>
      </c>
      <c r="M112" s="22">
        <f>I112-H112</f>
        <v>73.43000000000029</v>
      </c>
      <c r="N112" s="25">
        <f>I112/H112-1</f>
        <v>0.008491402787141444</v>
      </c>
    </row>
    <row r="113">
      <c r="A113" s="1"/>
      <c r="B113" s="98">
        <v>46203</v>
      </c>
      <c r="C113" s="96">
        <v>46227</v>
      </c>
      <c r="D113" s="44">
        <v>0.52</v>
      </c>
      <c r="E113" s="44">
        <v>0.55</v>
      </c>
      <c r="F113" s="44">
        <v>0.52</v>
      </c>
      <c r="G113" s="44">
        <v>0.52</v>
      </c>
      <c r="H113" s="9">
        <v>8684.74</v>
      </c>
      <c r="I113" s="9">
        <v>8972</v>
      </c>
      <c r="J113" s="43">
        <f>E113-D113</f>
        <v>0.030000000000000027</v>
      </c>
      <c r="K113" s="1" t="b">
        <f>E113&gt;D113</f>
        <v>1</v>
      </c>
      <c r="L113" s="43">
        <f>G113-F113</f>
        <v>0</v>
      </c>
      <c r="M113" s="22">
        <f>I113-H113</f>
        <v>287.2600000000002</v>
      </c>
      <c r="N113" s="25">
        <f>I113/H113-1</f>
        <v>0.03307640758387698</v>
      </c>
    </row>
    <row r="114">
      <c r="A114" s="1"/>
      <c r="B114" s="1" t="s">
        <v>1177</v>
      </c>
      <c r="C114" s="109">
        <f>IF(E108&gt;D108,1,0)+IF(E109&gt;D109,1,0)+IF(E110&gt;D110,1,0)+IF(E111&gt;D111,1,0)+IF(E112&gt;D112,1,0)+IF(E113&gt;D113,1,0)</f>
        <v>5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>
      <c r="A115" s="1"/>
      <c r="B115" s="1" t="s">
        <v>1178</v>
      </c>
      <c r="C115" s="1">
        <f>COUNT(J108:J113)</f>
        <v>6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ht="24">
      <c r="A116" s="1"/>
      <c r="B116" s="4" t="s">
        <v>1179</v>
      </c>
      <c r="C116" s="67">
        <f>AVERAGE(J108:J113)</f>
        <v>0.01833333333333333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ht="24">
      <c r="A117" s="1"/>
      <c r="B117" s="4" t="s">
        <v>1180</v>
      </c>
      <c r="C117" s="67">
        <f>AVERAGE(J110:J113)</f>
        <v>0.027499999999999997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ht="24">
      <c r="A118" s="1"/>
      <c r="B118" s="4" t="s">
        <v>1181</v>
      </c>
      <c r="C118" s="1">
        <f>COUNTIF(M108:M113,"&gt;0")</f>
        <v>5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>
      <c r="A120" s="1"/>
      <c r="B120" s="41" t="s">
        <v>1182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ht="34.5">
      <c r="A121" s="1"/>
      <c r="B121" s="23" t="s">
        <v>1183</v>
      </c>
      <c r="C121" s="105" t="s">
        <v>1184</v>
      </c>
      <c r="D121" s="105" t="s">
        <v>1185</v>
      </c>
      <c r="E121" s="105" t="s">
        <v>1186</v>
      </c>
      <c r="F121" s="105" t="s">
        <v>1187</v>
      </c>
      <c r="G121" s="105" t="s">
        <v>1188</v>
      </c>
      <c r="H121" s="105" t="s">
        <v>1189</v>
      </c>
      <c r="I121" s="105" t="s">
        <v>1190</v>
      </c>
      <c r="J121" s="105" t="s">
        <v>1191</v>
      </c>
      <c r="K121" s="105" t="s">
        <v>1192</v>
      </c>
      <c r="L121" s="1"/>
      <c r="M121" s="1"/>
      <c r="N121" s="1"/>
    </row>
    <row r="122" ht="24">
      <c r="A122" s="1"/>
      <c r="B122" s="4" t="s">
        <v>1193</v>
      </c>
      <c r="C122" s="9">
        <v>1877</v>
      </c>
      <c r="D122" s="9">
        <v>2651</v>
      </c>
      <c r="E122" s="9">
        <v>3451</v>
      </c>
      <c r="F122" s="9">
        <v>761</v>
      </c>
      <c r="G122" s="9">
        <v>1576</v>
      </c>
      <c r="H122" s="9">
        <v>2243</v>
      </c>
      <c r="I122" s="9">
        <v>3461</v>
      </c>
      <c r="J122" s="9">
        <v>4579</v>
      </c>
      <c r="K122" s="9">
        <v>829</v>
      </c>
      <c r="L122" s="1"/>
      <c r="M122" s="1"/>
      <c r="N122" s="1"/>
    </row>
    <row r="123">
      <c r="A123" s="1"/>
      <c r="B123" s="1" t="s">
        <v>225</v>
      </c>
      <c r="C123" s="9">
        <v>1273</v>
      </c>
      <c r="D123" s="9">
        <v>1911</v>
      </c>
      <c r="E123" s="9">
        <v>2643</v>
      </c>
      <c r="F123" s="9">
        <v>685</v>
      </c>
      <c r="G123" s="9">
        <v>1397</v>
      </c>
      <c r="H123" s="9">
        <v>1231</v>
      </c>
      <c r="I123" s="9">
        <v>1871</v>
      </c>
      <c r="J123" s="9">
        <v>2519</v>
      </c>
      <c r="K123" s="9">
        <v>640</v>
      </c>
      <c r="L123" s="1"/>
      <c r="M123" s="1"/>
      <c r="N123" s="1"/>
    </row>
    <row r="124" ht="34.5">
      <c r="A124" s="1"/>
      <c r="B124" s="4" t="s">
        <v>1194</v>
      </c>
      <c r="C124" s="9">
        <v>-80</v>
      </c>
      <c r="D124" s="9">
        <v>-28</v>
      </c>
      <c r="E124" s="9">
        <v>348</v>
      </c>
      <c r="F124" s="9">
        <v>0</v>
      </c>
      <c r="G124" s="9">
        <v>0</v>
      </c>
      <c r="H124" s="9">
        <v>0</v>
      </c>
      <c r="I124" s="9">
        <v>0</v>
      </c>
      <c r="J124" s="9">
        <v>181</v>
      </c>
      <c r="K124" s="9">
        <v>0</v>
      </c>
      <c r="L124" s="1"/>
      <c r="M124" s="1"/>
      <c r="N124" s="1"/>
    </row>
    <row r="125">
      <c r="A125" s="1"/>
      <c r="B125" s="1" t="s">
        <v>1195</v>
      </c>
      <c r="C125" s="9">
        <v>-60</v>
      </c>
      <c r="D125" s="9">
        <v>-89</v>
      </c>
      <c r="E125" s="9">
        <v>-279</v>
      </c>
      <c r="F125" s="9">
        <v>53</v>
      </c>
      <c r="G125" s="9">
        <v>-5</v>
      </c>
      <c r="H125" s="9">
        <v>-29</v>
      </c>
      <c r="I125" s="9">
        <v>32</v>
      </c>
      <c r="J125" s="9">
        <v>-41</v>
      </c>
      <c r="K125" s="9">
        <v>-37</v>
      </c>
      <c r="L125" s="1"/>
      <c r="M125" s="1"/>
      <c r="N125" s="1"/>
    </row>
    <row r="126">
      <c r="A126" s="1"/>
      <c r="B126" s="1" t="s">
        <v>1196</v>
      </c>
      <c r="C126" s="9">
        <v>168</v>
      </c>
      <c r="D126" s="9">
        <v>257</v>
      </c>
      <c r="E126" s="9">
        <v>332</v>
      </c>
      <c r="F126" s="9">
        <v>101</v>
      </c>
      <c r="G126" s="9">
        <v>179</v>
      </c>
      <c r="H126" s="9">
        <v>173</v>
      </c>
      <c r="I126" s="9">
        <v>244</v>
      </c>
      <c r="J126" s="9">
        <v>316</v>
      </c>
      <c r="K126" s="9">
        <v>91</v>
      </c>
      <c r="L126" s="1"/>
      <c r="M126" s="1"/>
      <c r="N126" s="1"/>
    </row>
    <row r="127" ht="24">
      <c r="A127" s="1"/>
      <c r="B127" s="4" t="s">
        <v>1197</v>
      </c>
      <c r="C127" s="9">
        <v>-47</v>
      </c>
      <c r="D127" s="9">
        <v>-59</v>
      </c>
      <c r="E127" s="9">
        <v>-59</v>
      </c>
      <c r="F127" s="9">
        <v>3</v>
      </c>
      <c r="G127" s="9">
        <v>-21</v>
      </c>
      <c r="H127" s="9">
        <v>12</v>
      </c>
      <c r="I127" s="9">
        <v>-9</v>
      </c>
      <c r="J127" s="9">
        <v>-18</v>
      </c>
      <c r="K127" s="9">
        <v>-10</v>
      </c>
      <c r="L127" s="1"/>
      <c r="M127" s="1"/>
      <c r="N127" s="1"/>
    </row>
    <row r="128">
      <c r="A128" s="1"/>
      <c r="B128" s="1" t="s">
        <v>1198</v>
      </c>
      <c r="C128" s="9">
        <v>-480</v>
      </c>
      <c r="D128" s="9">
        <v>-528</v>
      </c>
      <c r="E128" s="9">
        <v>-75</v>
      </c>
      <c r="F128" s="9">
        <v>-338</v>
      </c>
      <c r="G128" s="9">
        <v>-307</v>
      </c>
      <c r="H128" s="9">
        <v>-755</v>
      </c>
      <c r="I128" s="9">
        <v>-396</v>
      </c>
      <c r="J128" s="9">
        <v>-236</v>
      </c>
      <c r="K128" s="9">
        <v>-472</v>
      </c>
      <c r="L128" s="1"/>
      <c r="M128" s="1"/>
      <c r="N128" s="1"/>
    </row>
    <row r="129">
      <c r="A129" s="1"/>
      <c r="B129" s="1" t="s">
        <v>1199</v>
      </c>
      <c r="C129" s="9">
        <v>-288</v>
      </c>
      <c r="D129" s="9">
        <v>-249</v>
      </c>
      <c r="E129" s="9">
        <v>-72</v>
      </c>
      <c r="F129" s="9">
        <v>-224</v>
      </c>
      <c r="G129" s="9">
        <v>-362</v>
      </c>
      <c r="H129" s="9">
        <v>-149</v>
      </c>
      <c r="I129" s="9">
        <v>-243</v>
      </c>
      <c r="J129" s="9">
        <v>-101</v>
      </c>
      <c r="K129" s="9">
        <v>-214</v>
      </c>
      <c r="L129" s="1"/>
      <c r="M129" s="1"/>
      <c r="N129" s="1"/>
    </row>
    <row r="130">
      <c r="A130" s="1"/>
      <c r="B130" s="1" t="s">
        <v>1200</v>
      </c>
      <c r="C130" s="9">
        <v>86</v>
      </c>
      <c r="D130" s="9">
        <v>87</v>
      </c>
      <c r="E130" s="9">
        <v>10</v>
      </c>
      <c r="F130" s="9">
        <v>-55</v>
      </c>
      <c r="G130" s="9">
        <v>-30</v>
      </c>
      <c r="H130" s="9">
        <v>107</v>
      </c>
      <c r="I130" s="9">
        <v>23</v>
      </c>
      <c r="J130" s="9">
        <v>3</v>
      </c>
      <c r="K130" s="9">
        <v>80</v>
      </c>
      <c r="L130" s="1"/>
      <c r="M130" s="1"/>
      <c r="N130" s="1"/>
    </row>
    <row r="131">
      <c r="A131" s="1"/>
      <c r="B131" s="1" t="s">
        <v>1201</v>
      </c>
      <c r="C131" s="9">
        <v>-44</v>
      </c>
      <c r="D131" s="9">
        <v>-39</v>
      </c>
      <c r="E131" s="9">
        <v>-22</v>
      </c>
      <c r="F131" s="9">
        <v>3</v>
      </c>
      <c r="G131" s="9">
        <v>6</v>
      </c>
      <c r="H131" s="9">
        <v>-5</v>
      </c>
      <c r="I131" s="9">
        <v>-3</v>
      </c>
      <c r="J131" s="9">
        <v>13</v>
      </c>
      <c r="K131" s="9">
        <v>-11</v>
      </c>
      <c r="L131" s="1"/>
      <c r="M131" s="1"/>
      <c r="N131" s="1"/>
    </row>
    <row r="132" ht="24">
      <c r="A132" s="1"/>
      <c r="B132" s="4" t="s">
        <v>1202</v>
      </c>
      <c r="C132" s="9">
        <v>-557</v>
      </c>
      <c r="D132" s="9">
        <v>-381</v>
      </c>
      <c r="E132" s="9">
        <v>218</v>
      </c>
      <c r="F132" s="9">
        <v>-383</v>
      </c>
      <c r="G132" s="9">
        <v>-406</v>
      </c>
      <c r="H132" s="9">
        <v>-942</v>
      </c>
      <c r="I132" s="9">
        <v>-732</v>
      </c>
      <c r="J132" s="9">
        <v>-635</v>
      </c>
      <c r="K132" s="9">
        <v>-275</v>
      </c>
      <c r="L132" s="1"/>
      <c r="M132" s="1"/>
      <c r="N132" s="1"/>
    </row>
    <row r="133" ht="24">
      <c r="A133" s="1"/>
      <c r="B133" s="4" t="s">
        <v>1203</v>
      </c>
      <c r="C133" s="9">
        <v>-162</v>
      </c>
      <c r="D133" s="9">
        <v>-202</v>
      </c>
      <c r="E133" s="9">
        <v>-141</v>
      </c>
      <c r="F133" s="9">
        <v>-102</v>
      </c>
      <c r="G133" s="9">
        <v>-239</v>
      </c>
      <c r="H133" s="9">
        <v>-167</v>
      </c>
      <c r="I133" s="9">
        <v>-147</v>
      </c>
      <c r="J133" s="9">
        <v>-51</v>
      </c>
      <c r="K133" s="9">
        <v>-56</v>
      </c>
      <c r="L133" s="1"/>
      <c r="M133" s="1"/>
      <c r="N133" s="1"/>
    </row>
    <row r="134">
      <c r="A134" s="1"/>
      <c r="B134" s="1" t="s">
        <v>1204</v>
      </c>
      <c r="C134" s="9">
        <v>73</v>
      </c>
      <c r="D134" s="9">
        <v>40</v>
      </c>
      <c r="E134" s="9">
        <v>38</v>
      </c>
      <c r="F134" s="9">
        <v>-26</v>
      </c>
      <c r="G134" s="9">
        <v>0</v>
      </c>
      <c r="H134" s="9">
        <v>19</v>
      </c>
      <c r="I134" s="9">
        <v>39</v>
      </c>
      <c r="J134" s="9">
        <v>34</v>
      </c>
      <c r="K134" s="9">
        <v>27</v>
      </c>
      <c r="L134" s="1"/>
      <c r="M134" s="1"/>
      <c r="N134" s="1"/>
    </row>
    <row r="135">
      <c r="A135" s="1"/>
      <c r="B135" s="1" t="s">
        <v>1205</v>
      </c>
      <c r="C135" s="9">
        <v>43</v>
      </c>
      <c r="D135" s="9">
        <v>113</v>
      </c>
      <c r="E135" s="9">
        <v>97</v>
      </c>
      <c r="F135" s="9">
        <v>9</v>
      </c>
      <c r="G135" s="9">
        <v>58</v>
      </c>
      <c r="H135" s="9">
        <v>25</v>
      </c>
      <c r="I135" s="9">
        <v>72</v>
      </c>
      <c r="J135" s="9">
        <v>39</v>
      </c>
      <c r="K135" s="9">
        <v>68</v>
      </c>
      <c r="L135" s="1"/>
      <c r="M135" s="1"/>
      <c r="N135" s="1"/>
    </row>
    <row r="136">
      <c r="A136" s="1"/>
      <c r="B136" s="1" t="s">
        <v>1206</v>
      </c>
      <c r="C136" s="9">
        <v>-769</v>
      </c>
      <c r="D136" s="9">
        <v>-1178</v>
      </c>
      <c r="E136" s="9">
        <v>-1694</v>
      </c>
      <c r="F136" s="9">
        <v>-343</v>
      </c>
      <c r="G136" s="9">
        <v>-802</v>
      </c>
      <c r="H136" s="9">
        <v>-862</v>
      </c>
      <c r="I136" s="9">
        <v>-1322</v>
      </c>
      <c r="J136" s="9">
        <v>-1931</v>
      </c>
      <c r="K136" s="9">
        <v>-398</v>
      </c>
      <c r="L136" s="1"/>
      <c r="M136" s="1"/>
      <c r="N136" s="1"/>
    </row>
    <row r="137">
      <c r="A137" s="1"/>
      <c r="B137" s="1" t="s">
        <v>1207</v>
      </c>
      <c r="C137" s="9">
        <v>-225</v>
      </c>
      <c r="D137" s="9">
        <v>-312</v>
      </c>
      <c r="E137" s="9">
        <v>-428</v>
      </c>
      <c r="F137" s="9">
        <v>-103</v>
      </c>
      <c r="G137" s="9">
        <v>-226</v>
      </c>
      <c r="H137" s="9">
        <v>-256</v>
      </c>
      <c r="I137" s="9">
        <v>-390</v>
      </c>
      <c r="J137" s="9">
        <v>-483</v>
      </c>
      <c r="K137" s="9">
        <v>-108</v>
      </c>
      <c r="L137" s="1"/>
      <c r="M137" s="1"/>
      <c r="N137" s="1"/>
    </row>
    <row r="138" ht="24">
      <c r="A138" s="1"/>
      <c r="B138" s="4" t="s">
        <v>1208</v>
      </c>
      <c r="C138" s="9">
        <v>-83</v>
      </c>
      <c r="D138" s="9">
        <v>-168</v>
      </c>
      <c r="E138" s="9">
        <v>-252</v>
      </c>
      <c r="F138" s="9">
        <v>-64</v>
      </c>
      <c r="G138" s="9">
        <v>-125</v>
      </c>
      <c r="H138" s="9">
        <v>-91</v>
      </c>
      <c r="I138" s="9">
        <v>-141</v>
      </c>
      <c r="J138" s="9">
        <v>-198</v>
      </c>
      <c r="K138" s="9">
        <v>-51</v>
      </c>
      <c r="L138" s="1"/>
      <c r="M138" s="1"/>
      <c r="N138" s="1"/>
    </row>
    <row r="139" ht="34.5">
      <c r="A139" s="1"/>
      <c r="B139" s="4" t="s">
        <v>1209</v>
      </c>
      <c r="C139" s="9">
        <v>-47</v>
      </c>
      <c r="D139" s="9">
        <v>335</v>
      </c>
      <c r="E139" s="9">
        <v>292</v>
      </c>
      <c r="F139" s="9">
        <v>-57</v>
      </c>
      <c r="G139" s="9">
        <v>-236</v>
      </c>
      <c r="H139" s="9">
        <v>-505</v>
      </c>
      <c r="I139" s="9">
        <v>-552</v>
      </c>
      <c r="J139" s="9">
        <v>-553</v>
      </c>
      <c r="K139" s="9">
        <v>-37</v>
      </c>
      <c r="L139" s="1"/>
      <c r="M139" s="1"/>
      <c r="N139" s="1"/>
    </row>
    <row r="140" ht="34.5">
      <c r="A140" s="1"/>
      <c r="B140" s="4" t="s">
        <v>1210</v>
      </c>
      <c r="C140" s="9">
        <v>316</v>
      </c>
      <c r="D140" s="9">
        <v>624</v>
      </c>
      <c r="E140" s="9">
        <v>624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1"/>
      <c r="M140" s="1"/>
      <c r="N140" s="1"/>
    </row>
    <row r="141" ht="24">
      <c r="A141" s="1"/>
      <c r="B141" s="4" t="s">
        <v>1211</v>
      </c>
      <c r="C141" s="9">
        <v>632</v>
      </c>
      <c r="D141" s="9">
        <v>572</v>
      </c>
      <c r="E141" s="9">
        <v>-33</v>
      </c>
      <c r="F141" s="9">
        <v>600</v>
      </c>
      <c r="G141" s="9">
        <v>-158</v>
      </c>
      <c r="H141" s="9">
        <v>47</v>
      </c>
      <c r="I141" s="9">
        <v>-268</v>
      </c>
      <c r="J141" s="9">
        <v>-32</v>
      </c>
      <c r="K141" s="9">
        <v>177</v>
      </c>
      <c r="L141" s="1"/>
      <c r="M141" s="1"/>
      <c r="N141" s="1"/>
    </row>
    <row r="142">
      <c r="A142" s="1"/>
      <c r="B142" s="1" t="s">
        <v>1212</v>
      </c>
      <c r="C142" s="9">
        <v>0</v>
      </c>
      <c r="D142" s="9">
        <v>-23</v>
      </c>
      <c r="E142" s="9">
        <v>-30</v>
      </c>
      <c r="F142" s="9">
        <v>0</v>
      </c>
      <c r="G142" s="9">
        <v>0</v>
      </c>
      <c r="H142" s="9">
        <v>-25</v>
      </c>
      <c r="I142" s="9">
        <v>-44</v>
      </c>
      <c r="J142" s="9">
        <v>-55</v>
      </c>
      <c r="K142" s="9">
        <v>0</v>
      </c>
      <c r="L142" s="1"/>
      <c r="M142" s="1"/>
      <c r="N142" s="1"/>
    </row>
    <row r="143">
      <c r="A143" s="1"/>
      <c r="B143" s="1" t="s">
        <v>1213</v>
      </c>
      <c r="C143" s="9">
        <v>-10</v>
      </c>
      <c r="D143" s="9">
        <v>8</v>
      </c>
      <c r="E143" s="9">
        <v>109</v>
      </c>
      <c r="F143" s="9">
        <v>0</v>
      </c>
      <c r="G143" s="9">
        <v>25</v>
      </c>
      <c r="H143" s="9">
        <v>48</v>
      </c>
      <c r="I143" s="9">
        <v>49</v>
      </c>
      <c r="J143" s="9">
        <v>107</v>
      </c>
      <c r="K143" s="9">
        <v>-15</v>
      </c>
      <c r="L143" s="1"/>
      <c r="M143" s="1"/>
      <c r="N143" s="1"/>
    </row>
    <row r="144">
      <c r="A144" s="1"/>
      <c r="B144" s="1" t="s">
        <v>1214</v>
      </c>
      <c r="C144" s="9">
        <v>-773</v>
      </c>
      <c r="D144" s="9">
        <v>-1176</v>
      </c>
      <c r="E144" s="9">
        <v>-1602</v>
      </c>
      <c r="F144" s="9">
        <v>-426</v>
      </c>
      <c r="G144" s="9">
        <v>-866</v>
      </c>
      <c r="H144" s="9">
        <v>-751</v>
      </c>
      <c r="I144" s="9">
        <v>-1144</v>
      </c>
      <c r="J144" s="9">
        <v>-1533</v>
      </c>
      <c r="K144" s="9">
        <v>-386</v>
      </c>
      <c r="L144" s="1"/>
      <c r="M144" s="1"/>
      <c r="N144" s="1"/>
    </row>
    <row r="145">
      <c r="A145" s="1"/>
      <c r="B145" s="1" t="s">
        <v>1215</v>
      </c>
      <c r="C145" s="9">
        <v>-2300</v>
      </c>
      <c r="D145" s="9">
        <v>-2414</v>
      </c>
      <c r="E145" s="9">
        <v>-2414</v>
      </c>
      <c r="F145" s="9">
        <v>-451</v>
      </c>
      <c r="G145" s="9">
        <v>-1099</v>
      </c>
      <c r="H145" s="9">
        <v>-735</v>
      </c>
      <c r="I145" s="9">
        <v>-1236</v>
      </c>
      <c r="J145" s="9">
        <v>-1737</v>
      </c>
      <c r="K145" s="9">
        <v>-2300</v>
      </c>
      <c r="L145" s="1"/>
      <c r="M145" s="1"/>
      <c r="N145" s="1"/>
    </row>
    <row r="146" ht="34.5">
      <c r="A146" s="1"/>
      <c r="B146" s="4" t="s">
        <v>1216</v>
      </c>
      <c r="C146" s="9">
        <v>113</v>
      </c>
      <c r="D146" s="9">
        <v>230</v>
      </c>
      <c r="E146" s="9">
        <v>229</v>
      </c>
      <c r="F146" s="9">
        <v>178</v>
      </c>
      <c r="G146" s="9">
        <v>211</v>
      </c>
      <c r="H146" s="9">
        <v>120</v>
      </c>
      <c r="I146" s="9">
        <v>244</v>
      </c>
      <c r="J146" s="9">
        <v>248</v>
      </c>
      <c r="K146" s="9">
        <v>113</v>
      </c>
      <c r="L146" s="1"/>
      <c r="M146" s="1"/>
      <c r="N146" s="1"/>
    </row>
    <row r="147" ht="24">
      <c r="A147" s="1"/>
      <c r="B147" s="4" t="s">
        <v>1217</v>
      </c>
      <c r="C147" s="9">
        <v>-55</v>
      </c>
      <c r="D147" s="9">
        <v>-61</v>
      </c>
      <c r="E147" s="9">
        <v>-61</v>
      </c>
      <c r="F147" s="9">
        <v>-59</v>
      </c>
      <c r="G147" s="9">
        <v>-63</v>
      </c>
      <c r="H147" s="9">
        <v>-78</v>
      </c>
      <c r="I147" s="9">
        <v>-86</v>
      </c>
      <c r="J147" s="9">
        <v>-90</v>
      </c>
      <c r="K147" s="9">
        <v>-53</v>
      </c>
      <c r="L147" s="1"/>
      <c r="M147" s="1"/>
      <c r="N147" s="1"/>
    </row>
    <row r="148" ht="24">
      <c r="A148" s="1"/>
      <c r="B148" s="4" t="s">
        <v>1218</v>
      </c>
      <c r="C148" s="9">
        <v>1081</v>
      </c>
      <c r="D148" s="9">
        <v>-452</v>
      </c>
      <c r="E148" s="9">
        <v>-1597</v>
      </c>
      <c r="F148" s="9">
        <v>50</v>
      </c>
      <c r="G148" s="9">
        <v>1256</v>
      </c>
      <c r="H148" s="9">
        <v>1423</v>
      </c>
      <c r="I148" s="9">
        <v>1059</v>
      </c>
      <c r="J148" s="9">
        <v>520</v>
      </c>
      <c r="K148" s="9">
        <v>1805</v>
      </c>
      <c r="L148" s="1"/>
      <c r="M148" s="1"/>
      <c r="N148" s="1"/>
    </row>
    <row r="149" ht="24">
      <c r="A149" s="1"/>
      <c r="B149" s="4" t="s">
        <v>1219</v>
      </c>
      <c r="C149" s="9">
        <v>-28</v>
      </c>
      <c r="D149" s="9">
        <v>17</v>
      </c>
      <c r="E149" s="9">
        <v>-19</v>
      </c>
      <c r="F149" s="9">
        <v>-3</v>
      </c>
      <c r="G149" s="9">
        <v>10</v>
      </c>
      <c r="H149" s="9">
        <v>-19</v>
      </c>
      <c r="I149" s="9">
        <v>-142</v>
      </c>
      <c r="J149" s="9">
        <v>-115</v>
      </c>
      <c r="K149" s="9">
        <v>-27</v>
      </c>
      <c r="L149" s="1"/>
      <c r="M149" s="1"/>
      <c r="N149" s="1"/>
    </row>
    <row r="150">
      <c r="A150" s="1"/>
      <c r="B150" s="1" t="s">
        <v>1220</v>
      </c>
      <c r="C150" s="9">
        <v>-27</v>
      </c>
      <c r="D150" s="9">
        <v>-65</v>
      </c>
      <c r="E150" s="9">
        <v>-178</v>
      </c>
      <c r="F150" s="9">
        <v>-23</v>
      </c>
      <c r="G150" s="9">
        <v>-55</v>
      </c>
      <c r="H150" s="9">
        <v>-6</v>
      </c>
      <c r="I150" s="9">
        <v>-36</v>
      </c>
      <c r="J150" s="9">
        <v>-65</v>
      </c>
      <c r="K150" s="9">
        <v>-30</v>
      </c>
      <c r="L150" s="1"/>
      <c r="M150" s="1"/>
      <c r="N150" s="1"/>
    </row>
    <row r="151">
      <c r="A151" s="1"/>
      <c r="B151" s="1" t="s">
        <v>1221</v>
      </c>
      <c r="C151" s="9">
        <v>65</v>
      </c>
      <c r="D151" s="9">
        <v>49</v>
      </c>
      <c r="E151" s="9">
        <v>57</v>
      </c>
      <c r="F151" s="9">
        <v>-3</v>
      </c>
      <c r="G151" s="9">
        <v>-11</v>
      </c>
      <c r="H151" s="9">
        <v>-20</v>
      </c>
      <c r="I151" s="9">
        <v>-17</v>
      </c>
      <c r="J151" s="9">
        <v>-41</v>
      </c>
      <c r="K151" s="9">
        <v>42</v>
      </c>
      <c r="L151" s="1"/>
      <c r="M151" s="1"/>
      <c r="N151" s="1"/>
    </row>
    <row r="152" ht="24">
      <c r="A152" s="1"/>
      <c r="B152" s="26" t="s">
        <v>1222</v>
      </c>
      <c r="C152" s="95">
        <v>1802</v>
      </c>
      <c r="D152" s="95">
        <v>3484</v>
      </c>
      <c r="E152" s="95">
        <v>6489</v>
      </c>
      <c r="F152" s="95">
        <v>487</v>
      </c>
      <c r="G152" s="95">
        <v>1846</v>
      </c>
      <c r="H152" s="95">
        <v>1763</v>
      </c>
      <c r="I152" s="95">
        <v>4212</v>
      </c>
      <c r="J152" s="95">
        <v>6602</v>
      </c>
      <c r="K152" s="95">
        <v>660</v>
      </c>
      <c r="L152" s="1"/>
      <c r="M152" s="1"/>
      <c r="N152" s="1"/>
    </row>
    <row r="153" ht="34.5">
      <c r="A153" s="1"/>
      <c r="B153" s="26" t="s">
        <v>1223</v>
      </c>
      <c r="C153" s="95">
        <v>-186</v>
      </c>
      <c r="D153" s="95">
        <v>-142</v>
      </c>
      <c r="E153" s="95">
        <v>-1412</v>
      </c>
      <c r="F153" s="95">
        <v>33</v>
      </c>
      <c r="G153" s="95">
        <v>-1522</v>
      </c>
      <c r="H153" s="95">
        <v>-1644</v>
      </c>
      <c r="I153" s="95">
        <v>-2668</v>
      </c>
      <c r="J153" s="95">
        <v>-3145</v>
      </c>
      <c r="K153" s="95">
        <v>-432</v>
      </c>
      <c r="L153" s="1"/>
      <c r="M153" s="1"/>
      <c r="N153" s="1"/>
    </row>
    <row r="154" ht="24">
      <c r="A154" s="1"/>
      <c r="B154" s="26" t="s">
        <v>1224</v>
      </c>
      <c r="C154" s="95">
        <v>-1989</v>
      </c>
      <c r="D154" s="95">
        <v>-3921</v>
      </c>
      <c r="E154" s="95">
        <v>-5642</v>
      </c>
      <c r="F154" s="95">
        <v>-734</v>
      </c>
      <c r="G154" s="95">
        <v>-606</v>
      </c>
      <c r="H154" s="95">
        <v>-46</v>
      </c>
      <c r="I154" s="95">
        <v>-1341</v>
      </c>
      <c r="J154" s="95">
        <v>-2772</v>
      </c>
      <c r="K154" s="95">
        <v>-878</v>
      </c>
      <c r="L154" s="1"/>
      <c r="M154" s="1"/>
      <c r="N154" s="1"/>
    </row>
    <row r="155" ht="24">
      <c r="A155" s="1"/>
      <c r="B155" s="26" t="s">
        <v>1225</v>
      </c>
      <c r="C155" s="95">
        <v>3544</v>
      </c>
      <c r="D155" s="95">
        <v>3544</v>
      </c>
      <c r="E155" s="95">
        <v>3544</v>
      </c>
      <c r="F155" s="95">
        <v>3036</v>
      </c>
      <c r="G155" s="95">
        <v>3036</v>
      </c>
      <c r="H155" s="95">
        <v>2900</v>
      </c>
      <c r="I155" s="95">
        <v>2900</v>
      </c>
      <c r="J155" s="95">
        <v>2900</v>
      </c>
      <c r="K155" s="95">
        <v>3544</v>
      </c>
      <c r="L155" s="1"/>
      <c r="M155" s="1"/>
      <c r="N155" s="1"/>
    </row>
    <row r="156">
      <c r="A156" s="1"/>
      <c r="B156" s="45" t="s">
        <v>1226</v>
      </c>
      <c r="C156" s="95">
        <v>3236</v>
      </c>
      <c r="D156" s="95">
        <v>3014</v>
      </c>
      <c r="E156" s="95">
        <v>3036</v>
      </c>
      <c r="F156" s="95">
        <v>2819</v>
      </c>
      <c r="G156" s="95">
        <v>2743</v>
      </c>
      <c r="H156" s="95">
        <v>2953</v>
      </c>
      <c r="I156" s="95">
        <v>3086</v>
      </c>
      <c r="J156" s="95">
        <v>3544</v>
      </c>
      <c r="K156" s="95">
        <v>2936</v>
      </c>
      <c r="L156" s="1"/>
      <c r="M156" s="1"/>
      <c r="N156" s="1"/>
    </row>
    <row r="157" ht="34.5">
      <c r="A157" s="1"/>
      <c r="B157" s="4" t="s">
        <v>1227</v>
      </c>
      <c r="C157" s="1" t="b">
        <f>ROUND(C122+C123+C124+C125+C126+C127+C128+C129+C130+C131+C132+C133+C134+C135-C152,6)=0</f>
        <v>1</v>
      </c>
      <c r="D157" s="1" t="b">
        <f>ROUND(D122+D123+D124+D125+D126+D127+D128+D129+D130+D131+D132+D133+D134+D135-D152,6)=0</f>
        <v>1</v>
      </c>
      <c r="E157" s="1" t="b">
        <f>ROUND(E122+E123+E124+E125+E126+E127+E128+E129+E130+E131+E132+E133+E134+E135-E152,6)=0</f>
        <v>1</v>
      </c>
      <c r="F157" s="1" t="b">
        <f>ROUND(F122+F123+F124+F125+F126+F127+F128+F129+F130+F131+F132+F133+F134+F135-F152,6)=0</f>
        <v>1</v>
      </c>
      <c r="G157" s="1" t="b">
        <f>ROUND(G122+G123+G124+G125+G126+G127+G128+G129+G130+G131+G132+G133+G134+G135-G152,6)=0</f>
        <v>1</v>
      </c>
      <c r="H157" s="1" t="b">
        <f>ROUND(H122+H123+H124+H125+H126+H127+H128+H129+H130+H131+H132+H133+H134+H135-H152,6)=0</f>
        <v>1</v>
      </c>
      <c r="I157" s="1" t="b">
        <f>ROUND(I122+I123+I124+I125+I126+I127+I128+I129+I130+I131+I132+I133+I134+I135-I152,6)=0</f>
        <v>1</v>
      </c>
      <c r="J157" s="1" t="b">
        <f>ROUND(J122+J123+J124+J125+J126+J127+J128+J129+J130+J131+J132+J133+J134+J135-J152,6)=0</f>
        <v>1</v>
      </c>
      <c r="K157" s="1" t="b">
        <f>ROUND(K122+K123+K124+K125+K126+K127+K128+K129+K130+K131+K132+K133+K134+K135-K152,6)=0</f>
        <v>1</v>
      </c>
      <c r="L157" s="1"/>
      <c r="M157" s="1"/>
      <c r="N157" s="1"/>
    </row>
    <row r="158" ht="24">
      <c r="A158" s="1"/>
      <c r="B158" s="4" t="s">
        <v>1228</v>
      </c>
      <c r="C158" s="1" t="b">
        <f>ROUND(C136+C137+C138+C139+C140+C141+C142+C143-C153,6)=0</f>
        <v>1</v>
      </c>
      <c r="D158" s="1" t="b">
        <f>ROUND(D136+D137+D138+D139+D140+D141+D142+D143-D153,6)=0</f>
        <v>1</v>
      </c>
      <c r="E158" s="1" t="b">
        <f>ROUND(E136+E137+E138+E139+E140+E141+E142+E143-E153,6)=0</f>
        <v>1</v>
      </c>
      <c r="F158" s="1" t="b">
        <f>ROUND(F136+F137+F138+F139+F140+F141+F142+F143-F153,6)=0</f>
        <v>1</v>
      </c>
      <c r="G158" s="1" t="b">
        <f>ROUND(G136+G137+G138+G139+G140+G141+G142+G143-G153,6)=0</f>
        <v>1</v>
      </c>
      <c r="H158" s="1" t="b">
        <f>ROUND(H136+H137+H138+H139+H140+H141+H142+H143-H153,6)=0</f>
        <v>1</v>
      </c>
      <c r="I158" s="1" t="b">
        <f>ROUND(I136+I137+I138+I139+I140+I141+I142+I143-I153,6)=0</f>
        <v>1</v>
      </c>
      <c r="J158" s="1" t="b">
        <f>ROUND(J136+J137+J138+J139+J140+J141+J142+J143-J153,6)=0</f>
        <v>1</v>
      </c>
      <c r="K158" s="1" t="b">
        <f>ROUND(K136+K137+K138+K139+K140+K141+K142+K143-K153,6)=0</f>
        <v>1</v>
      </c>
      <c r="L158" s="1"/>
      <c r="M158" s="1"/>
      <c r="N158" s="1"/>
    </row>
    <row r="159" ht="24">
      <c r="A159" s="1"/>
      <c r="B159" s="4" t="s">
        <v>1229</v>
      </c>
      <c r="C159" s="1" t="b">
        <f>ROUND(C144+C145+C146+C147+C148+C149+C150-C154,6)=0</f>
        <v>1</v>
      </c>
      <c r="D159" s="1" t="b">
        <f>ROUND(D144+D145+D146+D147+D148+D149+D150-D154,6)=0</f>
        <v>1</v>
      </c>
      <c r="E159" s="1" t="b">
        <f>ROUND(E144+E145+E146+E147+E148+E149+E150-E154,6)=0</f>
        <v>1</v>
      </c>
      <c r="F159" s="1" t="b">
        <f>ROUND(F144+F145+F146+F147+F148+F149+F150-F154,6)=0</f>
        <v>1</v>
      </c>
      <c r="G159" s="1" t="b">
        <f>ROUND(G144+G145+G146+G147+G148+G149+G150-G154,6)=0</f>
        <v>1</v>
      </c>
      <c r="H159" s="1" t="b">
        <f>ROUND(H144+H145+H146+H147+H148+H149+H150-H154,6)=0</f>
        <v>1</v>
      </c>
      <c r="I159" s="1" t="b">
        <f>ROUND(I144+I145+I146+I147+I148+I149+I150-I154,6)=0</f>
        <v>1</v>
      </c>
      <c r="J159" s="1" t="b">
        <f>ROUND(J144+J145+J146+J147+J148+J149+J150-J154,6)=0</f>
        <v>1</v>
      </c>
      <c r="K159" s="1" t="b">
        <f>ROUND(K144+K145+K146+K147+K148+K149+K150-K154,6)=0</f>
        <v>1</v>
      </c>
      <c r="L159" s="1"/>
      <c r="M159" s="1"/>
      <c r="N159" s="1"/>
    </row>
    <row r="160" ht="24">
      <c r="A160" s="1"/>
      <c r="B160" s="4" t="s">
        <v>1230</v>
      </c>
      <c r="C160" s="1" t="b">
        <f>ROUND(C155+C152+C153+C154+C151-C156,6)=0</f>
        <v>1</v>
      </c>
      <c r="D160" s="1" t="b">
        <f>ROUND(D155+D152+D153+D154+D151-D156,6)=0</f>
        <v>1</v>
      </c>
      <c r="E160" s="1" t="b">
        <f>ROUND(E155+E152+E153+E154+E151-E156,6)=0</f>
        <v>1</v>
      </c>
      <c r="F160" s="1" t="b">
        <f>ROUND(F155+F152+F153+F154+F151-F156,6)=0</f>
        <v>1</v>
      </c>
      <c r="G160" s="1" t="b">
        <f>ROUND(G155+G152+G153+G154+G151-G156,6)=0</f>
        <v>1</v>
      </c>
      <c r="H160" s="1" t="b">
        <f>ROUND(H155+H152+H153+H154+H151-H156,6)=0</f>
        <v>1</v>
      </c>
      <c r="I160" s="1" t="b">
        <f>ROUND(I155+I152+I153+I154+I151-I156,6)=0</f>
        <v>1</v>
      </c>
      <c r="J160" s="1" t="b">
        <f>ROUND(J155+J152+J153+J154+J151-J156,6)=0</f>
        <v>1</v>
      </c>
      <c r="K160" s="1" t="b">
        <f>ROUND(K155+K152+K153+K154+K151-K156,6)=0</f>
        <v>1</v>
      </c>
      <c r="L160" s="1"/>
      <c r="M160" s="1"/>
      <c r="N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</sheetData>
  <legacyDrawing r:id="rId2"/>
</worksheet>
</file>