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worksheets/sheet7.xml" ContentType="application/vnd.openxmlformats-officedocument.spreadsheetml.worksheet+xml"/>
  <Override PartName="/xl/comments7.xml" ContentType="application/vnd.openxmlformats-officedocument.spreadsheetml.comments+xml"/>
  <Override PartName="/xl/worksheets/sheet8.xml" ContentType="application/vnd.openxmlformats-officedocument.spreadsheetml.worksheet+xml"/>
  <Override PartName="/xl/comments8.xml" ContentType="application/vnd.openxmlformats-officedocument.spreadsheetml.comments+xml"/>
  <Override PartName="/xl/worksheets/sheet9.xml" ContentType="application/vnd.openxmlformats-officedocument.spreadsheetml.worksheet+xml"/>
  <Override PartName="/xl/comments9.xml" ContentType="application/vnd.openxmlformats-officedocument.spreadsheetml.comments+xml"/>
  <Override PartName="/xl/worksheets/sheet10.xml" ContentType="application/vnd.openxmlformats-officedocument.spreadsheetml.worksheet+xml"/>
  <Override PartName="/xl/comments10.xml" ContentType="application/vnd.openxmlformats-officedocument.spreadsheetml.comment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omments12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Segment - ATS" sheetId="3"/>
    <sheet r:id="rId4" name="Segment - Core Services" sheetId="4"/>
    <sheet r:id="rId5" name="Income Statement" sheetId="5"/>
    <sheet r:id="rId6" name="Balance Sheet" sheetId="6"/>
    <sheet r:id="rId7" name="Cash Flow Statement" sheetId="7"/>
    <sheet r:id="rId8" name="Geo" sheetId="8"/>
    <sheet r:id="rId9" name="Share Count" sheetId="9"/>
    <sheet r:id="rId10" name="Guidance" sheetId="10"/>
    <sheet r:id="rId11" name="Sources" sheetId="11"/>
    <sheet r:id="rId12" name="Inputs" sheetId="12"/>
  </sheets>
  <calcPr calcId="0" iterateCount="100" iterateDelta="0.001"/>
</workbook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36" authorId="0">
      <text>
        <r>
          <rPr>
            <sz val="9"/>
            <color rgb="FF000000"/>
            <rFont val="Arial"/>
            <family val="2"/>
          </rPr>
          <t>sap-2025-q3-statement.pdf | Page 14 | 336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sap-2025-q4-statement.pdf | Page 15 | 495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sap-2026-q1-statement.pdf | Page 10 | 541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sap-2026-q2-statement.pdf | Page 12 | 140</t>
        </r>
      </text>
    </comment>
    <comment ref="G36" authorId="0">
      <text>
        <r>
          <rPr>
            <sz val="9"/>
            <color rgb="FF000000"/>
            <rFont val="Arial"/>
            <family val="2"/>
          </rPr>
          <t>sap-2025-q4-statement.pdf | Page 17 | 1,004</t>
        </r>
      </text>
    </comment>
    <comment ref="C81" authorId="0">
      <text>
        <r>
          <rPr>
            <sz val="9"/>
            <color rgb="FF000000"/>
            <rFont val="Arial"/>
            <family val="2"/>
          </rPr>
          <t>sap-2025-q3-statement.pdf | Page 14 | 39</t>
        </r>
      </text>
    </comment>
    <comment ref="D81" authorId="0">
      <text>
        <r>
          <rPr>
            <sz val="9"/>
            <color rgb="FF000000"/>
            <rFont val="Arial"/>
            <family val="2"/>
          </rPr>
          <t>sap-2025-q4-statement.pdf | Page 15 | 50</t>
        </r>
      </text>
    </comment>
    <comment ref="E81" authorId="0">
      <text>
        <r>
          <rPr>
            <sz val="9"/>
            <color rgb="FF000000"/>
            <rFont val="Arial"/>
            <family val="2"/>
          </rPr>
          <t>sap-2026-q1-statement.pdf | Page 10 | 55</t>
        </r>
      </text>
    </comment>
    <comment ref="F81" authorId="0">
      <text>
        <r>
          <rPr>
            <sz val="9"/>
            <color rgb="FF000000"/>
            <rFont val="Arial"/>
            <family val="2"/>
          </rPr>
          <t>sap-2026-q2-statement.pdf | Page 12 | 11</t>
        </r>
      </text>
    </comment>
    <comment ref="G81" authorId="0">
      <text>
        <r>
          <rPr>
            <sz val="9"/>
            <color rgb="FF000000"/>
            <rFont val="Arial"/>
            <family val="2"/>
          </rPr>
          <t>sap-2025-q4-statement.pdf | Page 17 | 107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5" authorId="0">
      <text>
        <r>
          <rPr>
            <sz val="9"/>
            <color rgb="FF000000"/>
            <rFont val="Arial"/>
            <family val="2"/>
          </rPr>
          <t>sap-2025-q3-statement.pdf | Page 1 | 18,839</t>
        </r>
      </text>
    </comment>
    <comment ref="D15" authorId="0">
      <text>
        <r>
          <rPr>
            <sz val="9"/>
            <color rgb="FF000000"/>
            <rFont val="Arial"/>
            <family val="2"/>
          </rPr>
          <t>sap-2025-q4-statement.pdf | Page 2 | 21,052</t>
        </r>
      </text>
    </comment>
    <comment ref="E15" authorId="0">
      <text>
        <r>
          <rPr>
            <sz val="9"/>
            <color rgb="FF000000"/>
            <rFont val="Arial"/>
            <family val="2"/>
          </rPr>
          <t>sap-2026-q1-statement.pdf | Page 1 | 21,932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sap-2026-q2-statement.pdf | Page 1 | 22,929</t>
        </r>
      </text>
    </comment>
    <comment ref="J15" authorId="0">
      <text>
        <r>
          <rPr>
            <sz val="9"/>
            <color rgb="FF000000"/>
            <rFont val="Arial"/>
            <family val="2"/>
          </rPr>
          <t>sap-2025-q3-statement.pdf | Page 1 | 15,377</t>
        </r>
      </text>
    </comment>
    <comment ref="K15" authorId="0">
      <text>
        <r>
          <rPr>
            <sz val="9"/>
            <color rgb="FF000000"/>
            <rFont val="Arial"/>
            <family val="2"/>
          </rPr>
          <t>sap-2025-q4-statement.pdf | Page 2 | 18,078</t>
        </r>
      </text>
    </comment>
    <comment ref="L15" authorId="0">
      <text>
        <r>
          <rPr>
            <sz val="9"/>
            <color rgb="FF000000"/>
            <rFont val="Arial"/>
            <family val="2"/>
          </rPr>
          <t>sap-2026-q1-statement.pdf | Page 1 | 18,202</t>
        </r>
      </text>
    </comment>
    <comment ref="M15" authorId="0">
      <text>
        <r>
          <rPr>
            <sz val="9"/>
            <color rgb="FF000000"/>
            <rFont val="Arial"/>
            <family val="2"/>
          </rPr>
          <t>sap-2026-q2-statement.pdf | Page 1 | 18,052</t>
        </r>
      </text>
    </comment>
    <comment ref="N15" authorId="0">
      <text>
        <r>
          <rPr>
            <sz val="9"/>
            <color rgb="FF000000"/>
            <rFont val="Arial"/>
            <family val="2"/>
          </rPr>
          <t>sap-2025-q4-statement.pdf | Page 2 | 18,078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sap-2025-q3-statement.pdf | Page 1 | 27</t>
        </r>
      </text>
    </comment>
    <comment ref="D19" authorId="0">
      <text>
        <r>
          <rPr>
            <sz val="9"/>
            <color rgb="FF000000"/>
            <rFont val="Arial"/>
            <family val="2"/>
          </rPr>
          <t>sap-2025-q4-statement.pdf | Page 2 | 25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sap-2026-q1-statement.pdf | Page 1 | 25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sap-2026-q2-statement.pdf | Page 1 | 26</t>
        </r>
      </text>
    </comment>
    <comment ref="G19" authorId="0">
      <text>
        <r>
          <rPr>
            <sz val="9"/>
            <color rgb="FF000000"/>
            <rFont val="Arial"/>
            <family val="2"/>
          </rPr>
          <t>sap-2025-q4-statement.pdf | Page 2 | 25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sap-2025-q4-statement.pdf | Page 4 | €77.29 billion</t>
        </r>
      </text>
    </comment>
    <comment ref="C30" authorId="0">
      <text>
        <r>
          <rPr>
            <sz val="9"/>
            <color rgb="FF000000"/>
            <rFont val="Arial"/>
            <family val="2"/>
          </rPr>
          <t>sap-2025-q3-statement.pdf | Page 1 | 4,586</t>
        </r>
      </text>
    </comment>
    <comment ref="D30" authorId="0">
      <text>
        <r>
          <rPr>
            <sz val="9"/>
            <color rgb="FF000000"/>
            <rFont val="Arial"/>
            <family val="2"/>
          </rPr>
          <t>sap-2025-q4-statement.pdf | Page 2 | 4,862</t>
        </r>
      </text>
    </comment>
    <comment ref="E30" authorId="0">
      <text>
        <r>
          <rPr>
            <sz val="9"/>
            <color rgb="FF000000"/>
            <rFont val="Arial"/>
            <family val="2"/>
          </rPr>
          <t>sap-2026-q1-statement.pdf | Page 1 | 5,214</t>
        </r>
      </text>
    </comment>
    <comment ref="F30" authorId="0">
      <text>
        <r>
          <rPr>
            <sz val="9"/>
            <color rgb="FF000000"/>
            <rFont val="Arial"/>
            <family val="2"/>
          </rPr>
          <t>sap-2026-q2-statement.pdf | Page 1 | 5,525</t>
        </r>
      </text>
    </comment>
    <comment ref="J30" authorId="0">
      <text>
        <r>
          <rPr>
            <sz val="9"/>
            <color rgb="FF000000"/>
            <rFont val="Arial"/>
            <family val="2"/>
          </rPr>
          <t>sap-2025-q3-statement.pdf | Page 1 | 3,636</t>
        </r>
      </text>
    </comment>
    <comment ref="K30" authorId="0">
      <text>
        <r>
          <rPr>
            <sz val="9"/>
            <color rgb="FF000000"/>
            <rFont val="Arial"/>
            <family val="2"/>
          </rPr>
          <t>sap-2025-q4-statement.pdf | Page 2 | 3,948</t>
        </r>
      </text>
    </comment>
    <comment ref="L30" authorId="0">
      <text>
        <r>
          <rPr>
            <sz val="9"/>
            <color rgb="FF000000"/>
            <rFont val="Arial"/>
            <family val="2"/>
          </rPr>
          <t>sap-2026-q1-statement.pdf | Page 1 | 4,251</t>
        </r>
      </text>
    </comment>
    <comment ref="M30" authorId="0">
      <text>
        <r>
          <rPr>
            <sz val="9"/>
            <color rgb="FF000000"/>
            <rFont val="Arial"/>
            <family val="2"/>
          </rPr>
          <t>sap-2026-q2-statement.pdf | Page 1 | 4,422</t>
        </r>
      </text>
    </comment>
    <comment ref="N30" authorId="0">
      <text>
        <r>
          <rPr>
            <sz val="9"/>
            <color rgb="FF000000"/>
            <rFont val="Arial"/>
            <family val="2"/>
          </rPr>
          <t>sap-2025-q4-statement.pdf | Page 2 | 14,165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sap-2025-q3-statement.pdf | Page 1 | 31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sap-2025-q4-statement.pdf | Page 2 | 30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sap-2026-q1-statement.pdf | Page 1 | 30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sap-2026-q2-statement.pdf | Page 1 | 27</t>
        </r>
      </text>
    </comment>
    <comment ref="G35" authorId="0">
      <text>
        <r>
          <rPr>
            <sz val="9"/>
            <color rgb="FF000000"/>
            <rFont val="Arial"/>
            <family val="2"/>
          </rPr>
          <t>sap-2025-q4-statement.pdf | Page 2 | 32</t>
        </r>
      </text>
    </comment>
    <comment ref="C39" authorId="0">
      <text>
        <r>
          <rPr>
            <sz val="9"/>
            <color rgb="FF000000"/>
            <rFont val="Arial"/>
            <family val="2"/>
          </rPr>
          <t>sap-2025-q3-statement.pdf | Page 1 | 626</t>
        </r>
      </text>
    </comment>
    <comment ref="D39" authorId="0">
      <text>
        <r>
          <rPr>
            <sz val="9"/>
            <color rgb="FF000000"/>
            <rFont val="Arial"/>
            <family val="2"/>
          </rPr>
          <t>sap-2025-q4-statement.pdf | Page 2 | 670</t>
        </r>
      </text>
    </comment>
    <comment ref="E39" authorId="0">
      <text>
        <r>
          <rPr>
            <sz val="9"/>
            <color rgb="FF000000"/>
            <rFont val="Arial"/>
            <family val="2"/>
          </rPr>
          <t>sap-2026-q1-statement.pdf | Page 1 | 681</t>
        </r>
      </text>
    </comment>
    <comment ref="F39" authorId="0">
      <text>
        <r>
          <rPr>
            <sz val="9"/>
            <color rgb="FF000000"/>
            <rFont val="Arial"/>
            <family val="2"/>
          </rPr>
          <t>sap-2026-q2-statement.pdf | Page 1 | 692</t>
        </r>
      </text>
    </comment>
    <comment ref="J39" authorId="0">
      <text>
        <r>
          <rPr>
            <sz val="9"/>
            <color rgb="FF000000"/>
            <rFont val="Arial"/>
            <family val="2"/>
          </rPr>
          <t>sap-2025-q3-statement.pdf | Page 1 | 598</t>
        </r>
      </text>
    </comment>
    <comment ref="K39" authorId="0">
      <text>
        <r>
          <rPr>
            <sz val="9"/>
            <color rgb="FF000000"/>
            <rFont val="Arial"/>
            <family val="2"/>
          </rPr>
          <t>sap-2025-q4-statement.pdf | Page 2 | 636</t>
        </r>
      </text>
    </comment>
    <comment ref="L39" authorId="0">
      <text>
        <r>
          <rPr>
            <sz val="9"/>
            <color rgb="FF000000"/>
            <rFont val="Arial"/>
            <family val="2"/>
          </rPr>
          <t>sap-2026-q1-statement.pdf | Page 1 | 639</t>
        </r>
      </text>
    </comment>
    <comment ref="M39" authorId="0">
      <text>
        <r>
          <rPr>
            <sz val="9"/>
            <color rgb="FF000000"/>
            <rFont val="Arial"/>
            <family val="2"/>
          </rPr>
          <t>sap-2026-q2-statement.pdf | Page 1 | 624</t>
        </r>
      </text>
    </comment>
    <comment ref="N39" authorId="0">
      <text>
        <r>
          <rPr>
            <sz val="9"/>
            <color rgb="FF000000"/>
            <rFont val="Arial"/>
            <family val="2"/>
          </rPr>
          <t>sap-2025-q4-statement.pdf | Page 2 | 2,436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sap-2025-q3-statement.pdf | Page 1 | 9</t>
        </r>
      </text>
    </comment>
    <comment ref="D44" authorId="0">
      <text>
        <r>
          <rPr>
            <sz val="9"/>
            <color rgb="FF000000"/>
            <rFont val="Arial"/>
            <family val="2"/>
          </rPr>
          <t>sap-2025-q4-statement.pdf | Page 2 | 10</t>
        </r>
      </text>
    </comment>
    <comment ref="E44" authorId="0">
      <text>
        <r>
          <rPr>
            <sz val="9"/>
            <color rgb="FF000000"/>
            <rFont val="Arial"/>
            <family val="2"/>
          </rPr>
          <t>sap-2026-q1-statement.pdf | Page 1 | 12</t>
        </r>
      </text>
    </comment>
    <comment ref="F44" authorId="0">
      <text>
        <r>
          <rPr>
            <sz val="9"/>
            <color rgb="FF000000"/>
            <rFont val="Arial"/>
            <family val="2"/>
          </rPr>
          <t>sap-2026-q2-statement.pdf | Page 1 | 12</t>
        </r>
      </text>
    </comment>
    <comment ref="G44" authorId="0">
      <text>
        <r>
          <rPr>
            <sz val="9"/>
            <color rgb="FF000000"/>
            <rFont val="Arial"/>
            <family val="2"/>
          </rPr>
          <t>sap-2025-q4-statement.pdf | Page 2 | 8</t>
        </r>
      </text>
    </comment>
    <comment ref="C54" authorId="0">
      <text>
        <r>
          <rPr>
            <sz val="9"/>
            <color rgb="FF000000"/>
            <rFont val="Arial"/>
            <family val="2"/>
          </rPr>
          <t>sap-2025-q3-statement.pdf | Page 1 | 28</t>
        </r>
      </text>
    </comment>
    <comment ref="D54" authorId="0">
      <text>
        <r>
          <rPr>
            <sz val="9"/>
            <color rgb="FF000000"/>
            <rFont val="Arial"/>
            <family val="2"/>
          </rPr>
          <t>sap-2025-q4-statement.pdf | Page 2 | 27</t>
        </r>
      </text>
    </comment>
    <comment ref="E54" authorId="0">
      <text>
        <r>
          <rPr>
            <sz val="9"/>
            <color rgb="FF000000"/>
            <rFont val="Arial"/>
            <family val="2"/>
          </rPr>
          <t>sap-2026-q1-statement.pdf | Page 1 | 28</t>
        </r>
      </text>
    </comment>
    <comment ref="F54" authorId="0">
      <text>
        <r>
          <rPr>
            <sz val="9"/>
            <color rgb="FF000000"/>
            <rFont val="Arial"/>
            <family val="2"/>
          </rPr>
          <t>sap-2026-q2-statement.pdf | Page 1 | 25</t>
        </r>
      </text>
    </comment>
    <comment ref="G54" authorId="0">
      <text>
        <r>
          <rPr>
            <sz val="9"/>
            <color rgb="FF000000"/>
            <rFont val="Arial"/>
            <family val="2"/>
          </rPr>
          <t>sap-2025-q4-statement.pdf | Page 2 | 28</t>
        </r>
      </text>
    </comment>
    <comment ref="C58" authorId="0">
      <text>
        <r>
          <rPr>
            <sz val="9"/>
            <color rgb="FF000000"/>
            <rFont val="Arial"/>
            <family val="2"/>
          </rPr>
          <t>sap-2025-q3-statement.pdf | Page 1 | 78</t>
        </r>
      </text>
    </comment>
    <comment ref="D58" authorId="0">
      <text>
        <r>
          <rPr>
            <sz val="9"/>
            <color rgb="FF000000"/>
            <rFont val="Arial"/>
            <family val="2"/>
          </rPr>
          <t>sap-2025-q4-statement.pdf | Page 2 | 78</t>
        </r>
      </text>
    </comment>
    <comment ref="E58" authorId="0">
      <text>
        <r>
          <rPr>
            <sz val="9"/>
            <color rgb="FF000000"/>
            <rFont val="Arial"/>
            <family val="2"/>
          </rPr>
          <t>sap-2026-q1-statement.pdf | Page 1 | 66</t>
        </r>
      </text>
    </comment>
    <comment ref="F58" authorId="0">
      <text>
        <r>
          <rPr>
            <sz val="9"/>
            <color rgb="FF000000"/>
            <rFont val="Arial"/>
            <family val="2"/>
          </rPr>
          <t>sap-2026-q2-statement.pdf | Page 1 | 65</t>
        </r>
      </text>
    </comment>
    <comment ref="J58" authorId="0">
      <text>
        <r>
          <rPr>
            <sz val="9"/>
            <color rgb="FF000000"/>
            <rFont val="Arial"/>
            <family val="2"/>
          </rPr>
          <t>sap-2025-q3-statement.pdf | Page 1 | 117</t>
        </r>
      </text>
    </comment>
    <comment ref="K58" authorId="0">
      <text>
        <r>
          <rPr>
            <sz val="9"/>
            <color rgb="FF000000"/>
            <rFont val="Arial"/>
            <family val="2"/>
          </rPr>
          <t>sap-2025-q4-statement.pdf | Page 2 | 123</t>
        </r>
      </text>
    </comment>
    <comment ref="L58" authorId="0">
      <text>
        <r>
          <rPr>
            <sz val="9"/>
            <color rgb="FF000000"/>
            <rFont val="Arial"/>
            <family val="2"/>
          </rPr>
          <t>sap-2026-q1-statement.pdf | Page 1 | 104</t>
        </r>
      </text>
    </comment>
    <comment ref="M58" authorId="0">
      <text>
        <r>
          <rPr>
            <sz val="9"/>
            <color rgb="FF000000"/>
            <rFont val="Arial"/>
            <family val="2"/>
          </rPr>
          <t>sap-2026-q2-statement.pdf | Page 1 | 85</t>
        </r>
      </text>
    </comment>
    <comment ref="N58" authorId="0">
      <text>
        <r>
          <rPr>
            <sz val="9"/>
            <color rgb="FF000000"/>
            <rFont val="Arial"/>
            <family val="2"/>
          </rPr>
          <t>sap-2025-q4-statement.pdf | Page 2 | 540</t>
        </r>
      </text>
    </comment>
    <comment ref="C63" authorId="0">
      <text>
        <r>
          <rPr>
            <sz val="9"/>
            <color rgb="FF000000"/>
            <rFont val="Arial"/>
            <family val="2"/>
          </rPr>
          <t>sap-2025-q3-statement.pdf | Page 1 | –31</t>
        </r>
      </text>
    </comment>
    <comment ref="D63" authorId="0">
      <text>
        <r>
          <rPr>
            <sz val="9"/>
            <color rgb="FF000000"/>
            <rFont val="Arial"/>
            <family val="2"/>
          </rPr>
          <t>sap-2025-q4-statement.pdf | Page 2 | –33</t>
        </r>
      </text>
    </comment>
    <comment ref="E63" authorId="0">
      <text>
        <r>
          <rPr>
            <sz val="9"/>
            <color rgb="FF000000"/>
            <rFont val="Arial"/>
            <family val="2"/>
          </rPr>
          <t>sap-2026-q1-statement.pdf | Page 1 | –32</t>
        </r>
      </text>
    </comment>
    <comment ref="F63" authorId="0">
      <text>
        <r>
          <rPr>
            <sz val="9"/>
            <color rgb="FF000000"/>
            <rFont val="Arial"/>
            <family val="2"/>
          </rPr>
          <t>sap-2026-q2-statement.pdf | Page 1 | –22</t>
        </r>
      </text>
    </comment>
    <comment ref="G63" authorId="0">
      <text>
        <r>
          <rPr>
            <sz val="9"/>
            <color rgb="FF000000"/>
            <rFont val="Arial"/>
            <family val="2"/>
          </rPr>
          <t>sap-2025-q4-statement.pdf | Page 2 | –34</t>
        </r>
      </text>
    </comment>
    <comment ref="D73" authorId="0">
      <text>
        <r>
          <rPr>
            <sz val="9"/>
            <color rgb="FF000000"/>
            <rFont val="Arial"/>
            <family val="2"/>
          </rPr>
          <t>sap-2025-q4-statement.pdf | Page 27 | approximately €20 million</t>
        </r>
      </text>
    </comment>
    <comment ref="C75" authorId="0">
      <text>
        <r>
          <rPr>
            <sz val="9"/>
            <color rgb="FF000000"/>
            <rFont val="Arial"/>
            <family val="2"/>
          </rPr>
          <t>sap-2025-q3-statement.pdf | Page 14 | 214</t>
        </r>
      </text>
    </comment>
    <comment ref="D75" authorId="0">
      <text>
        <r>
          <rPr>
            <sz val="9"/>
            <color rgb="FF000000"/>
            <rFont val="Arial"/>
            <family val="2"/>
          </rPr>
          <t>sap-2025-q4-statement.pdf | Page 15 | 313</t>
        </r>
      </text>
    </comment>
    <comment ref="E75" authorId="0">
      <text>
        <r>
          <rPr>
            <sz val="9"/>
            <color rgb="FF000000"/>
            <rFont val="Arial"/>
            <family val="2"/>
          </rPr>
          <t>sap-2026-q1-statement.pdf | Page 10 | 364</t>
        </r>
      </text>
    </comment>
    <comment ref="F75" authorId="0">
      <text>
        <r>
          <rPr>
            <sz val="9"/>
            <color rgb="FF000000"/>
            <rFont val="Arial"/>
            <family val="2"/>
          </rPr>
          <t>sap-2026-q2-statement.pdf | Page 12 | 100</t>
        </r>
      </text>
    </comment>
    <comment ref="G75" authorId="0">
      <text>
        <r>
          <rPr>
            <sz val="9"/>
            <color rgb="FF000000"/>
            <rFont val="Arial"/>
            <family val="2"/>
          </rPr>
          <t>sap-2025-q4-statement.pdf | Page 17 | 637</t>
        </r>
      </text>
    </comment>
    <comment ref="C80" authorId="0">
      <text>
        <r>
          <rPr>
            <sz val="9"/>
            <color rgb="FF000000"/>
            <rFont val="Arial"/>
            <family val="2"/>
          </rPr>
          <t>sap-2025-q3-statement.pdf | Page 10 | 161</t>
        </r>
      </text>
    </comment>
    <comment ref="D80" authorId="0">
      <text>
        <r>
          <rPr>
            <sz val="9"/>
            <color rgb="FF000000"/>
            <rFont val="Arial"/>
            <family val="2"/>
          </rPr>
          <t>sap-2025-q4-statement.pdf | Page 11 | 452</t>
        </r>
      </text>
    </comment>
    <comment ref="E80" authorId="0">
      <text>
        <r>
          <rPr>
            <sz val="9"/>
            <color rgb="FF000000"/>
            <rFont val="Arial"/>
            <family val="2"/>
          </rPr>
          <t>sap-2026-q1-statement.pdf | Page 7 | 116</t>
        </r>
      </text>
    </comment>
    <comment ref="F80" authorId="0">
      <text>
        <r>
          <rPr>
            <sz val="9"/>
            <color rgb="FF000000"/>
            <rFont val="Arial"/>
            <family val="2"/>
          </rPr>
          <t>sap-2026-q2-statement.pdf | Page 8 | 131</t>
        </r>
      </text>
    </comment>
    <comment ref="J80" authorId="0">
      <text>
        <r>
          <rPr>
            <sz val="9"/>
            <color rgb="FF000000"/>
            <rFont val="Arial"/>
            <family val="2"/>
          </rPr>
          <t>sap-2025-q3-statement.pdf | Page 10 | 285</t>
        </r>
      </text>
    </comment>
    <comment ref="K80" authorId="0">
      <text>
        <r>
          <rPr>
            <sz val="9"/>
            <color rgb="FF000000"/>
            <rFont val="Arial"/>
            <family val="2"/>
          </rPr>
          <t>sap-2025-q4-statement.pdf | Page 11 | 683</t>
        </r>
      </text>
    </comment>
    <comment ref="L80" authorId="0">
      <text>
        <r>
          <rPr>
            <sz val="9"/>
            <color rgb="FF000000"/>
            <rFont val="Arial"/>
            <family val="2"/>
          </rPr>
          <t>sap-2026-q1-statement.pdf | Page 7 | 183</t>
        </r>
      </text>
    </comment>
    <comment ref="M80" authorId="0">
      <text>
        <r>
          <rPr>
            <sz val="9"/>
            <color rgb="FF000000"/>
            <rFont val="Arial"/>
            <family val="2"/>
          </rPr>
          <t>sap-2026-q2-statement.pdf | Page 8 | 194</t>
        </r>
      </text>
    </comment>
    <comment ref="N80" authorId="0">
      <text>
        <r>
          <rPr>
            <sz val="9"/>
            <color rgb="FF000000"/>
            <rFont val="Arial"/>
            <family val="2"/>
          </rPr>
          <t>sap-2025-q4-statement.pdf | Page 12 | 1,399</t>
        </r>
      </text>
    </comment>
    <comment ref="C85" authorId="0">
      <text>
        <r>
          <rPr>
            <sz val="9"/>
            <color rgb="FF000000"/>
            <rFont val="Arial"/>
            <family val="2"/>
          </rPr>
          <t>sap-2025-q3-statement.pdf | Page 14 | 4</t>
        </r>
      </text>
    </comment>
    <comment ref="D85" authorId="0">
      <text>
        <r>
          <rPr>
            <sz val="9"/>
            <color rgb="FF000000"/>
            <rFont val="Arial"/>
            <family val="2"/>
          </rPr>
          <t>sap-2025-q4-statement.pdf | Page 15 | 22</t>
        </r>
      </text>
    </comment>
    <comment ref="E85" authorId="0">
      <text>
        <r>
          <rPr>
            <sz val="9"/>
            <color rgb="FF000000"/>
            <rFont val="Arial"/>
            <family val="2"/>
          </rPr>
          <t>sap-2026-q1-statement.pdf | Page 10 | 6</t>
        </r>
      </text>
    </comment>
    <comment ref="F85" authorId="0">
      <text>
        <r>
          <rPr>
            <sz val="9"/>
            <color rgb="FF000000"/>
            <rFont val="Arial"/>
            <family val="2"/>
          </rPr>
          <t>sap-2026-q2-statement.pdf | Page 12 | 1</t>
        </r>
      </text>
    </comment>
    <comment ref="G85" authorId="0">
      <text>
        <r>
          <rPr>
            <sz val="9"/>
            <color rgb="FF000000"/>
            <rFont val="Arial"/>
            <family val="2"/>
          </rPr>
          <t>sap-2025-q4-statement.pdf | Page 17 | 31</t>
        </r>
      </text>
    </comment>
    <comment ref="C90" authorId="0">
      <text>
        <r>
          <rPr>
            <sz val="9"/>
            <color rgb="FF000000"/>
            <rFont val="Arial"/>
            <family val="2"/>
          </rPr>
          <t>sap-2025-q3-statement.pdf | Page 10 | 2,565</t>
        </r>
      </text>
    </comment>
    <comment ref="D90" authorId="0">
      <text>
        <r>
          <rPr>
            <sz val="9"/>
            <color rgb="FF000000"/>
            <rFont val="Arial"/>
            <family val="2"/>
          </rPr>
          <t>sap-2025-q4-statement.pdf | Page 11 | 2,557</t>
        </r>
      </text>
    </comment>
    <comment ref="E90" authorId="0">
      <text>
        <r>
          <rPr>
            <sz val="9"/>
            <color rgb="FF000000"/>
            <rFont val="Arial"/>
            <family val="2"/>
          </rPr>
          <t>sap-2026-q1-statement.pdf | Page 7 | 2,469</t>
        </r>
      </text>
    </comment>
    <comment ref="F90" authorId="0">
      <text>
        <r>
          <rPr>
            <sz val="9"/>
            <color rgb="FF000000"/>
            <rFont val="Arial"/>
            <family val="2"/>
          </rPr>
          <t>sap-2026-q2-statement.pdf | Page 8 | 2,439</t>
        </r>
      </text>
    </comment>
    <comment ref="J90" authorId="0">
      <text>
        <r>
          <rPr>
            <sz val="9"/>
            <color rgb="FF000000"/>
            <rFont val="Arial"/>
            <family val="2"/>
          </rPr>
          <t>sap-2025-q3-statement.pdf | Page 10 | 2,793</t>
        </r>
      </text>
    </comment>
    <comment ref="K90" authorId="0">
      <text>
        <r>
          <rPr>
            <sz val="9"/>
            <color rgb="FF000000"/>
            <rFont val="Arial"/>
            <family val="2"/>
          </rPr>
          <t>sap-2025-q4-statement.pdf | Page 11 | 2,876</t>
        </r>
      </text>
    </comment>
    <comment ref="L90" authorId="0">
      <text>
        <r>
          <rPr>
            <sz val="9"/>
            <color rgb="FF000000"/>
            <rFont val="Arial"/>
            <family val="2"/>
          </rPr>
          <t>sap-2026-q1-statement.pdf | Page 7 | 2,761</t>
        </r>
      </text>
    </comment>
    <comment ref="M90" authorId="0">
      <text>
        <r>
          <rPr>
            <sz val="9"/>
            <color rgb="FF000000"/>
            <rFont val="Arial"/>
            <family val="2"/>
          </rPr>
          <t>sap-2026-q2-statement.pdf | Page 8 | 2,642</t>
        </r>
      </text>
    </comment>
    <comment ref="N90" authorId="0">
      <text>
        <r>
          <rPr>
            <sz val="9"/>
            <color rgb="FF000000"/>
            <rFont val="Arial"/>
            <family val="2"/>
          </rPr>
          <t>sap-2025-q4-statement.pdf | Page 12 | 11,290</t>
        </r>
      </text>
    </comment>
    <comment ref="C95" authorId="0">
      <text>
        <r>
          <rPr>
            <sz val="9"/>
            <color rgb="FF000000"/>
            <rFont val="Arial"/>
            <family val="2"/>
          </rPr>
          <t>sap-2025-q3-statement.pdf | Page 14 | 78</t>
        </r>
      </text>
    </comment>
    <comment ref="D95" authorId="0">
      <text>
        <r>
          <rPr>
            <sz val="9"/>
            <color rgb="FF000000"/>
            <rFont val="Arial"/>
            <family val="2"/>
          </rPr>
          <t>sap-2025-q4-statement.pdf | Page 15 | 111</t>
        </r>
      </text>
    </comment>
    <comment ref="E95" authorId="0">
      <text>
        <r>
          <rPr>
            <sz val="9"/>
            <color rgb="FF000000"/>
            <rFont val="Arial"/>
            <family val="2"/>
          </rPr>
          <t>sap-2026-q1-statement.pdf | Page 10 | 116</t>
        </r>
      </text>
    </comment>
    <comment ref="F95" authorId="0">
      <text>
        <r>
          <rPr>
            <sz val="9"/>
            <color rgb="FF000000"/>
            <rFont val="Arial"/>
            <family val="2"/>
          </rPr>
          <t>sap-2026-q2-statement.pdf | Page 12 | 29</t>
        </r>
      </text>
    </comment>
    <comment ref="G95" authorId="0">
      <text>
        <r>
          <rPr>
            <sz val="9"/>
            <color rgb="FF000000"/>
            <rFont val="Arial"/>
            <family val="2"/>
          </rPr>
          <t>sap-2025-q4-statement.pdf | Page 17 | 229</t>
        </r>
      </text>
    </comment>
    <comment ref="C106" authorId="0">
      <text>
        <r>
          <rPr>
            <sz val="9"/>
            <color rgb="FF000000"/>
            <rFont val="Arial"/>
            <family val="2"/>
          </rPr>
          <t>sap-2025-q3-statement.pdf | Page 14 | 83</t>
        </r>
      </text>
    </comment>
    <comment ref="D106" authorId="0">
      <text>
        <r>
          <rPr>
            <sz val="9"/>
            <color rgb="FF000000"/>
            <rFont val="Arial"/>
            <family val="2"/>
          </rPr>
          <t>sap-2025-q4-statement.pdf | Page 15 | 133</t>
        </r>
      </text>
    </comment>
    <comment ref="E106" authorId="0">
      <text>
        <r>
          <rPr>
            <sz val="9"/>
            <color rgb="FF000000"/>
            <rFont val="Arial"/>
            <family val="2"/>
          </rPr>
          <t>sap-2026-q1-statement.pdf | Page 10 | 122</t>
        </r>
      </text>
    </comment>
    <comment ref="F106" authorId="0">
      <text>
        <r>
          <rPr>
            <sz val="9"/>
            <color rgb="FF000000"/>
            <rFont val="Arial"/>
            <family val="2"/>
          </rPr>
          <t>sap-2026-q2-statement.pdf | Page 12 | 29</t>
        </r>
      </text>
    </comment>
    <comment ref="G106" authorId="0">
      <text>
        <r>
          <rPr>
            <sz val="9"/>
            <color rgb="FF000000"/>
            <rFont val="Arial"/>
            <family val="2"/>
          </rPr>
          <t>sap-2025-q4-statement.pdf | Page 17 | 259</t>
        </r>
      </text>
    </comment>
    <comment ref="C117" authorId="0">
      <text>
        <r>
          <rPr>
            <sz val="9"/>
            <color rgb="FF000000"/>
            <rFont val="Arial"/>
            <family val="2"/>
          </rPr>
          <t>sap-2025-q3-statement.pdf | Page 14 | 297</t>
        </r>
      </text>
    </comment>
    <comment ref="D117" authorId="0">
      <text>
        <r>
          <rPr>
            <sz val="9"/>
            <color rgb="FF000000"/>
            <rFont val="Arial"/>
            <family val="2"/>
          </rPr>
          <t>sap-2025-q4-statement.pdf | Page 15 | 446</t>
        </r>
      </text>
    </comment>
    <comment ref="E117" authorId="0">
      <text>
        <r>
          <rPr>
            <sz val="9"/>
            <color rgb="FF000000"/>
            <rFont val="Arial"/>
            <family val="2"/>
          </rPr>
          <t>sap-2026-q1-statement.pdf | Page 10 | 486</t>
        </r>
      </text>
    </comment>
    <comment ref="F117" authorId="0">
      <text>
        <r>
          <rPr>
            <sz val="9"/>
            <color rgb="FF000000"/>
            <rFont val="Arial"/>
            <family val="2"/>
          </rPr>
          <t>sap-2026-q2-statement.pdf | Page 12 | 129</t>
        </r>
      </text>
    </comment>
    <comment ref="G117" authorId="0">
      <text>
        <r>
          <rPr>
            <sz val="9"/>
            <color rgb="FF000000"/>
            <rFont val="Arial"/>
            <family val="2"/>
          </rPr>
          <t>sap-2025-q4-statement.pdf | Page 17 | 897</t>
        </r>
      </text>
    </comment>
    <comment ref="C122" authorId="0">
      <text>
        <r>
          <rPr>
            <sz val="9"/>
            <color rgb="FF000000"/>
            <rFont val="Arial"/>
            <family val="2"/>
          </rPr>
          <t>sap-2025-q3-statement.pdf | Page 21 | 66</t>
        </r>
      </text>
    </comment>
    <comment ref="D122" authorId="0">
      <text>
        <r>
          <rPr>
            <sz val="9"/>
            <color rgb="FF000000"/>
            <rFont val="Arial"/>
            <family val="2"/>
          </rPr>
          <t>sap-2025-q4-statement.pdf | Page 22 | 93</t>
        </r>
      </text>
    </comment>
    <comment ref="E122" authorId="0">
      <text>
        <r>
          <rPr>
            <sz val="9"/>
            <color rgb="FF000000"/>
            <rFont val="Arial"/>
            <family val="2"/>
          </rPr>
          <t>sap-2026-q1-statement.pdf | Page 13 | 62</t>
        </r>
      </text>
    </comment>
    <comment ref="F122" authorId="0">
      <text>
        <r>
          <rPr>
            <sz val="9"/>
            <color rgb="FF000000"/>
            <rFont val="Arial"/>
            <family val="2"/>
          </rPr>
          <t>sap-2026-q2-statement.pdf | Page 17 | 61</t>
        </r>
      </text>
    </comment>
    <comment ref="J122" authorId="0">
      <text>
        <r>
          <rPr>
            <sz val="9"/>
            <color rgb="FF000000"/>
            <rFont val="Arial"/>
            <family val="2"/>
          </rPr>
          <t>sap-2025-q3-statement.pdf | Page 21 | 96</t>
        </r>
      </text>
    </comment>
    <comment ref="K122" authorId="0">
      <text>
        <r>
          <rPr>
            <sz val="9"/>
            <color rgb="FF000000"/>
            <rFont val="Arial"/>
            <family val="2"/>
          </rPr>
          <t>sap-2025-q4-statement.pdf | Page 22 | 114</t>
        </r>
      </text>
    </comment>
    <comment ref="L122" authorId="0">
      <text>
        <r>
          <rPr>
            <sz val="9"/>
            <color rgb="FF000000"/>
            <rFont val="Arial"/>
            <family val="2"/>
          </rPr>
          <t>sap-2026-q1-statement.pdf | Page 13 | 78</t>
        </r>
      </text>
    </comment>
    <comment ref="M122" authorId="0">
      <text>
        <r>
          <rPr>
            <sz val="9"/>
            <color rgb="FF000000"/>
            <rFont val="Arial"/>
            <family val="2"/>
          </rPr>
          <t>sap-2026-q2-statement.pdf | Page 17 | 69</t>
        </r>
      </text>
    </comment>
    <comment ref="N122" authorId="0">
      <text>
        <r>
          <rPr>
            <sz val="9"/>
            <color rgb="FF000000"/>
            <rFont val="Arial"/>
            <family val="2"/>
          </rPr>
          <t>sap-2025-q4-statement.pdf | Page 23 | 418</t>
        </r>
      </text>
    </comment>
    <comment ref="C127" authorId="0">
      <text>
        <r>
          <rPr>
            <sz val="9"/>
            <color rgb="FF000000"/>
            <rFont val="Arial"/>
            <family val="2"/>
          </rPr>
          <t>sap-2025-q3-statement.pdf | Page 21 | 1</t>
        </r>
      </text>
    </comment>
    <comment ref="D127" authorId="0">
      <text>
        <r>
          <rPr>
            <sz val="9"/>
            <color rgb="FF000000"/>
            <rFont val="Arial"/>
            <family val="2"/>
          </rPr>
          <t>sap-2025-q4-statement.pdf | Page 22 | 3</t>
        </r>
      </text>
    </comment>
    <comment ref="E127" authorId="0">
      <text>
        <r>
          <rPr>
            <sz val="9"/>
            <color rgb="FF000000"/>
            <rFont val="Arial"/>
            <family val="2"/>
          </rPr>
          <t>sap-2026-q1-statement.pdf | Page 13 | 3</t>
        </r>
      </text>
    </comment>
    <comment ref="F127" authorId="0">
      <text>
        <r>
          <rPr>
            <sz val="9"/>
            <color rgb="FF000000"/>
            <rFont val="Arial"/>
            <family val="2"/>
          </rPr>
          <t>sap-2026-q2-statement.pdf | Page 17 | 0</t>
        </r>
      </text>
    </comment>
    <comment ref="G127" authorId="0">
      <text>
        <r>
          <rPr>
            <sz val="9"/>
            <color rgb="FF000000"/>
            <rFont val="Arial"/>
            <family val="2"/>
          </rPr>
          <t>sap-2025-q4-statement.pdf | Page 23 | 7</t>
        </r>
      </text>
    </comment>
    <comment ref="C138" authorId="0">
      <text>
        <r>
          <rPr>
            <sz val="9"/>
            <color rgb="FF000000"/>
            <rFont val="Arial"/>
            <family val="2"/>
          </rPr>
          <t>sap-2025-q3-statement.pdf | Page 21 | 298</t>
        </r>
      </text>
    </comment>
    <comment ref="D138" authorId="0">
      <text>
        <r>
          <rPr>
            <sz val="9"/>
            <color rgb="FF000000"/>
            <rFont val="Arial"/>
            <family val="2"/>
          </rPr>
          <t>sap-2025-q4-statement.pdf | Page 22 | 449</t>
        </r>
      </text>
    </comment>
    <comment ref="E138" authorId="0">
      <text>
        <r>
          <rPr>
            <sz val="9"/>
            <color rgb="FF000000"/>
            <rFont val="Arial"/>
            <family val="2"/>
          </rPr>
          <t>sap-2026-q1-statement.pdf | Page 13 | 489</t>
        </r>
      </text>
    </comment>
    <comment ref="F138" authorId="0">
      <text>
        <r>
          <rPr>
            <sz val="9"/>
            <color rgb="FF000000"/>
            <rFont val="Arial"/>
            <family val="2"/>
          </rPr>
          <t>sap-2026-q2-statement.pdf | Page 17 | 129</t>
        </r>
      </text>
    </comment>
    <comment ref="G138" authorId="0">
      <text>
        <r>
          <rPr>
            <sz val="9"/>
            <color rgb="FF000000"/>
            <rFont val="Arial"/>
            <family val="2"/>
          </rPr>
          <t>sap-2025-q4-statement.pdf | Page 23 | 904</t>
        </r>
      </text>
    </comment>
    <comment ref="C145" authorId="0">
      <text>
        <r>
          <rPr>
            <sz val="9"/>
            <color rgb="FF000000"/>
            <rFont val="Arial"/>
            <family val="2"/>
          </rPr>
          <t>sap-2025-q3-statement.pdf | Page 21 | –1,281</t>
        </r>
      </text>
    </comment>
    <comment ref="D145" authorId="0">
      <text>
        <r>
          <rPr>
            <sz val="9"/>
            <color rgb="FF000000"/>
            <rFont val="Arial"/>
            <family val="2"/>
          </rPr>
          <t>sap-2025-q4-statement.pdf | Page 22 | –1,372</t>
        </r>
      </text>
    </comment>
    <comment ref="E145" authorId="0">
      <text>
        <r>
          <rPr>
            <sz val="9"/>
            <color rgb="FF000000"/>
            <rFont val="Arial"/>
            <family val="2"/>
          </rPr>
          <t>sap-2026-q1-statement.pdf | Page 13 | –1,395</t>
        </r>
      </text>
    </comment>
    <comment ref="F145" authorId="0">
      <text>
        <r>
          <rPr>
            <sz val="9"/>
            <color rgb="FF000000"/>
            <rFont val="Arial"/>
            <family val="2"/>
          </rPr>
          <t>sap-2026-q2-statement.pdf | Page 17 | –1,504</t>
        </r>
      </text>
    </comment>
    <comment ref="J145" authorId="0">
      <text>
        <r>
          <rPr>
            <sz val="9"/>
            <color rgb="FF000000"/>
            <rFont val="Arial"/>
            <family val="2"/>
          </rPr>
          <t>sap-2025-q3-statement.pdf | Page 21 | –1,104</t>
        </r>
      </text>
    </comment>
    <comment ref="K145" authorId="0">
      <text>
        <r>
          <rPr>
            <sz val="9"/>
            <color rgb="FF000000"/>
            <rFont val="Arial"/>
            <family val="2"/>
          </rPr>
          <t>sap-2025-q4-statement.pdf | Page 22 | –1,223</t>
        </r>
      </text>
    </comment>
    <comment ref="L145" authorId="0">
      <text>
        <r>
          <rPr>
            <sz val="9"/>
            <color rgb="FF000000"/>
            <rFont val="Arial"/>
            <family val="2"/>
          </rPr>
          <t>sap-2026-q1-statement.pdf | Page 13 | –1,209</t>
        </r>
      </text>
    </comment>
    <comment ref="M145" authorId="0">
      <text>
        <r>
          <rPr>
            <sz val="9"/>
            <color rgb="FF000000"/>
            <rFont val="Arial"/>
            <family val="2"/>
          </rPr>
          <t>sap-2026-q2-statement.pdf | Page 17 | –1,223</t>
        </r>
      </text>
    </comment>
    <comment ref="N145" authorId="0">
      <text>
        <r>
          <rPr>
            <sz val="9"/>
            <color rgb="FF000000"/>
            <rFont val="Arial"/>
            <family val="2"/>
          </rPr>
          <t>sap-2025-q4-statement.pdf | Page 23 | –4,446</t>
        </r>
      </text>
    </comment>
    <comment ref="C151" authorId="0">
      <text>
        <r>
          <rPr>
            <sz val="9"/>
            <color rgb="FF000000"/>
            <rFont val="Arial"/>
            <family val="2"/>
          </rPr>
          <t>sap-2025-q3-statement.pdf | Page 21 | –271</t>
        </r>
      </text>
    </comment>
    <comment ref="D151" authorId="0">
      <text>
        <r>
          <rPr>
            <sz val="9"/>
            <color rgb="FF000000"/>
            <rFont val="Arial"/>
            <family val="2"/>
          </rPr>
          <t>sap-2025-q4-statement.pdf | Page 22 | –285</t>
        </r>
      </text>
    </comment>
    <comment ref="E151" authorId="0">
      <text>
        <r>
          <rPr>
            <sz val="9"/>
            <color rgb="FF000000"/>
            <rFont val="Arial"/>
            <family val="2"/>
          </rPr>
          <t>sap-2026-q1-statement.pdf | Page 13 | –271</t>
        </r>
      </text>
    </comment>
    <comment ref="F151" authorId="0">
      <text>
        <r>
          <rPr>
            <sz val="9"/>
            <color rgb="FF000000"/>
            <rFont val="Arial"/>
            <family val="2"/>
          </rPr>
          <t>sap-2026-q2-statement.pdf | Page 17 | –255</t>
        </r>
      </text>
    </comment>
    <comment ref="J151" authorId="0">
      <text>
        <r>
          <rPr>
            <sz val="9"/>
            <color rgb="FF000000"/>
            <rFont val="Arial"/>
            <family val="2"/>
          </rPr>
          <t>sap-2025-q3-statement.pdf | Page 21 | –279</t>
        </r>
      </text>
    </comment>
    <comment ref="K151" authorId="0">
      <text>
        <r>
          <rPr>
            <sz val="9"/>
            <color rgb="FF000000"/>
            <rFont val="Arial"/>
            <family val="2"/>
          </rPr>
          <t>sap-2025-q4-statement.pdf | Page 22 | –306</t>
        </r>
      </text>
    </comment>
    <comment ref="L151" authorId="0">
      <text>
        <r>
          <rPr>
            <sz val="9"/>
            <color rgb="FF000000"/>
            <rFont val="Arial"/>
            <family val="2"/>
          </rPr>
          <t>sap-2026-q1-statement.pdf | Page 13 | –279</t>
        </r>
      </text>
    </comment>
    <comment ref="M151" authorId="0">
      <text>
        <r>
          <rPr>
            <sz val="9"/>
            <color rgb="FF000000"/>
            <rFont val="Arial"/>
            <family val="2"/>
          </rPr>
          <t>sap-2026-q2-statement.pdf | Page 17 | –282</t>
        </r>
      </text>
    </comment>
    <comment ref="N151" authorId="0">
      <text>
        <r>
          <rPr>
            <sz val="9"/>
            <color rgb="FF000000"/>
            <rFont val="Arial"/>
            <family val="2"/>
          </rPr>
          <t>sap-2025-q4-statement.pdf | Page 23 | –1,169</t>
        </r>
      </text>
    </comment>
    <comment ref="C159" authorId="0">
      <text>
        <r>
          <rPr>
            <sz val="9"/>
            <color rgb="FF000000"/>
            <rFont val="Arial"/>
            <family val="2"/>
          </rPr>
          <t>sap-2025-q3-statement.pdf | Page 21 | –84</t>
        </r>
      </text>
    </comment>
    <comment ref="D159" authorId="0">
      <text>
        <r>
          <rPr>
            <sz val="9"/>
            <color rgb="FF000000"/>
            <rFont val="Arial"/>
            <family val="2"/>
          </rPr>
          <t>sap-2025-q4-statement.pdf | Page 22 | –84</t>
        </r>
      </text>
    </comment>
    <comment ref="E159" authorId="0">
      <text>
        <r>
          <rPr>
            <sz val="9"/>
            <color rgb="FF000000"/>
            <rFont val="Arial"/>
            <family val="2"/>
          </rPr>
          <t>sap-2026-q1-statement.pdf | Page 13 | –92</t>
        </r>
      </text>
    </comment>
    <comment ref="F159" authorId="0">
      <text>
        <r>
          <rPr>
            <sz val="9"/>
            <color rgb="FF000000"/>
            <rFont val="Arial"/>
            <family val="2"/>
          </rPr>
          <t>sap-2026-q2-statement.pdf | Page 17 | –92</t>
        </r>
      </text>
    </comment>
    <comment ref="J159" authorId="0">
      <text>
        <r>
          <rPr>
            <sz val="9"/>
            <color rgb="FF000000"/>
            <rFont val="Arial"/>
            <family val="2"/>
          </rPr>
          <t>sap-2025-q3-statement.pdf | Page 21 | –89</t>
        </r>
      </text>
    </comment>
    <comment ref="K159" authorId="0">
      <text>
        <r>
          <rPr>
            <sz val="9"/>
            <color rgb="FF000000"/>
            <rFont val="Arial"/>
            <family val="2"/>
          </rPr>
          <t>sap-2025-q4-statement.pdf | Page 22 | –96</t>
        </r>
      </text>
    </comment>
    <comment ref="L159" authorId="0">
      <text>
        <r>
          <rPr>
            <sz val="9"/>
            <color rgb="FF000000"/>
            <rFont val="Arial"/>
            <family val="2"/>
          </rPr>
          <t>sap-2026-q1-statement.pdf | Page 13 | –103</t>
        </r>
      </text>
    </comment>
    <comment ref="M159" authorId="0">
      <text>
        <r>
          <rPr>
            <sz val="9"/>
            <color rgb="FF000000"/>
            <rFont val="Arial"/>
            <family val="2"/>
          </rPr>
          <t>sap-2026-q2-statement.pdf | Page 17 | –88</t>
        </r>
      </text>
    </comment>
    <comment ref="N159" authorId="0">
      <text>
        <r>
          <rPr>
            <sz val="9"/>
            <color rgb="FF000000"/>
            <rFont val="Arial"/>
            <family val="2"/>
          </rPr>
          <t>sap-2025-q4-statement.pdf | Page 23 | –385</t>
        </r>
      </text>
    </comment>
    <comment ref="C171" authorId="0">
      <text>
        <r>
          <rPr>
            <sz val="9"/>
            <color rgb="FF000000"/>
            <rFont val="Arial"/>
            <family val="2"/>
          </rPr>
          <t>sap-2025-q3-statement.pdf | Page 21 | –3,090</t>
        </r>
      </text>
    </comment>
    <comment ref="D171" authorId="0">
      <text>
        <r>
          <rPr>
            <sz val="9"/>
            <color rgb="FF000000"/>
            <rFont val="Arial"/>
            <family val="2"/>
          </rPr>
          <t>sap-2025-q4-statement.pdf | Page 22 | –3,438</t>
        </r>
      </text>
    </comment>
    <comment ref="E171" authorId="0">
      <text>
        <r>
          <rPr>
            <sz val="9"/>
            <color rgb="FF000000"/>
            <rFont val="Arial"/>
            <family val="2"/>
          </rPr>
          <t>sap-2026-q1-statement.pdf | Page 13 | –3,263</t>
        </r>
      </text>
    </comment>
    <comment ref="F171" authorId="0">
      <text>
        <r>
          <rPr>
            <sz val="9"/>
            <color rgb="FF000000"/>
            <rFont val="Arial"/>
            <family val="2"/>
          </rPr>
          <t>sap-2026-q2-statement.pdf | Page 17 | –3,504</t>
        </r>
      </text>
    </comment>
    <comment ref="J171" authorId="0">
      <text>
        <r>
          <rPr>
            <sz val="9"/>
            <color rgb="FF000000"/>
            <rFont val="Arial"/>
            <family val="2"/>
          </rPr>
          <t>sap-2025-q3-statement.pdf | Page 21 | –3,039</t>
        </r>
      </text>
    </comment>
    <comment ref="K171" authorId="0">
      <text>
        <r>
          <rPr>
            <sz val="9"/>
            <color rgb="FF000000"/>
            <rFont val="Arial"/>
            <family val="2"/>
          </rPr>
          <t>sap-2025-q4-statement.pdf | Page 22 | –3,483</t>
        </r>
      </text>
    </comment>
    <comment ref="L171" authorId="0">
      <text>
        <r>
          <rPr>
            <sz val="9"/>
            <color rgb="FF000000"/>
            <rFont val="Arial"/>
            <family val="2"/>
          </rPr>
          <t>sap-2026-q1-statement.pdf | Page 13 | –3,275</t>
        </r>
      </text>
    </comment>
    <comment ref="M171" authorId="0">
      <text>
        <r>
          <rPr>
            <sz val="9"/>
            <color rgb="FF000000"/>
            <rFont val="Arial"/>
            <family val="2"/>
          </rPr>
          <t>sap-2026-q2-statement.pdf | Page 17 | –3,150</t>
        </r>
      </text>
    </comment>
    <comment ref="N171" authorId="0">
      <text>
        <r>
          <rPr>
            <sz val="9"/>
            <color rgb="FF000000"/>
            <rFont val="Arial"/>
            <family val="2"/>
          </rPr>
          <t>sap-2025-q4-statement.pdf | Page 23 | –12,995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1" authorId="0">
      <text>
        <r>
          <rPr>
            <sz val="9"/>
            <color rgb="FF000000"/>
            <rFont val="Arial"/>
            <family val="2"/>
          </rPr>
          <t>sap-2025-q3-statement.pdf | Page 21 | 994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sap-2025-q4-statement.pdf | Page 22 | 973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sap-2026-q1-statement.pdf | Page 13 | 945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sap-2026-q2-statement.pdf | Page 17 | 966</t>
        </r>
      </text>
    </comment>
    <comment ref="J11" authorId="0">
      <text>
        <r>
          <rPr>
            <sz val="9"/>
            <color rgb="FF000000"/>
            <rFont val="Arial"/>
            <family val="2"/>
          </rPr>
          <t>sap-2025-q3-statement.pdf | Page 21 | 945</t>
        </r>
      </text>
    </comment>
    <comment ref="K11" authorId="0">
      <text>
        <r>
          <rPr>
            <sz val="9"/>
            <color rgb="FF000000"/>
            <rFont val="Arial"/>
            <family val="2"/>
          </rPr>
          <t>sap-2025-q4-statement.pdf | Page 22 | 996</t>
        </r>
      </text>
    </comment>
    <comment ref="L11" authorId="0">
      <text>
        <r>
          <rPr>
            <sz val="9"/>
            <color rgb="FF000000"/>
            <rFont val="Arial"/>
            <family val="2"/>
          </rPr>
          <t>sap-2026-q1-statement.pdf | Page 13 | 996</t>
        </r>
      </text>
    </comment>
    <comment ref="M11" authorId="0">
      <text>
        <r>
          <rPr>
            <sz val="9"/>
            <color rgb="FF000000"/>
            <rFont val="Arial"/>
            <family val="2"/>
          </rPr>
          <t>sap-2026-q2-statement.pdf | Page 17 | 992</t>
        </r>
      </text>
    </comment>
    <comment ref="N11" authorId="0">
      <text>
        <r>
          <rPr>
            <sz val="9"/>
            <color rgb="FF000000"/>
            <rFont val="Arial"/>
            <family val="2"/>
          </rPr>
          <t>sap-2025-q4-statement.pdf | Page 23 | 3,927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sap-2025-q3-statement.pdf | Page 21 | 38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sap-2025-q4-statement.pdf | Page 22 | 46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sap-2026-q1-statement.pdf | Page 13 | 52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sap-2026-q2-statement.pdf | Page 17 | 11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sap-2025-q4-statement.pdf | Page 23 | 100</t>
        </r>
      </text>
    </comment>
    <comment ref="C36" authorId="0">
      <text>
        <r>
          <rPr>
            <sz val="9"/>
            <color rgb="FF000000"/>
            <rFont val="Arial"/>
            <family val="2"/>
          </rPr>
          <t>sap-2025-q3-statement.pdf | Page 21 | –27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sap-2025-q4-statement.pdf | Page 22 | –34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sap-2026-q1-statement.pdf | Page 13 | –56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sap-2026-q2-statement.pdf | Page 17 | –62</t>
        </r>
      </text>
    </comment>
    <comment ref="J36" authorId="0">
      <text>
        <r>
          <rPr>
            <sz val="9"/>
            <color rgb="FF000000"/>
            <rFont val="Arial"/>
            <family val="2"/>
          </rPr>
          <t>sap-2025-q3-statement.pdf | Page 21 | –24</t>
        </r>
      </text>
    </comment>
    <comment ref="K36" authorId="0">
      <text>
        <r>
          <rPr>
            <sz val="9"/>
            <color rgb="FF000000"/>
            <rFont val="Arial"/>
            <family val="2"/>
          </rPr>
          <t>sap-2025-q4-statement.pdf | Page 22 | –32</t>
        </r>
      </text>
    </comment>
    <comment ref="L36" authorId="0">
      <text>
        <r>
          <rPr>
            <sz val="9"/>
            <color rgb="FF000000"/>
            <rFont val="Arial"/>
            <family val="2"/>
          </rPr>
          <t>sap-2026-q1-statement.pdf | Page 13 | –28</t>
        </r>
      </text>
    </comment>
    <comment ref="M36" authorId="0">
      <text>
        <r>
          <rPr>
            <sz val="9"/>
            <color rgb="FF000000"/>
            <rFont val="Arial"/>
            <family val="2"/>
          </rPr>
          <t>sap-2026-q2-statement.pdf | Page 17 | –27</t>
        </r>
      </text>
    </comment>
    <comment ref="N36" authorId="0">
      <text>
        <r>
          <rPr>
            <sz val="9"/>
            <color rgb="FF000000"/>
            <rFont val="Arial"/>
            <family val="2"/>
          </rPr>
          <t>sap-2025-q4-statement.pdf | Page 23 | –108</t>
        </r>
      </text>
    </comment>
    <comment ref="C40" authorId="0">
      <text>
        <r>
          <rPr>
            <sz val="9"/>
            <color rgb="FF000000"/>
            <rFont val="Arial"/>
            <family val="2"/>
          </rPr>
          <t>sap-2025-q3-statement.pdf | Page 21 | –9</t>
        </r>
      </text>
    </comment>
    <comment ref="D40" authorId="0">
      <text>
        <r>
          <rPr>
            <sz val="9"/>
            <color rgb="FF000000"/>
            <rFont val="Arial"/>
            <family val="2"/>
          </rPr>
          <t>sap-2025-q4-statement.pdf | Page 22 | –10</t>
        </r>
      </text>
    </comment>
    <comment ref="E40" authorId="0">
      <text>
        <r>
          <rPr>
            <sz val="9"/>
            <color rgb="FF000000"/>
            <rFont val="Arial"/>
            <family val="2"/>
          </rPr>
          <t>sap-2026-q1-statement.pdf | Page 13 | –1</t>
        </r>
      </text>
    </comment>
    <comment ref="F40" authorId="0">
      <text>
        <r>
          <rPr>
            <sz val="9"/>
            <color rgb="FF000000"/>
            <rFont val="Arial"/>
            <family val="2"/>
          </rPr>
          <t>sap-2026-q2-statement.pdf | Page 17 | –1</t>
        </r>
      </text>
    </comment>
    <comment ref="J40" authorId="0">
      <text>
        <r>
          <rPr>
            <sz val="9"/>
            <color rgb="FF000000"/>
            <rFont val="Arial"/>
            <family val="2"/>
          </rPr>
          <t>sap-2025-q3-statement.pdf | Page 21 | –10</t>
        </r>
      </text>
    </comment>
    <comment ref="K40" authorId="0">
      <text>
        <r>
          <rPr>
            <sz val="9"/>
            <color rgb="FF000000"/>
            <rFont val="Arial"/>
            <family val="2"/>
          </rPr>
          <t>sap-2025-q4-statement.pdf | Page 22 | –13</t>
        </r>
      </text>
    </comment>
    <comment ref="L40" authorId="0">
      <text>
        <r>
          <rPr>
            <sz val="9"/>
            <color rgb="FF000000"/>
            <rFont val="Arial"/>
            <family val="2"/>
          </rPr>
          <t>sap-2026-q1-statement.pdf | Page 13 | –5</t>
        </r>
      </text>
    </comment>
    <comment ref="M40" authorId="0">
      <text>
        <r>
          <rPr>
            <sz val="9"/>
            <color rgb="FF000000"/>
            <rFont val="Arial"/>
            <family val="2"/>
          </rPr>
          <t>sap-2026-q2-statement.pdf | Page 17 | –4</t>
        </r>
      </text>
    </comment>
    <comment ref="N40" authorId="0">
      <text>
        <r>
          <rPr>
            <sz val="9"/>
            <color rgb="FF000000"/>
            <rFont val="Arial"/>
            <family val="2"/>
          </rPr>
          <t>sap-2025-q4-statement.pdf | Page 23 | –49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sap-2025-q3-statement.pdf | Page 21 | –656</t>
        </r>
      </text>
    </comment>
    <comment ref="D46" authorId="0">
      <text>
        <r>
          <rPr>
            <sz val="9"/>
            <color rgb="FF000000"/>
            <rFont val="Arial"/>
            <family val="2"/>
          </rPr>
          <t>sap-2025-q4-statement.pdf | Page 22 | –704</t>
        </r>
      </text>
    </comment>
    <comment ref="E46" authorId="0">
      <text>
        <r>
          <rPr>
            <sz val="9"/>
            <color rgb="FF000000"/>
            <rFont val="Arial"/>
            <family val="2"/>
          </rPr>
          <t>sap-2026-q1-statement.pdf | Page 13 | –659</t>
        </r>
      </text>
    </comment>
    <comment ref="F46" authorId="0">
      <text>
        <r>
          <rPr>
            <sz val="9"/>
            <color rgb="FF000000"/>
            <rFont val="Arial"/>
            <family val="2"/>
          </rPr>
          <t>sap-2026-q2-statement.pdf | Page 17 | –657</t>
        </r>
      </text>
    </comment>
    <comment ref="J46" authorId="0">
      <text>
        <r>
          <rPr>
            <sz val="9"/>
            <color rgb="FF000000"/>
            <rFont val="Arial"/>
            <family val="2"/>
          </rPr>
          <t>sap-2025-q3-statement.pdf | Page 21 | –668</t>
        </r>
      </text>
    </comment>
    <comment ref="K46" authorId="0">
      <text>
        <r>
          <rPr>
            <sz val="9"/>
            <color rgb="FF000000"/>
            <rFont val="Arial"/>
            <family val="2"/>
          </rPr>
          <t>sap-2025-q4-statement.pdf | Page 22 | –743</t>
        </r>
      </text>
    </comment>
    <comment ref="L46" authorId="0">
      <text>
        <r>
          <rPr>
            <sz val="9"/>
            <color rgb="FF000000"/>
            <rFont val="Arial"/>
            <family val="2"/>
          </rPr>
          <t>sap-2026-q1-statement.pdf | Page 13 | –713</t>
        </r>
      </text>
    </comment>
    <comment ref="M46" authorId="0">
      <text>
        <r>
          <rPr>
            <sz val="9"/>
            <color rgb="FF000000"/>
            <rFont val="Arial"/>
            <family val="2"/>
          </rPr>
          <t>sap-2026-q2-statement.pdf | Page 17 | –687</t>
        </r>
      </text>
    </comment>
    <comment ref="N46" authorId="0">
      <text>
        <r>
          <rPr>
            <sz val="9"/>
            <color rgb="FF000000"/>
            <rFont val="Arial"/>
            <family val="2"/>
          </rPr>
          <t>sap-2025-q4-statement.pdf | Page 23 | –2,850</t>
        </r>
      </text>
    </comment>
    <comment ref="C58" authorId="0">
      <text>
        <r>
          <rPr>
            <sz val="9"/>
            <color rgb="FF000000"/>
            <rFont val="Arial"/>
            <family val="2"/>
          </rPr>
          <t>sap-2025-q3-statement.pdf | Page 21 | –144</t>
        </r>
      </text>
    </comment>
    <comment ref="D58" authorId="0">
      <text>
        <r>
          <rPr>
            <sz val="9"/>
            <color rgb="FF000000"/>
            <rFont val="Arial"/>
            <family val="2"/>
          </rPr>
          <t>sap-2025-q4-statement.pdf | Page 22 | –160</t>
        </r>
      </text>
    </comment>
    <comment ref="E58" authorId="0">
      <text>
        <r>
          <rPr>
            <sz val="9"/>
            <color rgb="FF000000"/>
            <rFont val="Arial"/>
            <family val="2"/>
          </rPr>
          <t>sap-2026-q1-statement.pdf | Page 13 | –145</t>
        </r>
      </text>
    </comment>
    <comment ref="F58" authorId="0">
      <text>
        <r>
          <rPr>
            <sz val="9"/>
            <color rgb="FF000000"/>
            <rFont val="Arial"/>
            <family val="2"/>
          </rPr>
          <t>sap-2026-q2-statement.pdf | Page 17 | –153</t>
        </r>
      </text>
    </comment>
    <comment ref="J58" authorId="0">
      <text>
        <r>
          <rPr>
            <sz val="9"/>
            <color rgb="FF000000"/>
            <rFont val="Arial"/>
            <family val="2"/>
          </rPr>
          <t>sap-2025-q3-statement.pdf | Page 21 | –140</t>
        </r>
      </text>
    </comment>
    <comment ref="K58" authorId="0">
      <text>
        <r>
          <rPr>
            <sz val="9"/>
            <color rgb="FF000000"/>
            <rFont val="Arial"/>
            <family val="2"/>
          </rPr>
          <t>sap-2025-q4-statement.pdf | Page 22 | –177</t>
        </r>
      </text>
    </comment>
    <comment ref="L58" authorId="0">
      <text>
        <r>
          <rPr>
            <sz val="9"/>
            <color rgb="FF000000"/>
            <rFont val="Arial"/>
            <family val="2"/>
          </rPr>
          <t>sap-2026-q1-statement.pdf | Page 13 | –152</t>
        </r>
      </text>
    </comment>
    <comment ref="M58" authorId="0">
      <text>
        <r>
          <rPr>
            <sz val="9"/>
            <color rgb="FF000000"/>
            <rFont val="Arial"/>
            <family val="2"/>
          </rPr>
          <t>sap-2026-q2-statement.pdf | Page 17 | –136</t>
        </r>
      </text>
    </comment>
    <comment ref="N58" authorId="0">
      <text>
        <r>
          <rPr>
            <sz val="9"/>
            <color rgb="FF000000"/>
            <rFont val="Arial"/>
            <family val="2"/>
          </rPr>
          <t>sap-2025-q4-statement.pdf | Page 23 | –637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21" authorId="0">
      <text>
        <r>
          <rPr>
            <sz val="9"/>
            <color rgb="FF000000"/>
            <rFont val="Arial"/>
            <family val="2"/>
          </rPr>
          <t>sap-2025-q3-statement.pdf | Page 10 | –1,342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sap-2025-q4-statement.pdf | Page 11 | –1,504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sap-2026-q1-statement.pdf | Page 7 | –1,512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sap-2026-q2-statement.pdf | Page 8 | –1,617</t>
        </r>
      </text>
    </comment>
    <comment ref="J21" authorId="0">
      <text>
        <r>
          <rPr>
            <sz val="9"/>
            <color rgb="FF000000"/>
            <rFont val="Arial"/>
            <family val="2"/>
          </rPr>
          <t>sap-2025-q3-statement.pdf | Page 10 | –1,167</t>
        </r>
      </text>
    </comment>
    <comment ref="K21" authorId="0">
      <text>
        <r>
          <rPr>
            <sz val="9"/>
            <color rgb="FF000000"/>
            <rFont val="Arial"/>
            <family val="2"/>
          </rPr>
          <t>sap-2025-q4-statement.pdf | Page 11 | –1,279</t>
        </r>
      </text>
    </comment>
    <comment ref="L21" authorId="0">
      <text>
        <r>
          <rPr>
            <sz val="9"/>
            <color rgb="FF000000"/>
            <rFont val="Arial"/>
            <family val="2"/>
          </rPr>
          <t>sap-2026-q1-statement.pdf | Page 7 | –1,273</t>
        </r>
      </text>
    </comment>
    <comment ref="M21" authorId="0">
      <text>
        <r>
          <rPr>
            <sz val="9"/>
            <color rgb="FF000000"/>
            <rFont val="Arial"/>
            <family val="2"/>
          </rPr>
          <t>sap-2026-q2-statement.pdf | Page 8 | –1,297</t>
        </r>
      </text>
    </comment>
    <comment ref="N21" authorId="0">
      <text>
        <r>
          <rPr>
            <sz val="9"/>
            <color rgb="FF000000"/>
            <rFont val="Arial"/>
            <family val="2"/>
          </rPr>
          <t>sap-2025-q4-statement.pdf | Page 12 | –4,660</t>
        </r>
      </text>
    </comment>
    <comment ref="C22" authorId="0">
      <text>
        <r>
          <rPr>
            <sz val="9"/>
            <color rgb="FF000000"/>
            <rFont val="Arial"/>
            <family val="2"/>
          </rPr>
          <t>sap-2025-q3-statement.pdf | Page 10 | –303</t>
        </r>
      </text>
    </comment>
    <comment ref="D22" authorId="0">
      <text>
        <r>
          <rPr>
            <sz val="9"/>
            <color rgb="FF000000"/>
            <rFont val="Arial"/>
            <family val="2"/>
          </rPr>
          <t>sap-2025-q4-statement.pdf | Page 11 | –340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sap-2026-q1-statement.pdf | Page 7 | –295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sap-2026-q2-statement.pdf | Page 8 | –263</t>
        </r>
      </text>
    </comment>
    <comment ref="J22" authorId="0">
      <text>
        <r>
          <rPr>
            <sz val="9"/>
            <color rgb="FF000000"/>
            <rFont val="Arial"/>
            <family val="2"/>
          </rPr>
          <t>sap-2025-q3-statement.pdf | Page 10 | –306</t>
        </r>
      </text>
    </comment>
    <comment ref="K22" authorId="0">
      <text>
        <r>
          <rPr>
            <sz val="9"/>
            <color rgb="FF000000"/>
            <rFont val="Arial"/>
            <family val="2"/>
          </rPr>
          <t>sap-2025-q4-statement.pdf | Page 11 | –319</t>
        </r>
      </text>
    </comment>
    <comment ref="L22" authorId="0">
      <text>
        <r>
          <rPr>
            <sz val="9"/>
            <color rgb="FF000000"/>
            <rFont val="Arial"/>
            <family val="2"/>
          </rPr>
          <t>sap-2026-q1-statement.pdf | Page 7 | –292</t>
        </r>
      </text>
    </comment>
    <comment ref="M22" authorId="0">
      <text>
        <r>
          <rPr>
            <sz val="9"/>
            <color rgb="FF000000"/>
            <rFont val="Arial"/>
            <family val="2"/>
          </rPr>
          <t>sap-2026-q2-statement.pdf | Page 8 | –313</t>
        </r>
      </text>
    </comment>
    <comment ref="N22" authorId="0">
      <text>
        <r>
          <rPr>
            <sz val="9"/>
            <color rgb="FF000000"/>
            <rFont val="Arial"/>
            <family val="2"/>
          </rPr>
          <t>sap-2025-q4-statement.pdf | Page 12 | –1,262</t>
        </r>
      </text>
    </comment>
    <comment ref="C25" authorId="0">
      <text>
        <r>
          <rPr>
            <sz val="9"/>
            <color rgb="FF000000"/>
            <rFont val="Arial"/>
            <family val="2"/>
          </rPr>
          <t>sap-2025-q3-statement.pdf | Page 10 | –760</t>
        </r>
      </text>
    </comment>
    <comment ref="D25" authorId="0">
      <text>
        <r>
          <rPr>
            <sz val="9"/>
            <color rgb="FF000000"/>
            <rFont val="Arial"/>
            <family val="2"/>
          </rPr>
          <t>sap-2025-q4-statement.pdf | Page 11 | –796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sap-2026-q1-statement.pdf | Page 7 | –774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sap-2026-q2-statement.pdf | Page 8 | –769</t>
        </r>
      </text>
    </comment>
    <comment ref="J25" authorId="0">
      <text>
        <r>
          <rPr>
            <sz val="9"/>
            <color rgb="FF000000"/>
            <rFont val="Arial"/>
            <family val="2"/>
          </rPr>
          <t>sap-2025-q3-statement.pdf | Page 10 | –786</t>
        </r>
      </text>
    </comment>
    <comment ref="K25" authorId="0">
      <text>
        <r>
          <rPr>
            <sz val="9"/>
            <color rgb="FF000000"/>
            <rFont val="Arial"/>
            <family val="2"/>
          </rPr>
          <t>sap-2025-q4-statement.pdf | Page 11 | –837</t>
        </r>
      </text>
    </comment>
    <comment ref="L25" authorId="0">
      <text>
        <r>
          <rPr>
            <sz val="9"/>
            <color rgb="FF000000"/>
            <rFont val="Arial"/>
            <family val="2"/>
          </rPr>
          <t>sap-2026-q1-statement.pdf | Page 7 | –841</t>
        </r>
      </text>
    </comment>
    <comment ref="M25" authorId="0">
      <text>
        <r>
          <rPr>
            <sz val="9"/>
            <color rgb="FF000000"/>
            <rFont val="Arial"/>
            <family val="2"/>
          </rPr>
          <t>sap-2026-q2-statement.pdf | Page 8 | –797</t>
        </r>
      </text>
    </comment>
    <comment ref="N25" authorId="0">
      <text>
        <r>
          <rPr>
            <sz val="9"/>
            <color rgb="FF000000"/>
            <rFont val="Arial"/>
            <family val="2"/>
          </rPr>
          <t>sap-2025-q4-statement.pdf | Page 12 | –3,321</t>
        </r>
      </text>
    </comment>
    <comment ref="C31" authorId="0">
      <text>
        <r>
          <rPr>
            <sz val="9"/>
            <color rgb="FF000000"/>
            <rFont val="Arial"/>
            <family val="2"/>
          </rPr>
          <t>sap-2025-q3-statement.pdf | Page 10 | –1,644</t>
        </r>
      </text>
    </comment>
    <comment ref="D31" authorId="0">
      <text>
        <r>
          <rPr>
            <sz val="9"/>
            <color rgb="FF000000"/>
            <rFont val="Arial"/>
            <family val="2"/>
          </rPr>
          <t>sap-2025-q4-statement.pdf | Page 11 | –1,698</t>
        </r>
      </text>
    </comment>
    <comment ref="E31" authorId="0">
      <text>
        <r>
          <rPr>
            <sz val="9"/>
            <color rgb="FF000000"/>
            <rFont val="Arial"/>
            <family val="2"/>
          </rPr>
          <t>sap-2026-q1-statement.pdf | Page 7 | –1,701</t>
        </r>
      </text>
    </comment>
    <comment ref="F31" authorId="0">
      <text>
        <r>
          <rPr>
            <sz val="9"/>
            <color rgb="FF000000"/>
            <rFont val="Arial"/>
            <family val="2"/>
          </rPr>
          <t>sap-2026-q2-statement.pdf | Page 8 | –1,844</t>
        </r>
      </text>
    </comment>
    <comment ref="J31" authorId="0">
      <text>
        <r>
          <rPr>
            <sz val="9"/>
            <color rgb="FF000000"/>
            <rFont val="Arial"/>
            <family val="2"/>
          </rPr>
          <t>sap-2025-q3-statement.pdf | Page 10 | –1,568</t>
        </r>
      </text>
    </comment>
    <comment ref="K31" authorId="0">
      <text>
        <r>
          <rPr>
            <sz val="9"/>
            <color rgb="FF000000"/>
            <rFont val="Arial"/>
            <family val="2"/>
          </rPr>
          <t>sap-2025-q4-statement.pdf | Page 11 | –1,675</t>
        </r>
      </text>
    </comment>
    <comment ref="L31" authorId="0">
      <text>
        <r>
          <rPr>
            <sz val="9"/>
            <color rgb="FF000000"/>
            <rFont val="Arial"/>
            <family val="2"/>
          </rPr>
          <t>sap-2026-q1-statement.pdf | Page 7 | –1,673</t>
        </r>
      </text>
    </comment>
    <comment ref="M31" authorId="0">
      <text>
        <r>
          <rPr>
            <sz val="9"/>
            <color rgb="FF000000"/>
            <rFont val="Arial"/>
            <family val="2"/>
          </rPr>
          <t>sap-2026-q2-statement.pdf | Page 8 | –1,618</t>
        </r>
      </text>
    </comment>
    <comment ref="N31" authorId="0">
      <text>
        <r>
          <rPr>
            <sz val="9"/>
            <color rgb="FF000000"/>
            <rFont val="Arial"/>
            <family val="2"/>
          </rPr>
          <t>sap-2025-q4-statement.pdf | Page 12 | –6,514</t>
        </r>
      </text>
    </comment>
    <comment ref="C33" authorId="0">
      <text>
        <r>
          <rPr>
            <sz val="9"/>
            <color rgb="FF000000"/>
            <rFont val="Arial"/>
            <family val="2"/>
          </rPr>
          <t>sap-2025-q3-statement.pdf | Page 10 | –2,185</t>
        </r>
      </text>
    </comment>
    <comment ref="D33" authorId="0">
      <text>
        <r>
          <rPr>
            <sz val="9"/>
            <color rgb="FF000000"/>
            <rFont val="Arial"/>
            <family val="2"/>
          </rPr>
          <t>sap-2025-q4-statement.pdf | Page 11 | –2,303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sap-2026-q1-statement.pdf | Page 7 | –2,140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sap-2026-q2-statement.pdf | Page 8 | –2,315</t>
        </r>
      </text>
    </comment>
    <comment ref="J33" authorId="0">
      <text>
        <r>
          <rPr>
            <sz val="9"/>
            <color rgb="FF000000"/>
            <rFont val="Arial"/>
            <family val="2"/>
          </rPr>
          <t>sap-2025-q3-statement.pdf | Page 10 | –2,098</t>
        </r>
      </text>
    </comment>
    <comment ref="K33" authorId="0">
      <text>
        <r>
          <rPr>
            <sz val="9"/>
            <color rgb="FF000000"/>
            <rFont val="Arial"/>
            <family val="2"/>
          </rPr>
          <t>sap-2025-q4-statement.pdf | Page 11 | –2,496</t>
        </r>
      </text>
    </comment>
    <comment ref="L33" authorId="0">
      <text>
        <r>
          <rPr>
            <sz val="9"/>
            <color rgb="FF000000"/>
            <rFont val="Arial"/>
            <family val="2"/>
          </rPr>
          <t>sap-2026-q1-statement.pdf | Page 7 | –2,235</t>
        </r>
      </text>
    </comment>
    <comment ref="M33" authorId="0">
      <text>
        <r>
          <rPr>
            <sz val="9"/>
            <color rgb="FF000000"/>
            <rFont val="Arial"/>
            <family val="2"/>
          </rPr>
          <t>sap-2026-q2-statement.pdf | Page 8 | –2,156</t>
        </r>
      </text>
    </comment>
    <comment ref="N33" authorId="0">
      <text>
        <r>
          <rPr>
            <sz val="9"/>
            <color rgb="FF000000"/>
            <rFont val="Arial"/>
            <family val="2"/>
          </rPr>
          <t>sap-2025-q4-statement.pdf | Page 12 | –9,090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sap-2025-q3-statement.pdf | Page 10 | –364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sap-2025-q4-statement.pdf | Page 11 | –465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sap-2026-q1-statement.pdf | Page 7 | –358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sap-2026-q2-statement.pdf | Page 8 | –404</t>
        </r>
      </text>
    </comment>
    <comment ref="J35" authorId="0">
      <text>
        <r>
          <rPr>
            <sz val="9"/>
            <color rgb="FF000000"/>
            <rFont val="Arial"/>
            <family val="2"/>
          </rPr>
          <t>sap-2025-q3-statement.pdf | Page 10 | –361</t>
        </r>
      </text>
    </comment>
    <comment ref="K35" authorId="0">
      <text>
        <r>
          <rPr>
            <sz val="9"/>
            <color rgb="FF000000"/>
            <rFont val="Arial"/>
            <family val="2"/>
          </rPr>
          <t>sap-2025-q4-statement.pdf | Page 11 | –378</t>
        </r>
      </text>
    </comment>
    <comment ref="L35" authorId="0">
      <text>
        <r>
          <rPr>
            <sz val="9"/>
            <color rgb="FF000000"/>
            <rFont val="Arial"/>
            <family val="2"/>
          </rPr>
          <t>sap-2026-q1-statement.pdf | Page 7 | –358</t>
        </r>
      </text>
    </comment>
    <comment ref="M35" authorId="0">
      <text>
        <r>
          <rPr>
            <sz val="9"/>
            <color rgb="FF000000"/>
            <rFont val="Arial"/>
            <family val="2"/>
          </rPr>
          <t>sap-2026-q2-statement.pdf | Page 8 | –361</t>
        </r>
      </text>
    </comment>
    <comment ref="N35" authorId="0">
      <text>
        <r>
          <rPr>
            <sz val="9"/>
            <color rgb="FF000000"/>
            <rFont val="Arial"/>
            <family val="2"/>
          </rPr>
          <t>sap-2025-q4-statement.pdf | Page 12 | –1,435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sap-2025-q3-statement.pdf | Page 10 | 18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sap-2025-q4-statement.pdf | Page 11 | –3</t>
        </r>
      </text>
    </comment>
    <comment ref="E37" authorId="0">
      <text>
        <r>
          <rPr>
            <sz val="9"/>
            <color rgb="FF000000"/>
            <rFont val="Arial"/>
            <family val="2"/>
          </rPr>
          <t>sap-2026-q1-statement.pdf | Page 7 | –12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sap-2026-q2-statement.pdf | Page 8 | –7</t>
        </r>
      </text>
    </comment>
    <comment ref="J37" authorId="0">
      <text>
        <r>
          <rPr>
            <sz val="9"/>
            <color rgb="FF000000"/>
            <rFont val="Arial"/>
            <family val="2"/>
          </rPr>
          <t>sap-2025-q3-statement.pdf | Page 10 | 52</t>
        </r>
      </text>
    </comment>
    <comment ref="K37" authorId="0">
      <text>
        <r>
          <rPr>
            <sz val="9"/>
            <color rgb="FF000000"/>
            <rFont val="Arial"/>
            <family val="2"/>
          </rPr>
          <t>sap-2025-q4-statement.pdf | Page 11 | –323</t>
        </r>
      </text>
    </comment>
    <comment ref="L37" authorId="0">
      <text>
        <r>
          <rPr>
            <sz val="9"/>
            <color rgb="FF000000"/>
            <rFont val="Arial"/>
            <family val="2"/>
          </rPr>
          <t>sap-2026-q1-statement.pdf | Page 7 | 0</t>
        </r>
      </text>
    </comment>
    <comment ref="M37" authorId="0">
      <text>
        <r>
          <rPr>
            <sz val="9"/>
            <color rgb="FF000000"/>
            <rFont val="Arial"/>
            <family val="2"/>
          </rPr>
          <t>sap-2026-q2-statement.pdf | Page 8 | –18</t>
        </r>
      </text>
    </comment>
    <comment ref="N37" authorId="0">
      <text>
        <r>
          <rPr>
            <sz val="9"/>
            <color rgb="FF000000"/>
            <rFont val="Arial"/>
            <family val="2"/>
          </rPr>
          <t>sap-2025-q4-statement.pdf | Page 12 | –3,144</t>
        </r>
      </text>
    </comment>
    <comment ref="C38" authorId="0">
      <text>
        <r>
          <rPr>
            <sz val="9"/>
            <color rgb="FF000000"/>
            <rFont val="Arial"/>
            <family val="2"/>
          </rPr>
          <t>sap-2025-q3-statement.pdf | Page 10 | –8</t>
        </r>
      </text>
    </comment>
    <comment ref="D38" authorId="0">
      <text>
        <r>
          <rPr>
            <sz val="9"/>
            <color rgb="FF000000"/>
            <rFont val="Arial"/>
            <family val="2"/>
          </rPr>
          <t>sap-2025-q4-statement.pdf | Page 11 | –21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sap-2026-q1-statement.pdf | Page 7 | –22</t>
        </r>
      </text>
    </comment>
    <comment ref="F38" authorId="0">
      <text>
        <r>
          <rPr>
            <sz val="9"/>
            <color rgb="FF000000"/>
            <rFont val="Arial"/>
            <family val="2"/>
          </rPr>
          <t>sap-2026-q2-statement.pdf | Page 8 | –14</t>
        </r>
      </text>
    </comment>
    <comment ref="J38" authorId="0">
      <text>
        <r>
          <rPr>
            <sz val="9"/>
            <color rgb="FF000000"/>
            <rFont val="Arial"/>
            <family val="2"/>
          </rPr>
          <t>sap-2025-q3-statement.pdf | Page 10 | –22</t>
        </r>
      </text>
    </comment>
    <comment ref="K38" authorId="0">
      <text>
        <r>
          <rPr>
            <sz val="9"/>
            <color rgb="FF000000"/>
            <rFont val="Arial"/>
            <family val="2"/>
          </rPr>
          <t>sap-2025-q4-statement.pdf | Page 11 | –54</t>
        </r>
      </text>
    </comment>
    <comment ref="L38" authorId="0">
      <text>
        <r>
          <rPr>
            <sz val="9"/>
            <color rgb="FF000000"/>
            <rFont val="Arial"/>
            <family val="2"/>
          </rPr>
          <t>sap-2026-q1-statement.pdf | Page 7 | –8</t>
        </r>
      </text>
    </comment>
    <comment ref="M38" authorId="0">
      <text>
        <r>
          <rPr>
            <sz val="9"/>
            <color rgb="FF000000"/>
            <rFont val="Arial"/>
            <family val="2"/>
          </rPr>
          <t>sap-2026-q2-statement.pdf | Page 8 | –11</t>
        </r>
      </text>
    </comment>
    <comment ref="N38" authorId="0">
      <text>
        <r>
          <rPr>
            <sz val="9"/>
            <color rgb="FF000000"/>
            <rFont val="Arial"/>
            <family val="2"/>
          </rPr>
          <t>sap-2025-q4-statement.pdf | Page 12 | –85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sap-2025-q3-statement.pdf | Page 10 | 46</t>
        </r>
      </text>
    </comment>
    <comment ref="D45" authorId="0">
      <text>
        <r>
          <rPr>
            <sz val="9"/>
            <color rgb="FF000000"/>
            <rFont val="Arial"/>
            <family val="2"/>
          </rPr>
          <t>sap-2025-q4-statement.pdf | Page 11 | 65</t>
        </r>
      </text>
    </comment>
    <comment ref="E45" authorId="0">
      <text>
        <r>
          <rPr>
            <sz val="9"/>
            <color rgb="FF000000"/>
            <rFont val="Arial"/>
            <family val="2"/>
          </rPr>
          <t>sap-2026-q1-statement.pdf | Page 7 | 24</t>
        </r>
      </text>
    </comment>
    <comment ref="F45" authorId="0">
      <text>
        <r>
          <rPr>
            <sz val="9"/>
            <color rgb="FF000000"/>
            <rFont val="Arial"/>
            <family val="2"/>
          </rPr>
          <t>sap-2026-q2-statement.pdf | Page 8 | –39</t>
        </r>
      </text>
    </comment>
    <comment ref="J45" authorId="0">
      <text>
        <r>
          <rPr>
            <sz val="9"/>
            <color rgb="FF000000"/>
            <rFont val="Arial"/>
            <family val="2"/>
          </rPr>
          <t>sap-2025-q3-statement.pdf | Page 10 | –62</t>
        </r>
      </text>
    </comment>
    <comment ref="K45" authorId="0">
      <text>
        <r>
          <rPr>
            <sz val="9"/>
            <color rgb="FF000000"/>
            <rFont val="Arial"/>
            <family val="2"/>
          </rPr>
          <t>sap-2025-q4-statement.pdf | Page 11 | –83</t>
        </r>
      </text>
    </comment>
    <comment ref="L45" authorId="0">
      <text>
        <r>
          <rPr>
            <sz val="9"/>
            <color rgb="FF000000"/>
            <rFont val="Arial"/>
            <family val="2"/>
          </rPr>
          <t>sap-2026-q1-statement.pdf | Page 7 | 10</t>
        </r>
      </text>
    </comment>
    <comment ref="M45" authorId="0">
      <text>
        <r>
          <rPr>
            <sz val="9"/>
            <color rgb="FF000000"/>
            <rFont val="Arial"/>
            <family val="2"/>
          </rPr>
          <t>sap-2026-q2-statement.pdf | Page 8 | –3</t>
        </r>
      </text>
    </comment>
    <comment ref="N45" authorId="0">
      <text>
        <r>
          <rPr>
            <sz val="9"/>
            <color rgb="FF000000"/>
            <rFont val="Arial"/>
            <family val="2"/>
          </rPr>
          <t>sap-2025-q4-statement.pdf | Page 12 | –298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sap-2025-q3-statement.pdf | Page 10 | 524</t>
        </r>
      </text>
    </comment>
    <comment ref="D46" authorId="0">
      <text>
        <r>
          <rPr>
            <sz val="9"/>
            <color rgb="FF000000"/>
            <rFont val="Arial"/>
            <family val="2"/>
          </rPr>
          <t>sap-2025-q4-statement.pdf | Page 11 | 665</t>
        </r>
      </text>
    </comment>
    <comment ref="E46" authorId="0">
      <text>
        <r>
          <rPr>
            <sz val="9"/>
            <color rgb="FF000000"/>
            <rFont val="Arial"/>
            <family val="2"/>
          </rPr>
          <t>sap-2026-q1-statement.pdf | Page 7 | 274</t>
        </r>
      </text>
    </comment>
    <comment ref="F46" authorId="0">
      <text>
        <r>
          <rPr>
            <sz val="9"/>
            <color rgb="FF000000"/>
            <rFont val="Arial"/>
            <family val="2"/>
          </rPr>
          <t>sap-2026-q2-statement.pdf | Page 8 | 726</t>
        </r>
      </text>
    </comment>
    <comment ref="J46" authorId="0">
      <text>
        <r>
          <rPr>
            <sz val="9"/>
            <color rgb="FF000000"/>
            <rFont val="Arial"/>
            <family val="2"/>
          </rPr>
          <t>sap-2025-q3-statement.pdf | Page 10 | 240</t>
        </r>
      </text>
    </comment>
    <comment ref="K46" authorId="0">
      <text>
        <r>
          <rPr>
            <sz val="9"/>
            <color rgb="FF000000"/>
            <rFont val="Arial"/>
            <family val="2"/>
          </rPr>
          <t>sap-2025-q4-statement.pdf | Page 11 | 578</t>
        </r>
      </text>
    </comment>
    <comment ref="L46" authorId="0">
      <text>
        <r>
          <rPr>
            <sz val="9"/>
            <color rgb="FF000000"/>
            <rFont val="Arial"/>
            <family val="2"/>
          </rPr>
          <t>sap-2026-q1-statement.pdf | Page 7 | 405</t>
        </r>
      </text>
    </comment>
    <comment ref="M46" authorId="0">
      <text>
        <r>
          <rPr>
            <sz val="9"/>
            <color rgb="FF000000"/>
            <rFont val="Arial"/>
            <family val="2"/>
          </rPr>
          <t>sap-2026-q2-statement.pdf | Page 8 | 317</t>
        </r>
      </text>
    </comment>
    <comment ref="N46" authorId="0">
      <text>
        <r>
          <rPr>
            <sz val="9"/>
            <color rgb="FF000000"/>
            <rFont val="Arial"/>
            <family val="2"/>
          </rPr>
          <t>sap-2025-q4-statement.pdf | Page 12 | 1,429</t>
        </r>
      </text>
    </comment>
    <comment ref="C47" authorId="0">
      <text>
        <r>
          <rPr>
            <sz val="9"/>
            <color rgb="FF000000"/>
            <rFont val="Arial"/>
            <family val="2"/>
          </rPr>
          <t>sap-2025-q3-statement.pdf | Page 10 | –312</t>
        </r>
      </text>
    </comment>
    <comment ref="D47" authorId="0">
      <text>
        <r>
          <rPr>
            <sz val="9"/>
            <color rgb="FF000000"/>
            <rFont val="Arial"/>
            <family val="2"/>
          </rPr>
          <t>sap-2025-q4-statement.pdf | Page 11 | –517</t>
        </r>
      </text>
    </comment>
    <comment ref="E47" authorId="0">
      <text>
        <r>
          <rPr>
            <sz val="9"/>
            <color rgb="FF000000"/>
            <rFont val="Arial"/>
            <family val="2"/>
          </rPr>
          <t>sap-2026-q1-statement.pdf | Page 7 | –292</t>
        </r>
      </text>
    </comment>
    <comment ref="F47" authorId="0">
      <text>
        <r>
          <rPr>
            <sz val="9"/>
            <color rgb="FF000000"/>
            <rFont val="Arial"/>
            <family val="2"/>
          </rPr>
          <t>sap-2026-q2-statement.pdf | Page 8 | –323</t>
        </r>
      </text>
    </comment>
    <comment ref="J47" authorId="0">
      <text>
        <r>
          <rPr>
            <sz val="9"/>
            <color rgb="FF000000"/>
            <rFont val="Arial"/>
            <family val="2"/>
          </rPr>
          <t>sap-2025-q3-statement.pdf | Page 10 | –241</t>
        </r>
      </text>
    </comment>
    <comment ref="K47" authorId="0">
      <text>
        <r>
          <rPr>
            <sz val="9"/>
            <color rgb="FF000000"/>
            <rFont val="Arial"/>
            <family val="2"/>
          </rPr>
          <t>sap-2025-q4-statement.pdf | Page 11 | –305</t>
        </r>
      </text>
    </comment>
    <comment ref="L47" authorId="0">
      <text>
        <r>
          <rPr>
            <sz val="9"/>
            <color rgb="FF000000"/>
            <rFont val="Arial"/>
            <family val="2"/>
          </rPr>
          <t>sap-2026-q1-statement.pdf | Page 7 | –280</t>
        </r>
      </text>
    </comment>
    <comment ref="M47" authorId="0">
      <text>
        <r>
          <rPr>
            <sz val="9"/>
            <color rgb="FF000000"/>
            <rFont val="Arial"/>
            <family val="2"/>
          </rPr>
          <t>sap-2026-q2-statement.pdf | Page 8 | –268</t>
        </r>
      </text>
    </comment>
    <comment ref="N47" authorId="0">
      <text>
        <r>
          <rPr>
            <sz val="9"/>
            <color rgb="FF000000"/>
            <rFont val="Arial"/>
            <family val="2"/>
          </rPr>
          <t>sap-2025-q4-statement.pdf | Page 12 | –1,031</t>
        </r>
      </text>
    </comment>
    <comment ref="C52" authorId="0">
      <text>
        <r>
          <rPr>
            <sz val="9"/>
            <color rgb="FF000000"/>
            <rFont val="Arial"/>
            <family val="2"/>
          </rPr>
          <t>sap-2025-q3-statement.pdf | Page 10 | –694</t>
        </r>
      </text>
    </comment>
    <comment ref="D52" authorId="0">
      <text>
        <r>
          <rPr>
            <sz val="9"/>
            <color rgb="FF000000"/>
            <rFont val="Arial"/>
            <family val="2"/>
          </rPr>
          <t>sap-2025-q4-statement.pdf | Page 11 | –871</t>
        </r>
      </text>
    </comment>
    <comment ref="E52" authorId="0">
      <text>
        <r>
          <rPr>
            <sz val="9"/>
            <color rgb="FF000000"/>
            <rFont val="Arial"/>
            <family val="2"/>
          </rPr>
          <t>sap-2026-q1-statement.pdf | Page 7 | –800</t>
        </r>
      </text>
    </comment>
    <comment ref="F52" authorId="0">
      <text>
        <r>
          <rPr>
            <sz val="9"/>
            <color rgb="FF000000"/>
            <rFont val="Arial"/>
            <family val="2"/>
          </rPr>
          <t>sap-2026-q2-statement.pdf | Page 8 | –797</t>
        </r>
      </text>
    </comment>
    <comment ref="J52" authorId="0">
      <text>
        <r>
          <rPr>
            <sz val="9"/>
            <color rgb="FF000000"/>
            <rFont val="Arial"/>
            <family val="2"/>
          </rPr>
          <t>sap-2025-q3-statement.pdf | Page 10 | –710</t>
        </r>
      </text>
    </comment>
    <comment ref="K52" authorId="0">
      <text>
        <r>
          <rPr>
            <sz val="9"/>
            <color rgb="FF000000"/>
            <rFont val="Arial"/>
            <family val="2"/>
          </rPr>
          <t>sap-2025-q4-statement.pdf | Page 11 | –591</t>
        </r>
      </text>
    </comment>
    <comment ref="L52" authorId="0">
      <text>
        <r>
          <rPr>
            <sz val="9"/>
            <color rgb="FF000000"/>
            <rFont val="Arial"/>
            <family val="2"/>
          </rPr>
          <t>sap-2026-q1-statement.pdf | Page 7 | –672</t>
        </r>
      </text>
    </comment>
    <comment ref="M52" authorId="0">
      <text>
        <r>
          <rPr>
            <sz val="9"/>
            <color rgb="FF000000"/>
            <rFont val="Arial"/>
            <family val="2"/>
          </rPr>
          <t>sap-2026-q2-statement.pdf | Page 8 | –753</t>
        </r>
      </text>
    </comment>
    <comment ref="N52" authorId="0">
      <text>
        <r>
          <rPr>
            <sz val="9"/>
            <color rgb="FF000000"/>
            <rFont val="Arial"/>
            <family val="2"/>
          </rPr>
          <t>sap-2025-q4-statement.pdf | Page 12 | –1,614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sap-2025-q3-statement.pdf | Page 10 | 47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sap-2025-q4-statement.pdf | Page 11 | 50</t>
        </r>
      </text>
    </comment>
    <comment ref="E56" authorId="0">
      <text>
        <r>
          <rPr>
            <sz val="9"/>
            <color rgb="FF000000"/>
            <rFont val="Arial"/>
            <family val="2"/>
          </rPr>
          <t>sap-2026-q1-statement.pdf | Page 7 | 14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sap-2026-q2-statement.pdf | Page 8 | 30</t>
        </r>
      </text>
    </comment>
    <comment ref="J56" authorId="0">
      <text>
        <r>
          <rPr>
            <sz val="9"/>
            <color rgb="FF000000"/>
            <rFont val="Arial"/>
            <family val="2"/>
          </rPr>
          <t>sap-2025-q3-statement.pdf | Page 10 | –23</t>
        </r>
      </text>
    </comment>
    <comment ref="K56" authorId="0">
      <text>
        <r>
          <rPr>
            <sz val="9"/>
            <color rgb="FF000000"/>
            <rFont val="Arial"/>
            <family val="2"/>
          </rPr>
          <t>sap-2025-q4-statement.pdf | Page 11 | 15</t>
        </r>
      </text>
    </comment>
    <comment ref="L56" authorId="0">
      <text>
        <r>
          <rPr>
            <sz val="9"/>
            <color rgb="FF000000"/>
            <rFont val="Arial"/>
            <family val="2"/>
          </rPr>
          <t>sap-2026-q1-statement.pdf | Page 7 | 16</t>
        </r>
      </text>
    </comment>
    <comment ref="M56" authorId="0">
      <text>
        <r>
          <rPr>
            <sz val="9"/>
            <color rgb="FF000000"/>
            <rFont val="Arial"/>
            <family val="2"/>
          </rPr>
          <t>sap-2026-q2-statement.pdf | Page 8 | 52</t>
        </r>
      </text>
    </comment>
    <comment ref="N56" authorId="0">
      <text>
        <r>
          <rPr>
            <sz val="9"/>
            <color rgb="FF000000"/>
            <rFont val="Arial"/>
            <family val="2"/>
          </rPr>
          <t>sap-2025-q4-statement.pdf | Page 12 | 26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sap-2025-q3-statement.pdf | Page 10 | 1.72</t>
        </r>
      </text>
    </comment>
    <comment ref="D67" authorId="0">
      <text>
        <r>
          <rPr>
            <sz val="9"/>
            <color rgb="FF000000"/>
            <rFont val="Arial"/>
            <family val="2"/>
          </rPr>
          <t>sap-2025-q4-statement.pdf | Page 11 | 1.58</t>
        </r>
      </text>
    </comment>
    <comment ref="E67" authorId="0">
      <text>
        <r>
          <rPr>
            <sz val="9"/>
            <color rgb="FF000000"/>
            <rFont val="Arial"/>
            <family val="2"/>
          </rPr>
          <t>sap-2026-q1-statement.pdf | Page 7 | 1.66</t>
        </r>
      </text>
    </comment>
    <comment ref="F67" authorId="0">
      <text>
        <r>
          <rPr>
            <sz val="9"/>
            <color rgb="FF000000"/>
            <rFont val="Arial"/>
            <family val="2"/>
          </rPr>
          <t>sap-2026-q2-statement.pdf | Page 8 | 1.89</t>
        </r>
      </text>
    </comment>
    <comment ref="J67" authorId="0">
      <text>
        <r>
          <rPr>
            <sz val="9"/>
            <color rgb="FF000000"/>
            <rFont val="Arial"/>
            <family val="2"/>
          </rPr>
          <t>sap-2025-q3-statement.pdf | Page 10 | 1.25</t>
        </r>
      </text>
    </comment>
    <comment ref="K67" authorId="0">
      <text>
        <r>
          <rPr>
            <sz val="9"/>
            <color rgb="FF000000"/>
            <rFont val="Arial"/>
            <family val="2"/>
          </rPr>
          <t>sap-2025-q4-statement.pdf | Page 11 | 1.37</t>
        </r>
      </text>
    </comment>
    <comment ref="L67" authorId="0">
      <text>
        <r>
          <rPr>
            <sz val="9"/>
            <color rgb="FF000000"/>
            <rFont val="Arial"/>
            <family val="2"/>
          </rPr>
          <t>sap-2026-q1-statement.pdf | Page 7 | 1.52</t>
        </r>
      </text>
    </comment>
    <comment ref="M67" authorId="0">
      <text>
        <r>
          <rPr>
            <sz val="9"/>
            <color rgb="FF000000"/>
            <rFont val="Arial"/>
            <family val="2"/>
          </rPr>
          <t>sap-2026-q2-statement.pdf | Page 8 | 1.45</t>
        </r>
      </text>
    </comment>
    <comment ref="N67" authorId="0">
      <text>
        <r>
          <rPr>
            <sz val="9"/>
            <color rgb="FF000000"/>
            <rFont val="Arial"/>
            <family val="2"/>
          </rPr>
          <t>sap-2025-q4-statement.pdf | Page 12 | 2.68</t>
        </r>
      </text>
    </comment>
    <comment ref="G67" authorId="0">
      <text>
        <r>
          <rPr>
            <sz val="9"/>
            <color rgb="FF000000"/>
            <rFont val="Arial"/>
            <family val="2"/>
          </rPr>
          <t>sap-2025-q4-statement.pdf | Page 12 | 6.28</t>
        </r>
      </text>
    </comment>
    <comment ref="C68" authorId="0">
      <text>
        <r>
          <rPr>
            <sz val="9"/>
            <color rgb="FF000000"/>
            <rFont val="Arial"/>
            <family val="2"/>
          </rPr>
          <t>sap-2025-q3-statement.pdf | Page 10 | 1.71</t>
        </r>
      </text>
    </comment>
    <comment ref="D68" authorId="0">
      <text>
        <r>
          <rPr>
            <sz val="9"/>
            <color rgb="FF000000"/>
            <rFont val="Arial"/>
            <family val="2"/>
          </rPr>
          <t>sap-2025-q4-statement.pdf | Page 11 | 1.57</t>
        </r>
      </text>
    </comment>
    <comment ref="E68" authorId="0">
      <text>
        <r>
          <rPr>
            <sz val="9"/>
            <color rgb="FF000000"/>
            <rFont val="Arial"/>
            <family val="2"/>
          </rPr>
          <t>sap-2026-q1-statement.pdf | Page 7 | 1.65</t>
        </r>
      </text>
    </comment>
    <comment ref="F68" authorId="0">
      <text>
        <r>
          <rPr>
            <sz val="9"/>
            <color rgb="FF000000"/>
            <rFont val="Arial"/>
            <family val="2"/>
          </rPr>
          <t>sap-2026-q2-statement.pdf | Page 8 | 1.88</t>
        </r>
      </text>
    </comment>
    <comment ref="J68" authorId="0">
      <text>
        <r>
          <rPr>
            <sz val="9"/>
            <color rgb="FF000000"/>
            <rFont val="Arial"/>
            <family val="2"/>
          </rPr>
          <t>sap-2025-q3-statement.pdf | Page 10 | 1.24</t>
        </r>
      </text>
    </comment>
    <comment ref="K68" authorId="0">
      <text>
        <r>
          <rPr>
            <sz val="9"/>
            <color rgb="FF000000"/>
            <rFont val="Arial"/>
            <family val="2"/>
          </rPr>
          <t>sap-2025-q4-statement.pdf | Page 11 | 1.36</t>
        </r>
      </text>
    </comment>
    <comment ref="L68" authorId="0">
      <text>
        <r>
          <rPr>
            <sz val="9"/>
            <color rgb="FF000000"/>
            <rFont val="Arial"/>
            <family val="2"/>
          </rPr>
          <t>sap-2026-q1-statement.pdf | Page 7 | 1.51</t>
        </r>
      </text>
    </comment>
    <comment ref="M68" authorId="0">
      <text>
        <r>
          <rPr>
            <sz val="9"/>
            <color rgb="FF000000"/>
            <rFont val="Arial"/>
            <family val="2"/>
          </rPr>
          <t>sap-2026-q2-statement.pdf | Page 8 | 1.44</t>
        </r>
      </text>
    </comment>
    <comment ref="N68" authorId="0">
      <text>
        <r>
          <rPr>
            <sz val="9"/>
            <color rgb="FF000000"/>
            <rFont val="Arial"/>
            <family val="2"/>
          </rPr>
          <t>sap-2025-q4-statement.pdf | Page 12 | 2.65</t>
        </r>
      </text>
    </comment>
    <comment ref="G68" authorId="0">
      <text>
        <r>
          <rPr>
            <sz val="9"/>
            <color rgb="FF000000"/>
            <rFont val="Arial"/>
            <family val="2"/>
          </rPr>
          <t>sap-2025-q4-statement.pdf | Page 12 | 6.24</t>
        </r>
      </text>
    </comment>
    <comment ref="C73" authorId="0">
      <text>
        <r>
          <rPr>
            <sz val="9"/>
            <color rgb="FF000000"/>
            <rFont val="Arial"/>
            <family val="2"/>
          </rPr>
          <t>sap-2025-q3-statement.pdf | Page 19 | 96</t>
        </r>
      </text>
    </comment>
    <comment ref="D73" authorId="0">
      <text>
        <r>
          <rPr>
            <sz val="9"/>
            <color rgb="FF000000"/>
            <rFont val="Arial"/>
            <family val="2"/>
          </rPr>
          <t>sap-2025-q4-statement.pdf | Page 20 | 98</t>
        </r>
      </text>
    </comment>
    <comment ref="E73" authorId="0">
      <text>
        <r>
          <rPr>
            <sz val="9"/>
            <color rgb="FF000000"/>
            <rFont val="Arial"/>
            <family val="2"/>
          </rPr>
          <t>sap-2026-q1-statement.pdf | Page 12 | 85</t>
        </r>
      </text>
    </comment>
    <comment ref="F73" authorId="0">
      <text>
        <r>
          <rPr>
            <sz val="9"/>
            <color rgb="FF000000"/>
            <rFont val="Arial"/>
            <family val="2"/>
          </rPr>
          <t>sap-2026-q2-statement.pdf | Page 16 | 92</t>
        </r>
      </text>
    </comment>
    <comment ref="J73" authorId="0">
      <text>
        <r>
          <rPr>
            <sz val="9"/>
            <color rgb="FF000000"/>
            <rFont val="Arial"/>
            <family val="2"/>
          </rPr>
          <t>sap-2025-q3-statement.pdf | Page 19 | 90</t>
        </r>
      </text>
    </comment>
    <comment ref="K73" authorId="0">
      <text>
        <r>
          <rPr>
            <sz val="9"/>
            <color rgb="FF000000"/>
            <rFont val="Arial"/>
            <family val="2"/>
          </rPr>
          <t>sap-2025-q4-statement.pdf | Page 20 | 100</t>
        </r>
      </text>
    </comment>
    <comment ref="L73" authorId="0">
      <text>
        <r>
          <rPr>
            <sz val="9"/>
            <color rgb="FF000000"/>
            <rFont val="Arial"/>
            <family val="2"/>
          </rPr>
          <t>sap-2026-q1-statement.pdf | Page 12 | 123</t>
        </r>
      </text>
    </comment>
    <comment ref="M73" authorId="0">
      <text>
        <r>
          <rPr>
            <sz val="9"/>
            <color rgb="FF000000"/>
            <rFont val="Arial"/>
            <family val="2"/>
          </rPr>
          <t>sap-2026-q2-statement.pdf | Page 16 | 94</t>
        </r>
      </text>
    </comment>
    <comment ref="N73" authorId="0">
      <text>
        <r>
          <rPr>
            <sz val="9"/>
            <color rgb="FF000000"/>
            <rFont val="Arial"/>
            <family val="2"/>
          </rPr>
          <t>sap-2025-q4-statement.pdf | Page 20 | 356</t>
        </r>
      </text>
    </comment>
    <comment ref="C74" authorId="0">
      <text>
        <r>
          <rPr>
            <sz val="9"/>
            <color rgb="FF000000"/>
            <rFont val="Arial"/>
            <family val="2"/>
          </rPr>
          <t>sap-2025-q3-statement.pdf | Page 19 | –18</t>
        </r>
      </text>
    </comment>
    <comment ref="D74" authorId="0">
      <text>
        <r>
          <rPr>
            <sz val="9"/>
            <color rgb="FF000000"/>
            <rFont val="Arial"/>
            <family val="2"/>
          </rPr>
          <t>sap-2025-q4-statement.pdf | Page 20 | 3</t>
        </r>
      </text>
    </comment>
    <comment ref="E74" authorId="0">
      <text>
        <r>
          <rPr>
            <sz val="9"/>
            <color rgb="FF000000"/>
            <rFont val="Arial"/>
            <family val="2"/>
          </rPr>
          <t>sap-2026-q1-statement.pdf | Page 12 | 12</t>
        </r>
      </text>
    </comment>
    <comment ref="F74" authorId="0">
      <text>
        <r>
          <rPr>
            <sz val="9"/>
            <color rgb="FF000000"/>
            <rFont val="Arial"/>
            <family val="2"/>
          </rPr>
          <t>sap-2026-q2-statement.pdf | Page 16 | 7</t>
        </r>
      </text>
    </comment>
    <comment ref="J74" authorId="0">
      <text>
        <r>
          <rPr>
            <sz val="9"/>
            <color rgb="FF000000"/>
            <rFont val="Arial"/>
            <family val="2"/>
          </rPr>
          <t>sap-2025-q3-statement.pdf | Page 19 | –52</t>
        </r>
      </text>
    </comment>
    <comment ref="K74" authorId="0">
      <text>
        <r>
          <rPr>
            <sz val="9"/>
            <color rgb="FF000000"/>
            <rFont val="Arial"/>
            <family val="2"/>
          </rPr>
          <t>sap-2025-q4-statement.pdf | Page 20 | 323</t>
        </r>
      </text>
    </comment>
    <comment ref="L74" authorId="0">
      <text>
        <r>
          <rPr>
            <sz val="9"/>
            <color rgb="FF000000"/>
            <rFont val="Arial"/>
            <family val="2"/>
          </rPr>
          <t>sap-2026-q1-statement.pdf | Page 12 | 0</t>
        </r>
      </text>
    </comment>
    <comment ref="M74" authorId="0">
      <text>
        <r>
          <rPr>
            <sz val="9"/>
            <color rgb="FF000000"/>
            <rFont val="Arial"/>
            <family val="2"/>
          </rPr>
          <t>sap-2026-q2-statement.pdf | Page 16 | 18</t>
        </r>
      </text>
    </comment>
    <comment ref="N74" authorId="0">
      <text>
        <r>
          <rPr>
            <sz val="9"/>
            <color rgb="FF000000"/>
            <rFont val="Arial"/>
            <family val="2"/>
          </rPr>
          <t>sap-2025-q4-statement.pdf | Page 20 | 3,144</t>
        </r>
      </text>
    </comment>
    <comment ref="C75" authorId="0">
      <text>
        <r>
          <rPr>
            <sz val="9"/>
            <color rgb="FF000000"/>
            <rFont val="Arial"/>
            <family val="2"/>
          </rPr>
          <t>sap-2025-q3-statement.pdf | Page 19 | 0</t>
        </r>
      </text>
    </comment>
    <comment ref="D75" authorId="0">
      <text>
        <r>
          <rPr>
            <sz val="9"/>
            <color rgb="FF000000"/>
            <rFont val="Arial"/>
            <family val="2"/>
          </rPr>
          <t>sap-2025-q4-statement.pdf | Page 20 | 174</t>
        </r>
      </text>
    </comment>
    <comment ref="E75" authorId="0">
      <text>
        <r>
          <rPr>
            <sz val="9"/>
            <color rgb="FF000000"/>
            <rFont val="Arial"/>
            <family val="2"/>
          </rPr>
          <t>sap-2026-q1-statement.pdf | Page 12 | 29</t>
        </r>
      </text>
    </comment>
    <comment ref="F75" authorId="0">
      <text>
        <r>
          <rPr>
            <sz val="9"/>
            <color rgb="FF000000"/>
            <rFont val="Arial"/>
            <family val="2"/>
          </rPr>
          <t>sap-2026-q2-statement.pdf | Page 16 | 0</t>
        </r>
      </text>
    </comment>
    <comment ref="J75" authorId="0">
      <text>
        <r>
          <rPr>
            <sz val="9"/>
            <color rgb="FF000000"/>
            <rFont val="Arial"/>
            <family val="2"/>
          </rPr>
          <t>sap-2025-q3-statement.pdf | Page 19 | 0</t>
        </r>
      </text>
    </comment>
    <comment ref="K75" authorId="0">
      <text>
        <r>
          <rPr>
            <sz val="9"/>
            <color rgb="FF000000"/>
            <rFont val="Arial"/>
            <family val="2"/>
          </rPr>
          <t>sap-2025-q4-statement.pdf | Page 20 | 0</t>
        </r>
      </text>
    </comment>
    <comment ref="L75" authorId="0">
      <text>
        <r>
          <rPr>
            <sz val="9"/>
            <color rgb="FF000000"/>
            <rFont val="Arial"/>
            <family val="2"/>
          </rPr>
          <t>sap-2026-q1-statement.pdf | Page 12 | 0</t>
        </r>
      </text>
    </comment>
    <comment ref="M75" authorId="0">
      <text>
        <r>
          <rPr>
            <sz val="9"/>
            <color rgb="FF000000"/>
            <rFont val="Arial"/>
            <family val="2"/>
          </rPr>
          <t>sap-2026-q2-statement.pdf | Page 16 | 0</t>
        </r>
      </text>
    </comment>
    <comment ref="N75" authorId="0">
      <text>
        <r>
          <rPr>
            <sz val="9"/>
            <color rgb="FF000000"/>
            <rFont val="Arial"/>
            <family val="2"/>
          </rPr>
          <t>sap-2025-q4-statement.pdf | Page 20 | 0</t>
        </r>
      </text>
    </comment>
    <comment ref="C76" authorId="0">
      <text>
        <r>
          <rPr>
            <sz val="9"/>
            <color rgb="FF000000"/>
            <rFont val="Arial"/>
            <family val="2"/>
          </rPr>
          <t>sap-2025-q3-statement.pdf | Page 19 | 0</t>
        </r>
      </text>
    </comment>
    <comment ref="D76" authorId="0">
      <text>
        <r>
          <rPr>
            <sz val="9"/>
            <color rgb="FF000000"/>
            <rFont val="Arial"/>
            <family val="2"/>
          </rPr>
          <t>sap-2025-q4-statement.pdf | Page 20 | 0</t>
        </r>
      </text>
    </comment>
    <comment ref="E76" authorId="0">
      <text>
        <r>
          <rPr>
            <sz val="9"/>
            <color rgb="FF000000"/>
            <rFont val="Arial"/>
            <family val="2"/>
          </rPr>
          <t>sap-2026-q1-statement.pdf | Page 12 | 0</t>
        </r>
      </text>
    </comment>
    <comment ref="F76" authorId="0">
      <text>
        <r>
          <rPr>
            <sz val="9"/>
            <color rgb="FF000000"/>
            <rFont val="Arial"/>
            <family val="2"/>
          </rPr>
          <t>sap-2026-q2-statement.pdf | Page 16 | 0</t>
        </r>
      </text>
    </comment>
    <comment ref="J76" authorId="0">
      <text>
        <r>
          <rPr>
            <sz val="9"/>
            <color rgb="FF000000"/>
            <rFont val="Arial"/>
            <family val="2"/>
          </rPr>
          <t>sap-2025-q3-statement.pdf | Page 19 | –8</t>
        </r>
      </text>
    </comment>
    <comment ref="K76" authorId="0">
      <text>
        <r>
          <rPr>
            <sz val="9"/>
            <color rgb="FF000000"/>
            <rFont val="Arial"/>
            <family val="2"/>
          </rPr>
          <t>sap-2025-q4-statement.pdf | Page 20 | –3</t>
        </r>
      </text>
    </comment>
    <comment ref="L76" authorId="0">
      <text>
        <r>
          <rPr>
            <sz val="9"/>
            <color rgb="FF000000"/>
            <rFont val="Arial"/>
            <family val="2"/>
          </rPr>
          <t>sap-2026-q1-statement.pdf | Page 12 | 0</t>
        </r>
      </text>
    </comment>
    <comment ref="M76" authorId="0">
      <text>
        <r>
          <rPr>
            <sz val="9"/>
            <color rgb="FF000000"/>
            <rFont val="Arial"/>
            <family val="2"/>
          </rPr>
          <t>sap-2026-q2-statement.pdf | Page 16 | 0</t>
        </r>
      </text>
    </comment>
    <comment ref="N76" authorId="0">
      <text>
        <r>
          <rPr>
            <sz val="9"/>
            <color rgb="FF000000"/>
            <rFont val="Arial"/>
            <family val="2"/>
          </rPr>
          <t>sap-2025-q4-statement.pdf | Page 20 | –11</t>
        </r>
      </text>
    </comment>
    <comment ref="C82" authorId="0">
      <text>
        <r>
          <rPr>
            <sz val="9"/>
            <color rgb="FF000000"/>
            <rFont val="Arial"/>
            <family val="2"/>
          </rPr>
          <t>sap-2025-q3-statement.pdf | Page 19 | –256</t>
        </r>
      </text>
    </comment>
    <comment ref="D82" authorId="0">
      <text>
        <r>
          <rPr>
            <sz val="9"/>
            <color rgb="FF000000"/>
            <rFont val="Arial"/>
            <family val="2"/>
          </rPr>
          <t>sap-2025-q4-statement.pdf | Page 20 | –209</t>
        </r>
      </text>
    </comment>
    <comment ref="E82" authorId="0">
      <text>
        <r>
          <rPr>
            <sz val="9"/>
            <color rgb="FF000000"/>
            <rFont val="Arial"/>
            <family val="2"/>
          </rPr>
          <t>sap-2026-q1-statement.pdf | Page 12 | –40</t>
        </r>
      </text>
    </comment>
    <comment ref="F82" authorId="0">
      <text>
        <r>
          <rPr>
            <sz val="9"/>
            <color rgb="FF000000"/>
            <rFont val="Arial"/>
            <family val="2"/>
          </rPr>
          <t>sap-2026-q2-statement.pdf | Page 16 | –463</t>
        </r>
      </text>
    </comment>
    <comment ref="J82" authorId="0">
      <text>
        <r>
          <rPr>
            <sz val="9"/>
            <color rgb="FF000000"/>
            <rFont val="Arial"/>
            <family val="2"/>
          </rPr>
          <t>sap-2025-q3-statement.pdf | Page 19 | –24</t>
        </r>
      </text>
    </comment>
    <comment ref="K82" authorId="0">
      <text>
        <r>
          <rPr>
            <sz val="9"/>
            <color rgb="FF000000"/>
            <rFont val="Arial"/>
            <family val="2"/>
          </rPr>
          <t>sap-2025-q4-statement.pdf | Page 20 | –314</t>
        </r>
      </text>
    </comment>
    <comment ref="L82" authorId="0">
      <text>
        <r>
          <rPr>
            <sz val="9"/>
            <color rgb="FF000000"/>
            <rFont val="Arial"/>
            <family val="2"/>
          </rPr>
          <t>sap-2026-q1-statement.pdf | Page 12 | –208</t>
        </r>
      </text>
    </comment>
    <comment ref="M82" authorId="0">
      <text>
        <r>
          <rPr>
            <sz val="9"/>
            <color rgb="FF000000"/>
            <rFont val="Arial"/>
            <family val="2"/>
          </rPr>
          <t>sap-2026-q2-statement.pdf | Page 16 | –91</t>
        </r>
      </text>
    </comment>
    <comment ref="N82" authorId="0">
      <text>
        <r>
          <rPr>
            <sz val="9"/>
            <color rgb="FF000000"/>
            <rFont val="Arial"/>
            <family val="2"/>
          </rPr>
          <t>sap-2025-q4-statement.pdf | Page 20 | –461</t>
        </r>
      </text>
    </comment>
    <comment ref="C105" authorId="0">
      <text>
        <r>
          <rPr>
            <sz val="9"/>
            <color rgb="FF000000"/>
            <rFont val="Arial"/>
            <family val="2"/>
          </rPr>
          <t>sap-2025-q3-statement.pdf | Page 15 | –1,318</t>
        </r>
      </text>
    </comment>
    <comment ref="D105" authorId="0">
      <text>
        <r>
          <rPr>
            <sz val="9"/>
            <color rgb="FF000000"/>
            <rFont val="Arial"/>
            <family val="2"/>
          </rPr>
          <t>sap-2025-q4-statement.pdf | Page 16 | –1,425</t>
        </r>
      </text>
    </comment>
    <comment ref="E105" authorId="0">
      <text>
        <r>
          <rPr>
            <sz val="9"/>
            <color rgb="FF000000"/>
            <rFont val="Arial"/>
            <family val="2"/>
          </rPr>
          <t>sap-2026-q1-statement.pdf | Page 11 | –1,481</t>
        </r>
      </text>
    </comment>
    <comment ref="F105" authorId="0">
      <text>
        <r>
          <rPr>
            <sz val="9"/>
            <color rgb="FF000000"/>
            <rFont val="Arial"/>
            <family val="2"/>
          </rPr>
          <t>sap-2026-q2-statement.pdf | Page 13 | –1,595</t>
        </r>
      </text>
    </comment>
    <comment ref="J105" authorId="0">
      <text>
        <r>
          <rPr>
            <sz val="9"/>
            <color rgb="FF000000"/>
            <rFont val="Arial"/>
            <family val="2"/>
          </rPr>
          <t>sap-2025-q3-statement.pdf | Page 15 | –1,142</t>
        </r>
      </text>
    </comment>
    <comment ref="K105" authorId="0">
      <text>
        <r>
          <rPr>
            <sz val="9"/>
            <color rgb="FF000000"/>
            <rFont val="Arial"/>
            <family val="2"/>
          </rPr>
          <t>sap-2025-q4-statement.pdf | Page 16 | –1,250</t>
        </r>
      </text>
    </comment>
    <comment ref="L105" authorId="0">
      <text>
        <r>
          <rPr>
            <sz val="9"/>
            <color rgb="FF000000"/>
            <rFont val="Arial"/>
            <family val="2"/>
          </rPr>
          <t>sap-2026-q1-statement.pdf | Page 11 | –1,249</t>
        </r>
      </text>
    </comment>
    <comment ref="M105" authorId="0">
      <text>
        <r>
          <rPr>
            <sz val="9"/>
            <color rgb="FF000000"/>
            <rFont val="Arial"/>
            <family val="2"/>
          </rPr>
          <t>sap-2026-q2-statement.pdf | Page 13 | –1,274</t>
        </r>
      </text>
    </comment>
    <comment ref="N105" authorId="0">
      <text>
        <r>
          <rPr>
            <sz val="9"/>
            <color rgb="FF000000"/>
            <rFont val="Arial"/>
            <family val="2"/>
          </rPr>
          <t>sap-2025-q4-statement.pdf | Page 18 | –4,582</t>
        </r>
      </text>
    </comment>
    <comment ref="C108" authorId="0">
      <text>
        <r>
          <rPr>
            <sz val="9"/>
            <color rgb="FF000000"/>
            <rFont val="Arial"/>
            <family val="2"/>
          </rPr>
          <t>sap-2025-q3-statement.pdf | Page 15 | –303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sap-2025-q4-statement.pdf | Page 16 | –288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sap-2026-q1-statement.pdf | Page 11 | –287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sap-2026-q2-statement.pdf | Page 13 | –263</t>
        </r>
      </text>
    </comment>
    <comment ref="J108" authorId="0">
      <text>
        <r>
          <rPr>
            <sz val="9"/>
            <color rgb="FF000000"/>
            <rFont val="Arial"/>
            <family val="2"/>
          </rPr>
          <t>sap-2025-q3-statement.pdf | Page 15 | –306</t>
        </r>
      </text>
    </comment>
    <comment ref="K108" authorId="0">
      <text>
        <r>
          <rPr>
            <sz val="9"/>
            <color rgb="FF000000"/>
            <rFont val="Arial"/>
            <family val="2"/>
          </rPr>
          <t>sap-2025-q4-statement.pdf | Page 16 | –319</t>
        </r>
      </text>
    </comment>
    <comment ref="L108" authorId="0">
      <text>
        <r>
          <rPr>
            <sz val="9"/>
            <color rgb="FF000000"/>
            <rFont val="Arial"/>
            <family val="2"/>
          </rPr>
          <t>sap-2026-q1-statement.pdf | Page 11 | –292</t>
        </r>
      </text>
    </comment>
    <comment ref="M108" authorId="0">
      <text>
        <r>
          <rPr>
            <sz val="9"/>
            <color rgb="FF000000"/>
            <rFont val="Arial"/>
            <family val="2"/>
          </rPr>
          <t>sap-2026-q2-statement.pdf | Page 13 | –313</t>
        </r>
      </text>
    </comment>
    <comment ref="N108" authorId="0">
      <text>
        <r>
          <rPr>
            <sz val="9"/>
            <color rgb="FF000000"/>
            <rFont val="Arial"/>
            <family val="2"/>
          </rPr>
          <t>sap-2025-q4-statement.pdf | Page 18 | –1,262</t>
        </r>
      </text>
    </comment>
    <comment ref="C111" authorId="0">
      <text>
        <r>
          <rPr>
            <sz val="9"/>
            <color rgb="FF000000"/>
            <rFont val="Arial"/>
            <family val="2"/>
          </rPr>
          <t>sap-2025-q3-statement.pdf | Page 15 | –759</t>
        </r>
      </text>
    </comment>
    <comment ref="D111" authorId="0">
      <text>
        <r>
          <rPr>
            <sz val="9"/>
            <color rgb="FF000000"/>
            <rFont val="Arial"/>
            <family val="2"/>
          </rPr>
          <t>sap-2025-q4-statement.pdf | Page 16 | –796</t>
        </r>
      </text>
    </comment>
    <comment ref="E111" authorId="0">
      <text>
        <r>
          <rPr>
            <sz val="9"/>
            <color rgb="FF000000"/>
            <rFont val="Arial"/>
            <family val="2"/>
          </rPr>
          <t>sap-2026-q1-statement.pdf | Page 11 | –774</t>
        </r>
      </text>
    </comment>
    <comment ref="F111" authorId="0">
      <text>
        <r>
          <rPr>
            <sz val="9"/>
            <color rgb="FF000000"/>
            <rFont val="Arial"/>
            <family val="2"/>
          </rPr>
          <t>sap-2026-q2-statement.pdf | Page 13 | –769</t>
        </r>
      </text>
    </comment>
    <comment ref="J111" authorId="0">
      <text>
        <r>
          <rPr>
            <sz val="9"/>
            <color rgb="FF000000"/>
            <rFont val="Arial"/>
            <family val="2"/>
          </rPr>
          <t>sap-2025-q3-statement.pdf | Page 15 | –785</t>
        </r>
      </text>
    </comment>
    <comment ref="K111" authorId="0">
      <text>
        <r>
          <rPr>
            <sz val="9"/>
            <color rgb="FF000000"/>
            <rFont val="Arial"/>
            <family val="2"/>
          </rPr>
          <t>sap-2025-q4-statement.pdf | Page 16 | –837</t>
        </r>
      </text>
    </comment>
    <comment ref="L111" authorId="0">
      <text>
        <r>
          <rPr>
            <sz val="9"/>
            <color rgb="FF000000"/>
            <rFont val="Arial"/>
            <family val="2"/>
          </rPr>
          <t>sap-2026-q1-statement.pdf | Page 11 | –840</t>
        </r>
      </text>
    </comment>
    <comment ref="M111" authorId="0">
      <text>
        <r>
          <rPr>
            <sz val="9"/>
            <color rgb="FF000000"/>
            <rFont val="Arial"/>
            <family val="2"/>
          </rPr>
          <t>sap-2026-q2-statement.pdf | Page 13 | –797</t>
        </r>
      </text>
    </comment>
    <comment ref="N111" authorId="0">
      <text>
        <r>
          <rPr>
            <sz val="9"/>
            <color rgb="FF000000"/>
            <rFont val="Arial"/>
            <family val="2"/>
          </rPr>
          <t>sap-2025-q4-statement.pdf | Page 18 | –3,321</t>
        </r>
      </text>
    </comment>
    <comment ref="C119" authorId="0">
      <text>
        <r>
          <rPr>
            <sz val="9"/>
            <color rgb="FF000000"/>
            <rFont val="Arial"/>
            <family val="2"/>
          </rPr>
          <t>sap-2025-q3-statement.pdf | Page 15 | –1,643</t>
        </r>
      </text>
    </comment>
    <comment ref="D119" authorId="0">
      <text>
        <r>
          <rPr>
            <sz val="9"/>
            <color rgb="FF000000"/>
            <rFont val="Arial"/>
            <family val="2"/>
          </rPr>
          <t>sap-2025-q4-statement.pdf | Page 16 | –1,697</t>
        </r>
      </text>
    </comment>
    <comment ref="E119" authorId="0">
      <text>
        <r>
          <rPr>
            <sz val="9"/>
            <color rgb="FF000000"/>
            <rFont val="Arial"/>
            <family val="2"/>
          </rPr>
          <t>sap-2026-q1-statement.pdf | Page 11 | –1,700</t>
        </r>
      </text>
    </comment>
    <comment ref="F119" authorId="0">
      <text>
        <r>
          <rPr>
            <sz val="9"/>
            <color rgb="FF000000"/>
            <rFont val="Arial"/>
            <family val="2"/>
          </rPr>
          <t>sap-2026-q2-statement.pdf | Page 13 | –1,843</t>
        </r>
      </text>
    </comment>
    <comment ref="J119" authorId="0">
      <text>
        <r>
          <rPr>
            <sz val="9"/>
            <color rgb="FF000000"/>
            <rFont val="Arial"/>
            <family val="2"/>
          </rPr>
          <t>sap-2025-q3-statement.pdf | Page 15 | –1,568</t>
        </r>
      </text>
    </comment>
    <comment ref="K119" authorId="0">
      <text>
        <r>
          <rPr>
            <sz val="9"/>
            <color rgb="FF000000"/>
            <rFont val="Arial"/>
            <family val="2"/>
          </rPr>
          <t>sap-2025-q4-statement.pdf | Page 16 | –1,673</t>
        </r>
      </text>
    </comment>
    <comment ref="L119" authorId="0">
      <text>
        <r>
          <rPr>
            <sz val="9"/>
            <color rgb="FF000000"/>
            <rFont val="Arial"/>
            <family val="2"/>
          </rPr>
          <t>sap-2026-q1-statement.pdf | Page 11 | –1,672</t>
        </r>
      </text>
    </comment>
    <comment ref="M119" authorId="0">
      <text>
        <r>
          <rPr>
            <sz val="9"/>
            <color rgb="FF000000"/>
            <rFont val="Arial"/>
            <family val="2"/>
          </rPr>
          <t>sap-2026-q2-statement.pdf | Page 13 | –1,616</t>
        </r>
      </text>
    </comment>
    <comment ref="N119" authorId="0">
      <text>
        <r>
          <rPr>
            <sz val="9"/>
            <color rgb="FF000000"/>
            <rFont val="Arial"/>
            <family val="2"/>
          </rPr>
          <t>sap-2025-q4-statement.pdf | Page 18 | –6,508</t>
        </r>
      </text>
    </comment>
    <comment ref="C123" authorId="0">
      <text>
        <r>
          <rPr>
            <sz val="9"/>
            <color rgb="FF000000"/>
            <rFont val="Arial"/>
            <family val="2"/>
          </rPr>
          <t>sap-2025-q3-statement.pdf | Page 15 | –2,118</t>
        </r>
      </text>
    </comment>
    <comment ref="D123" authorId="0">
      <text>
        <r>
          <rPr>
            <sz val="9"/>
            <color rgb="FF000000"/>
            <rFont val="Arial"/>
            <family val="2"/>
          </rPr>
          <t>sap-2025-q4-statement.pdf | Page 16 | –2,234</t>
        </r>
      </text>
    </comment>
    <comment ref="E123" authorId="0">
      <text>
        <r>
          <rPr>
            <sz val="9"/>
            <color rgb="FF000000"/>
            <rFont val="Arial"/>
            <family val="2"/>
          </rPr>
          <t>sap-2026-q1-statement.pdf | Page 11 | –2,083</t>
        </r>
      </text>
    </comment>
    <comment ref="F123" authorId="0">
      <text>
        <r>
          <rPr>
            <sz val="9"/>
            <color rgb="FF000000"/>
            <rFont val="Arial"/>
            <family val="2"/>
          </rPr>
          <t>sap-2026-q2-statement.pdf | Page 13 | –2,258</t>
        </r>
      </text>
    </comment>
    <comment ref="J123" authorId="0">
      <text>
        <r>
          <rPr>
            <sz val="9"/>
            <color rgb="FF000000"/>
            <rFont val="Arial"/>
            <family val="2"/>
          </rPr>
          <t>sap-2025-q3-statement.pdf | Page 15 | –2,047</t>
        </r>
      </text>
    </comment>
    <comment ref="K123" authorId="0">
      <text>
        <r>
          <rPr>
            <sz val="9"/>
            <color rgb="FF000000"/>
            <rFont val="Arial"/>
            <family val="2"/>
          </rPr>
          <t>sap-2025-q4-statement.pdf | Page 16 | –2,443</t>
        </r>
      </text>
    </comment>
    <comment ref="L123" authorId="0">
      <text>
        <r>
          <rPr>
            <sz val="9"/>
            <color rgb="FF000000"/>
            <rFont val="Arial"/>
            <family val="2"/>
          </rPr>
          <t>sap-2026-q1-statement.pdf | Page 11 | –2,140</t>
        </r>
      </text>
    </comment>
    <comment ref="M123" authorId="0">
      <text>
        <r>
          <rPr>
            <sz val="9"/>
            <color rgb="FF000000"/>
            <rFont val="Arial"/>
            <family val="2"/>
          </rPr>
          <t>sap-2026-q2-statement.pdf | Page 13 | –2,088</t>
        </r>
      </text>
    </comment>
    <comment ref="N123" authorId="0">
      <text>
        <r>
          <rPr>
            <sz val="9"/>
            <color rgb="FF000000"/>
            <rFont val="Arial"/>
            <family val="2"/>
          </rPr>
          <t>sap-2025-q4-statement.pdf | Page 18 | –8,856</t>
        </r>
      </text>
    </comment>
    <comment ref="C127" authorId="0">
      <text>
        <r>
          <rPr>
            <sz val="9"/>
            <color rgb="FF000000"/>
            <rFont val="Arial"/>
            <family val="2"/>
          </rPr>
          <t>sap-2025-q3-statement.pdf | Page 15 | –360</t>
        </r>
      </text>
    </comment>
    <comment ref="D127" authorId="0">
      <text>
        <r>
          <rPr>
            <sz val="9"/>
            <color rgb="FF000000"/>
            <rFont val="Arial"/>
            <family val="2"/>
          </rPr>
          <t>sap-2025-q4-statement.pdf | Page 16 | –393</t>
        </r>
      </text>
    </comment>
    <comment ref="E127" authorId="0">
      <text>
        <r>
          <rPr>
            <sz val="9"/>
            <color rgb="FF000000"/>
            <rFont val="Arial"/>
            <family val="2"/>
          </rPr>
          <t>sap-2026-q1-statement.pdf | Page 11 | –342</t>
        </r>
      </text>
    </comment>
    <comment ref="F127" authorId="0">
      <text>
        <r>
          <rPr>
            <sz val="9"/>
            <color rgb="FF000000"/>
            <rFont val="Arial"/>
            <family val="2"/>
          </rPr>
          <t>sap-2026-q2-statement.pdf | Page 13 | –392</t>
        </r>
      </text>
    </comment>
    <comment ref="J127" authorId="0">
      <text>
        <r>
          <rPr>
            <sz val="9"/>
            <color rgb="FF000000"/>
            <rFont val="Arial"/>
            <family val="2"/>
          </rPr>
          <t>sap-2025-q3-statement.pdf | Page 15 | –356</t>
        </r>
      </text>
    </comment>
    <comment ref="K127" authorId="0">
      <text>
        <r>
          <rPr>
            <sz val="9"/>
            <color rgb="FF000000"/>
            <rFont val="Arial"/>
            <family val="2"/>
          </rPr>
          <t>sap-2025-q4-statement.pdf | Page 16 | –366</t>
        </r>
      </text>
    </comment>
    <comment ref="L127" authorId="0">
      <text>
        <r>
          <rPr>
            <sz val="9"/>
            <color rgb="FF000000"/>
            <rFont val="Arial"/>
            <family val="2"/>
          </rPr>
          <t>sap-2026-q1-statement.pdf | Page 11 | –357</t>
        </r>
      </text>
    </comment>
    <comment ref="M127" authorId="0">
      <text>
        <r>
          <rPr>
            <sz val="9"/>
            <color rgb="FF000000"/>
            <rFont val="Arial"/>
            <family val="2"/>
          </rPr>
          <t>sap-2026-q2-statement.pdf | Page 13 | –360</t>
        </r>
      </text>
    </comment>
    <comment ref="N127" authorId="0">
      <text>
        <r>
          <rPr>
            <sz val="9"/>
            <color rgb="FF000000"/>
            <rFont val="Arial"/>
            <family val="2"/>
          </rPr>
          <t>sap-2025-q4-statement.pdf | Page 18 | –1,409</t>
        </r>
      </text>
    </comment>
    <comment ref="C131" authorId="0">
      <text>
        <r>
          <rPr>
            <sz val="9"/>
            <color rgb="FF000000"/>
            <rFont val="Arial"/>
            <family val="2"/>
          </rPr>
          <t>sap-2025-q3-statement.pdf | Page 15 | –8</t>
        </r>
      </text>
    </comment>
    <comment ref="D131" authorId="0">
      <text>
        <r>
          <rPr>
            <sz val="9"/>
            <color rgb="FF000000"/>
            <rFont val="Arial"/>
            <family val="2"/>
          </rPr>
          <t>sap-2025-q4-statement.pdf | Page 16 | –21</t>
        </r>
      </text>
    </comment>
    <comment ref="E131" authorId="0">
      <text>
        <r>
          <rPr>
            <sz val="9"/>
            <color rgb="FF000000"/>
            <rFont val="Arial"/>
            <family val="2"/>
          </rPr>
          <t>sap-2026-q1-statement.pdf | Page 11 | –22</t>
        </r>
      </text>
    </comment>
    <comment ref="F131" authorId="0">
      <text>
        <r>
          <rPr>
            <sz val="9"/>
            <color rgb="FF000000"/>
            <rFont val="Arial"/>
            <family val="2"/>
          </rPr>
          <t>sap-2026-q2-statement.pdf | Page 13 | –14</t>
        </r>
      </text>
    </comment>
    <comment ref="J131" authorId="0">
      <text>
        <r>
          <rPr>
            <sz val="9"/>
            <color rgb="FF000000"/>
            <rFont val="Arial"/>
            <family val="2"/>
          </rPr>
          <t>sap-2025-q3-statement.pdf | Page 15 | –22</t>
        </r>
      </text>
    </comment>
    <comment ref="K131" authorId="0">
      <text>
        <r>
          <rPr>
            <sz val="9"/>
            <color rgb="FF000000"/>
            <rFont val="Arial"/>
            <family val="2"/>
          </rPr>
          <t>sap-2025-q4-statement.pdf | Page 16 | –54</t>
        </r>
      </text>
    </comment>
    <comment ref="L131" authorId="0">
      <text>
        <r>
          <rPr>
            <sz val="9"/>
            <color rgb="FF000000"/>
            <rFont val="Arial"/>
            <family val="2"/>
          </rPr>
          <t>sap-2026-q1-statement.pdf | Page 11 | –8</t>
        </r>
      </text>
    </comment>
    <comment ref="M131" authorId="0">
      <text>
        <r>
          <rPr>
            <sz val="9"/>
            <color rgb="FF000000"/>
            <rFont val="Arial"/>
            <family val="2"/>
          </rPr>
          <t>sap-2026-q2-statement.pdf | Page 13 | –11</t>
        </r>
      </text>
    </comment>
    <comment ref="N131" authorId="0">
      <text>
        <r>
          <rPr>
            <sz val="9"/>
            <color rgb="FF000000"/>
            <rFont val="Arial"/>
            <family val="2"/>
          </rPr>
          <t>sap-2025-q4-statement.pdf | Page 18 | –85</t>
        </r>
      </text>
    </comment>
    <comment ref="C145" authorId="0">
      <text>
        <r>
          <rPr>
            <sz val="9"/>
            <color rgb="FF000000"/>
            <rFont val="Arial"/>
            <family val="2"/>
          </rPr>
          <t>sap-2025-q3-statement.pdf | Page 15 | 175</t>
        </r>
      </text>
    </comment>
    <comment ref="D145" authorId="0">
      <text>
        <r>
          <rPr>
            <sz val="9"/>
            <color rgb="FF000000"/>
            <rFont val="Arial"/>
            <family val="2"/>
          </rPr>
          <t>sap-2025-q4-statement.pdf | Page 16 | 115</t>
        </r>
      </text>
    </comment>
    <comment ref="E145" authorId="0">
      <text>
        <r>
          <rPr>
            <sz val="9"/>
            <color rgb="FF000000"/>
            <rFont val="Arial"/>
            <family val="2"/>
          </rPr>
          <t>sap-2026-q1-statement.pdf | Page 11 | 90</t>
        </r>
      </text>
    </comment>
    <comment ref="F145" authorId="0">
      <text>
        <r>
          <rPr>
            <sz val="9"/>
            <color rgb="FF000000"/>
            <rFont val="Arial"/>
            <family val="2"/>
          </rPr>
          <t>sap-2026-q2-statement.pdf | Page 13 | 101</t>
        </r>
      </text>
    </comment>
    <comment ref="J145" authorId="0">
      <text>
        <r>
          <rPr>
            <sz val="9"/>
            <color rgb="FF000000"/>
            <rFont val="Arial"/>
            <family val="2"/>
          </rPr>
          <t>sap-2025-q3-statement.pdf | Page 15 | 153</t>
        </r>
      </text>
    </comment>
    <comment ref="K145" authorId="0">
      <text>
        <r>
          <rPr>
            <sz val="9"/>
            <color rgb="FF000000"/>
            <rFont val="Arial"/>
            <family val="2"/>
          </rPr>
          <t>sap-2025-q4-statement.pdf | Page 16 | 170</t>
        </r>
      </text>
    </comment>
    <comment ref="L145" authorId="0">
      <text>
        <r>
          <rPr>
            <sz val="9"/>
            <color rgb="FF000000"/>
            <rFont val="Arial"/>
            <family val="2"/>
          </rPr>
          <t>sap-2026-q1-statement.pdf | Page 11 | 124</t>
        </r>
      </text>
    </comment>
    <comment ref="M145" authorId="0">
      <text>
        <r>
          <rPr>
            <sz val="9"/>
            <color rgb="FF000000"/>
            <rFont val="Arial"/>
            <family val="2"/>
          </rPr>
          <t>sap-2026-q2-statement.pdf | Page 13 | 107</t>
        </r>
      </text>
    </comment>
    <comment ref="N145" authorId="0">
      <text>
        <r>
          <rPr>
            <sz val="9"/>
            <color rgb="FF000000"/>
            <rFont val="Arial"/>
            <family val="2"/>
          </rPr>
          <t>sap-2025-q4-statement.pdf | Page 18 | 652</t>
        </r>
      </text>
    </comment>
    <comment ref="C146" authorId="0">
      <text>
        <r>
          <rPr>
            <sz val="9"/>
            <color rgb="FF000000"/>
            <rFont val="Arial"/>
            <family val="2"/>
          </rPr>
          <t>sap-2025-q3-statement.pdf | Page 15 | –219</t>
        </r>
      </text>
    </comment>
    <comment ref="D146" authorId="0">
      <text>
        <r>
          <rPr>
            <sz val="9"/>
            <color rgb="FF000000"/>
            <rFont val="Arial"/>
            <family val="2"/>
          </rPr>
          <t>sap-2025-q4-statement.pdf | Page 16 | –177</t>
        </r>
      </text>
    </comment>
    <comment ref="E146" authorId="0">
      <text>
        <r>
          <rPr>
            <sz val="9"/>
            <color rgb="FF000000"/>
            <rFont val="Arial"/>
            <family val="2"/>
          </rPr>
          <t>sap-2026-q1-statement.pdf | Page 11 | –148</t>
        </r>
      </text>
    </comment>
    <comment ref="F146" authorId="0">
      <text>
        <r>
          <rPr>
            <sz val="9"/>
            <color rgb="FF000000"/>
            <rFont val="Arial"/>
            <family val="2"/>
          </rPr>
          <t>sap-2026-q2-statement.pdf | Page 13 | –161</t>
        </r>
      </text>
    </comment>
    <comment ref="J146" authorId="0">
      <text>
        <r>
          <rPr>
            <sz val="9"/>
            <color rgb="FF000000"/>
            <rFont val="Arial"/>
            <family val="2"/>
          </rPr>
          <t>sap-2025-q3-statement.pdf | Page 15 | –178</t>
        </r>
      </text>
    </comment>
    <comment ref="K146" authorId="0">
      <text>
        <r>
          <rPr>
            <sz val="9"/>
            <color rgb="FF000000"/>
            <rFont val="Arial"/>
            <family val="2"/>
          </rPr>
          <t>sap-2025-q4-statement.pdf | Page 16 | –210</t>
        </r>
      </text>
    </comment>
    <comment ref="L146" authorId="0">
      <text>
        <r>
          <rPr>
            <sz val="9"/>
            <color rgb="FF000000"/>
            <rFont val="Arial"/>
            <family val="2"/>
          </rPr>
          <t>sap-2026-q1-statement.pdf | Page 11 | –207</t>
        </r>
      </text>
    </comment>
    <comment ref="M146" authorId="0">
      <text>
        <r>
          <rPr>
            <sz val="9"/>
            <color rgb="FF000000"/>
            <rFont val="Arial"/>
            <family val="2"/>
          </rPr>
          <t>sap-2026-q2-statement.pdf | Page 13 | –149</t>
        </r>
      </text>
    </comment>
    <comment ref="N146" authorId="0">
      <text>
        <r>
          <rPr>
            <sz val="9"/>
            <color rgb="FF000000"/>
            <rFont val="Arial"/>
            <family val="2"/>
          </rPr>
          <t>sap-2025-q4-statement.pdf | Page 18 | –715</t>
        </r>
      </text>
    </comment>
    <comment ref="C151" authorId="0">
      <text>
        <r>
          <rPr>
            <sz val="9"/>
            <color rgb="FF000000"/>
            <rFont val="Arial"/>
            <family val="2"/>
          </rPr>
          <t>sap-2025-q3-statement.pdf | Page 15 | –717</t>
        </r>
      </text>
    </comment>
    <comment ref="D151" authorId="0">
      <text>
        <r>
          <rPr>
            <sz val="9"/>
            <color rgb="FF000000"/>
            <rFont val="Arial"/>
            <family val="2"/>
          </rPr>
          <t>sap-2025-q4-statement.pdf | Page 16 | –937</t>
        </r>
      </text>
    </comment>
    <comment ref="E151" authorId="0">
      <text>
        <r>
          <rPr>
            <sz val="9"/>
            <color rgb="FF000000"/>
            <rFont val="Arial"/>
            <family val="2"/>
          </rPr>
          <t>sap-2026-q1-statement.pdf | Page 11 | –830</t>
        </r>
      </text>
    </comment>
    <comment ref="F151" authorId="0">
      <text>
        <r>
          <rPr>
            <sz val="9"/>
            <color rgb="FF000000"/>
            <rFont val="Arial"/>
            <family val="2"/>
          </rPr>
          <t>sap-2026-q2-statement.pdf | Page 13 | –815</t>
        </r>
      </text>
    </comment>
    <comment ref="J151" authorId="0">
      <text>
        <r>
          <rPr>
            <sz val="9"/>
            <color rgb="FF000000"/>
            <rFont val="Arial"/>
            <family val="2"/>
          </rPr>
          <t>sap-2025-q3-statement.pdf | Page 15 | –720</t>
        </r>
      </text>
    </comment>
    <comment ref="K151" authorId="0">
      <text>
        <r>
          <rPr>
            <sz val="9"/>
            <color rgb="FF000000"/>
            <rFont val="Arial"/>
            <family val="2"/>
          </rPr>
          <t>sap-2025-q4-statement.pdf | Page 16 | –694</t>
        </r>
      </text>
    </comment>
    <comment ref="L151" authorId="0">
      <text>
        <r>
          <rPr>
            <sz val="9"/>
            <color rgb="FF000000"/>
            <rFont val="Arial"/>
            <family val="2"/>
          </rPr>
          <t>sap-2026-q1-statement.pdf | Page 11 | –701</t>
        </r>
      </text>
    </comment>
    <comment ref="M151" authorId="0">
      <text>
        <r>
          <rPr>
            <sz val="9"/>
            <color rgb="FF000000"/>
            <rFont val="Arial"/>
            <family val="2"/>
          </rPr>
          <t>sap-2026-q2-statement.pdf | Page 13 | –776</t>
        </r>
      </text>
    </comment>
    <comment ref="N151" authorId="0">
      <text>
        <r>
          <rPr>
            <sz val="9"/>
            <color rgb="FF000000"/>
            <rFont val="Arial"/>
            <family val="2"/>
          </rPr>
          <t>sap-2025-q4-statement.pdf | Page 18 | –2,513</t>
        </r>
      </text>
    </comment>
    <comment ref="C156" authorId="0">
      <text>
        <r>
          <rPr>
            <sz val="9"/>
            <color rgb="FF000000"/>
            <rFont val="Arial"/>
            <family val="2"/>
          </rPr>
          <t>sap-2025-q3-statement.pdf | Page 15 | 6</t>
        </r>
      </text>
    </comment>
    <comment ref="D156" authorId="0">
      <text>
        <r>
          <rPr>
            <sz val="9"/>
            <color rgb="FF000000"/>
            <rFont val="Arial"/>
            <family val="2"/>
          </rPr>
          <t>sap-2025-q4-statement.pdf | Page 16 | 8</t>
        </r>
      </text>
    </comment>
    <comment ref="E156" authorId="0">
      <text>
        <r>
          <rPr>
            <sz val="9"/>
            <color rgb="FF000000"/>
            <rFont val="Arial"/>
            <family val="2"/>
          </rPr>
          <t>sap-2026-q1-statement.pdf | Page 11 | 1</t>
        </r>
      </text>
    </comment>
    <comment ref="F156" authorId="0">
      <text>
        <r>
          <rPr>
            <sz val="9"/>
            <color rgb="FF000000"/>
            <rFont val="Arial"/>
            <family val="2"/>
          </rPr>
          <t>sap-2026-q2-statement.pdf | Page 13 | –4</t>
        </r>
      </text>
    </comment>
    <comment ref="J156" authorId="0">
      <text>
        <r>
          <rPr>
            <sz val="9"/>
            <color rgb="FF000000"/>
            <rFont val="Arial"/>
            <family val="2"/>
          </rPr>
          <t>sap-2025-q3-statement.pdf | Page 15 | 3</t>
        </r>
      </text>
    </comment>
    <comment ref="K156" authorId="0">
      <text>
        <r>
          <rPr>
            <sz val="9"/>
            <color rgb="FF000000"/>
            <rFont val="Arial"/>
            <family val="2"/>
          </rPr>
          <t>sap-2025-q4-statement.pdf | Page 16 | –10</t>
        </r>
      </text>
    </comment>
    <comment ref="L156" authorId="0">
      <text>
        <r>
          <rPr>
            <sz val="9"/>
            <color rgb="FF000000"/>
            <rFont val="Arial"/>
            <family val="2"/>
          </rPr>
          <t>sap-2026-q1-statement.pdf | Page 11 | 2</t>
        </r>
      </text>
    </comment>
    <comment ref="M156" authorId="0">
      <text>
        <r>
          <rPr>
            <sz val="9"/>
            <color rgb="FF000000"/>
            <rFont val="Arial"/>
            <family val="2"/>
          </rPr>
          <t>sap-2026-q2-statement.pdf | Page 13 | –6</t>
        </r>
      </text>
    </comment>
    <comment ref="N156" authorId="0">
      <text>
        <r>
          <rPr>
            <sz val="9"/>
            <color rgb="FF000000"/>
            <rFont val="Arial"/>
            <family val="2"/>
          </rPr>
          <t>sap-2025-q4-statement.pdf | Page 18 | –7</t>
        </r>
      </text>
    </comment>
    <comment ref="C166" authorId="0">
      <text>
        <r>
          <rPr>
            <sz val="9"/>
            <color rgb="FF000000"/>
            <rFont val="Arial"/>
            <family val="2"/>
          </rPr>
          <t>sap-2025-q3-statement.pdf | Page 15 | 1.59</t>
        </r>
      </text>
    </comment>
    <comment ref="D166" authorId="0">
      <text>
        <r>
          <rPr>
            <sz val="9"/>
            <color rgb="FF000000"/>
            <rFont val="Arial"/>
            <family val="2"/>
          </rPr>
          <t>sap-2025-q4-statement.pdf | Page 16 | 1.62</t>
        </r>
      </text>
    </comment>
    <comment ref="E166" authorId="0">
      <text>
        <r>
          <rPr>
            <sz val="9"/>
            <color rgb="FF000000"/>
            <rFont val="Arial"/>
            <family val="2"/>
          </rPr>
          <t>sap-2026-q1-statement.pdf | Page 11 | 1.72</t>
        </r>
      </text>
    </comment>
    <comment ref="F166" authorId="0">
      <text>
        <r>
          <rPr>
            <sz val="9"/>
            <color rgb="FF000000"/>
            <rFont val="Arial"/>
            <family val="2"/>
          </rPr>
          <t>sap-2026-q2-statement.pdf | Page 13 | 1.59</t>
        </r>
      </text>
    </comment>
    <comment ref="J166" authorId="0">
      <text>
        <r>
          <rPr>
            <sz val="9"/>
            <color rgb="FF000000"/>
            <rFont val="Arial"/>
            <family val="2"/>
          </rPr>
          <t>sap-2025-q3-statement.pdf | Page 15 | 1.23</t>
        </r>
      </text>
    </comment>
    <comment ref="K166" authorId="0">
      <text>
        <r>
          <rPr>
            <sz val="9"/>
            <color rgb="FF000000"/>
            <rFont val="Arial"/>
            <family val="2"/>
          </rPr>
          <t>sap-2025-q4-statement.pdf | Page 16 | 1.40</t>
        </r>
      </text>
    </comment>
    <comment ref="L166" authorId="0">
      <text>
        <r>
          <rPr>
            <sz val="9"/>
            <color rgb="FF000000"/>
            <rFont val="Arial"/>
            <family val="2"/>
          </rPr>
          <t>sap-2026-q1-statement.pdf | Page 11 | 1.44</t>
        </r>
      </text>
    </comment>
    <comment ref="M166" authorId="0">
      <text>
        <r>
          <rPr>
            <sz val="9"/>
            <color rgb="FF000000"/>
            <rFont val="Arial"/>
            <family val="2"/>
          </rPr>
          <t>sap-2026-q2-statement.pdf | Page 13 | 1.50</t>
        </r>
      </text>
    </comment>
    <comment ref="N166" authorId="0">
      <text>
        <r>
          <rPr>
            <sz val="9"/>
            <color rgb="FF000000"/>
            <rFont val="Arial"/>
            <family val="2"/>
          </rPr>
          <t>sap-2025-q4-statement.pdf | Page 18 | 4.53</t>
        </r>
      </text>
    </comment>
    <comment ref="G166" authorId="0">
      <text>
        <r>
          <rPr>
            <sz val="9"/>
            <color rgb="FF000000"/>
            <rFont val="Arial"/>
            <family val="2"/>
          </rPr>
          <t>sap-2025-q4-statement.pdf | Page 18 | 6.15</t>
        </r>
      </text>
    </comment>
    <comment ref="C175" authorId="0">
      <text>
        <r>
          <rPr>
            <sz val="9"/>
            <color rgb="FF000000"/>
            <rFont val="Arial"/>
            <family val="2"/>
          </rPr>
          <t>sap-2025-q3-statement.pdf | Page 26 | 99</t>
        </r>
      </text>
    </comment>
    <comment ref="D175" authorId="0">
      <text>
        <r>
          <rPr>
            <sz val="9"/>
            <color rgb="FF000000"/>
            <rFont val="Arial"/>
            <family val="2"/>
          </rPr>
          <t>sap-2025-q4-statement.pdf | Page 27 | 73</t>
        </r>
      </text>
    </comment>
    <comment ref="E175" authorId="0">
      <text>
        <r>
          <rPr>
            <sz val="9"/>
            <color rgb="FF000000"/>
            <rFont val="Arial"/>
            <family val="2"/>
          </rPr>
          <t>sap-2026-q1-statement.pdf | Page 17 | 70</t>
        </r>
      </text>
    </comment>
    <comment ref="F175" authorId="0">
      <text>
        <r>
          <rPr>
            <sz val="9"/>
            <color rgb="FF000000"/>
            <rFont val="Arial"/>
            <family val="2"/>
          </rPr>
          <t>sap-2026-q2-statement.pdf | Page 22 | 104</t>
        </r>
      </text>
    </comment>
    <comment ref="J175" authorId="0">
      <text>
        <r>
          <rPr>
            <sz val="9"/>
            <color rgb="FF000000"/>
            <rFont val="Arial"/>
            <family val="2"/>
          </rPr>
          <t>sap-2025-q3-statement.pdf | Page 26 | 118</t>
        </r>
      </text>
    </comment>
    <comment ref="K175" authorId="0">
      <text>
        <r>
          <rPr>
            <sz val="9"/>
            <color rgb="FF000000"/>
            <rFont val="Arial"/>
            <family val="2"/>
          </rPr>
          <t>sap-2025-q4-statement.pdf | Page 27 | 136</t>
        </r>
      </text>
    </comment>
    <comment ref="L175" authorId="0">
      <text>
        <r>
          <rPr>
            <sz val="9"/>
            <color rgb="FF000000"/>
            <rFont val="Arial"/>
            <family val="2"/>
          </rPr>
          <t>sap-2026-q1-statement.pdf | Page 17 | 94</t>
        </r>
      </text>
    </comment>
    <comment ref="M175" authorId="0">
      <text>
        <r>
          <rPr>
            <sz val="9"/>
            <color rgb="FF000000"/>
            <rFont val="Arial"/>
            <family val="2"/>
          </rPr>
          <t>sap-2026-q2-statement.pdf | Page 22 | 114</t>
        </r>
      </text>
    </comment>
    <comment ref="N175" authorId="0">
      <text>
        <r>
          <rPr>
            <sz val="9"/>
            <color rgb="FF000000"/>
            <rFont val="Arial"/>
            <family val="2"/>
          </rPr>
          <t>sap-2025-q4-statement.pdf | Page 27 | 540</t>
        </r>
      </text>
    </comment>
    <comment ref="C176" authorId="0">
      <text>
        <r>
          <rPr>
            <sz val="9"/>
            <color rgb="FF000000"/>
            <rFont val="Arial"/>
            <family val="2"/>
          </rPr>
          <t>sap-2025-q3-statement.pdf | Page 26 | 156</t>
        </r>
      </text>
    </comment>
    <comment ref="D176" authorId="0">
      <text>
        <r>
          <rPr>
            <sz val="9"/>
            <color rgb="FF000000"/>
            <rFont val="Arial"/>
            <family val="2"/>
          </rPr>
          <t>sap-2025-q4-statement.pdf | Page 27 | 119</t>
        </r>
      </text>
    </comment>
    <comment ref="E176" authorId="0">
      <text>
        <r>
          <rPr>
            <sz val="9"/>
            <color rgb="FF000000"/>
            <rFont val="Arial"/>
            <family val="2"/>
          </rPr>
          <t>sap-2026-q1-statement.pdf | Page 17 | 123</t>
        </r>
      </text>
    </comment>
    <comment ref="F176" authorId="0">
      <text>
        <r>
          <rPr>
            <sz val="9"/>
            <color rgb="FF000000"/>
            <rFont val="Arial"/>
            <family val="2"/>
          </rPr>
          <t>sap-2026-q2-statement.pdf | Page 22 | 202</t>
        </r>
      </text>
    </comment>
    <comment ref="J176" authorId="0">
      <text>
        <r>
          <rPr>
            <sz val="9"/>
            <color rgb="FF000000"/>
            <rFont val="Arial"/>
            <family val="2"/>
          </rPr>
          <t>sap-2025-q3-statement.pdf | Page 26 | 169</t>
        </r>
      </text>
    </comment>
    <comment ref="K176" authorId="0">
      <text>
        <r>
          <rPr>
            <sz val="9"/>
            <color rgb="FF000000"/>
            <rFont val="Arial"/>
            <family val="2"/>
          </rPr>
          <t>sap-2025-q4-statement.pdf | Page 27 | 180</t>
        </r>
      </text>
    </comment>
    <comment ref="L176" authorId="0">
      <text>
        <r>
          <rPr>
            <sz val="9"/>
            <color rgb="FF000000"/>
            <rFont val="Arial"/>
            <family val="2"/>
          </rPr>
          <t>sap-2026-q1-statement.pdf | Page 17 | 136</t>
        </r>
      </text>
    </comment>
    <comment ref="M176" authorId="0">
      <text>
        <r>
          <rPr>
            <sz val="9"/>
            <color rgb="FF000000"/>
            <rFont val="Arial"/>
            <family val="2"/>
          </rPr>
          <t>sap-2026-q2-statement.pdf | Page 22 | 190</t>
        </r>
      </text>
    </comment>
    <comment ref="N176" authorId="0">
      <text>
        <r>
          <rPr>
            <sz val="9"/>
            <color rgb="FF000000"/>
            <rFont val="Arial"/>
            <family val="2"/>
          </rPr>
          <t>sap-2025-q4-statement.pdf | Page 27 | 751</t>
        </r>
      </text>
    </comment>
    <comment ref="C177" authorId="0">
      <text>
        <r>
          <rPr>
            <sz val="9"/>
            <color rgb="FF000000"/>
            <rFont val="Arial"/>
            <family val="2"/>
          </rPr>
          <t>sap-2025-q3-statement.pdf | Page 26 | 147</t>
        </r>
      </text>
    </comment>
    <comment ref="D177" authorId="0">
      <text>
        <r>
          <rPr>
            <sz val="9"/>
            <color rgb="FF000000"/>
            <rFont val="Arial"/>
            <family val="2"/>
          </rPr>
          <t>sap-2025-q4-statement.pdf | Page 27 | 101</t>
        </r>
      </text>
    </comment>
    <comment ref="E177" authorId="0">
      <text>
        <r>
          <rPr>
            <sz val="9"/>
            <color rgb="FF000000"/>
            <rFont val="Arial"/>
            <family val="2"/>
          </rPr>
          <t>sap-2026-q1-statement.pdf | Page 17 | 90</t>
        </r>
      </text>
    </comment>
    <comment ref="F177" authorId="0">
      <text>
        <r>
          <rPr>
            <sz val="9"/>
            <color rgb="FF000000"/>
            <rFont val="Arial"/>
            <family val="2"/>
          </rPr>
          <t>sap-2026-q2-statement.pdf | Page 22 | 135</t>
        </r>
      </text>
    </comment>
    <comment ref="J177" authorId="0">
      <text>
        <r>
          <rPr>
            <sz val="9"/>
            <color rgb="FF000000"/>
            <rFont val="Arial"/>
            <family val="2"/>
          </rPr>
          <t>sap-2025-q3-statement.pdf | Page 26 | 199</t>
        </r>
      </text>
    </comment>
    <comment ref="K177" authorId="0">
      <text>
        <r>
          <rPr>
            <sz val="9"/>
            <color rgb="FF000000"/>
            <rFont val="Arial"/>
            <family val="2"/>
          </rPr>
          <t>sap-2025-q4-statement.pdf | Page 27 | 200</t>
        </r>
      </text>
    </comment>
    <comment ref="L177" authorId="0">
      <text>
        <r>
          <rPr>
            <sz val="9"/>
            <color rgb="FF000000"/>
            <rFont val="Arial"/>
            <family val="2"/>
          </rPr>
          <t>sap-2026-q1-statement.pdf | Page 17 | 151</t>
        </r>
      </text>
    </comment>
    <comment ref="M177" authorId="0">
      <text>
        <r>
          <rPr>
            <sz val="9"/>
            <color rgb="FF000000"/>
            <rFont val="Arial"/>
            <family val="2"/>
          </rPr>
          <t>sap-2026-q2-statement.pdf | Page 22 | 180</t>
        </r>
      </text>
    </comment>
    <comment ref="N177" authorId="0">
      <text>
        <r>
          <rPr>
            <sz val="9"/>
            <color rgb="FF000000"/>
            <rFont val="Arial"/>
            <family val="2"/>
          </rPr>
          <t>sap-2025-q4-statement.pdf | Page 27 | 876</t>
        </r>
      </text>
    </comment>
    <comment ref="C178" authorId="0">
      <text>
        <r>
          <rPr>
            <sz val="9"/>
            <color rgb="FF000000"/>
            <rFont val="Arial"/>
            <family val="2"/>
          </rPr>
          <t>sap-2025-q3-statement.pdf | Page 26 | 28</t>
        </r>
      </text>
    </comment>
    <comment ref="D178" authorId="0">
      <text>
        <r>
          <rPr>
            <sz val="9"/>
            <color rgb="FF000000"/>
            <rFont val="Arial"/>
            <family val="2"/>
          </rPr>
          <t>sap-2025-q4-statement.pdf | Page 27 | 23</t>
        </r>
      </text>
    </comment>
    <comment ref="E178" authorId="0">
      <text>
        <r>
          <rPr>
            <sz val="9"/>
            <color rgb="FF000000"/>
            <rFont val="Arial"/>
            <family val="2"/>
          </rPr>
          <t>sap-2026-q1-statement.pdf | Page 17 | 2</t>
        </r>
      </text>
    </comment>
    <comment ref="F178" authorId="0">
      <text>
        <r>
          <rPr>
            <sz val="9"/>
            <color rgb="FF000000"/>
            <rFont val="Arial"/>
            <family val="2"/>
          </rPr>
          <t>sap-2026-q2-statement.pdf | Page 22 | 27</t>
        </r>
      </text>
    </comment>
    <comment ref="J178" authorId="0">
      <text>
        <r>
          <rPr>
            <sz val="9"/>
            <color rgb="FF000000"/>
            <rFont val="Arial"/>
            <family val="2"/>
          </rPr>
          <t>sap-2025-q3-statement.pdf | Page 26 | 49</t>
        </r>
      </text>
    </comment>
    <comment ref="K178" authorId="0">
      <text>
        <r>
          <rPr>
            <sz val="9"/>
            <color rgb="FF000000"/>
            <rFont val="Arial"/>
            <family val="2"/>
          </rPr>
          <t>sap-2025-q4-statement.pdf | Page 27 | 54</t>
        </r>
      </text>
    </comment>
    <comment ref="L178" authorId="0">
      <text>
        <r>
          <rPr>
            <sz val="9"/>
            <color rgb="FF000000"/>
            <rFont val="Arial"/>
            <family val="2"/>
          </rPr>
          <t>sap-2026-q1-statement.pdf | Page 17 | 39</t>
        </r>
      </text>
    </comment>
    <comment ref="M178" authorId="0">
      <text>
        <r>
          <rPr>
            <sz val="9"/>
            <color rgb="FF000000"/>
            <rFont val="Arial"/>
            <family val="2"/>
          </rPr>
          <t>sap-2026-q2-statement.pdf | Page 22 | 45</t>
        </r>
      </text>
    </comment>
    <comment ref="N178" authorId="0">
      <text>
        <r>
          <rPr>
            <sz val="9"/>
            <color rgb="FF000000"/>
            <rFont val="Arial"/>
            <family val="2"/>
          </rPr>
          <t>sap-2025-q4-statement.pdf | Page 27 | 217</t>
        </r>
      </text>
    </comment>
    <comment ref="D192" authorId="0">
      <text>
        <r>
          <rPr>
            <sz val="9"/>
            <color rgb="FF000000"/>
            <rFont val="Arial"/>
            <family val="2"/>
          </rPr>
          <t>tickerlandia.com SAP monthly closes | Page 1 | 208,35 €</t>
        </r>
      </text>
    </comment>
    <comment ref="E192" authorId="0">
      <text>
        <r>
          <rPr>
            <sz val="9"/>
            <color rgb="FF000000"/>
            <rFont val="Arial"/>
            <family val="2"/>
          </rPr>
          <t>tickerlandia.com SAP monthly closes | Page 1 | 146,90 €</t>
        </r>
      </text>
    </comment>
    <comment ref="F192" authorId="0">
      <text>
        <r>
          <rPr>
            <sz val="9"/>
            <color rgb="FF000000"/>
            <rFont val="Arial"/>
            <family val="2"/>
          </rPr>
          <t>tickerlandia.com SAP monthly closes | Page 1 | 134,00 €</t>
        </r>
      </text>
    </comment>
    <comment ref="H192" authorId="0">
      <text>
        <r>
          <rPr>
            <sz val="9"/>
            <color rgb="FF000000"/>
            <rFont val="Arial"/>
            <family val="2"/>
          </rPr>
          <t>tickerlandia.com SAP monthly closes | Page 1 | 185,66 €</t>
        </r>
      </text>
    </comment>
    <comment ref="C198" authorId="0">
      <text>
        <r>
          <rPr>
            <sz val="9"/>
            <color rgb="FF000000"/>
            <rFont val="Arial"/>
            <family val="2"/>
          </rPr>
          <t>sap-2025-q3-statement.pdf | Page 25 | 14,462</t>
        </r>
      </text>
    </comment>
    <comment ref="D198" authorId="0">
      <text>
        <r>
          <rPr>
            <sz val="9"/>
            <color rgb="FF000000"/>
            <rFont val="Arial"/>
            <family val="2"/>
          </rPr>
          <t>sap-2025-q4-statement.pdf | Page 26 | 14,557</t>
        </r>
      </text>
    </comment>
    <comment ref="E198" authorId="0">
      <text>
        <r>
          <rPr>
            <sz val="9"/>
            <color rgb="FF000000"/>
            <rFont val="Arial"/>
            <family val="2"/>
          </rPr>
          <t>sap-2026-q1-statement.pdf | Page 16 | 14,684</t>
        </r>
      </text>
    </comment>
    <comment ref="F198" authorId="0">
      <text>
        <r>
          <rPr>
            <sz val="9"/>
            <color rgb="FF000000"/>
            <rFont val="Arial"/>
            <family val="2"/>
          </rPr>
          <t>sap-2026-q2-statement.pdf | Page 21 | 14,752</t>
        </r>
      </text>
    </comment>
    <comment ref="J198" authorId="0">
      <text>
        <r>
          <rPr>
            <sz val="9"/>
            <color rgb="FF000000"/>
            <rFont val="Arial"/>
            <family val="2"/>
          </rPr>
          <t>sap-2025-q3-statement.pdf | Page 25 | 13,357</t>
        </r>
      </text>
    </comment>
    <comment ref="K198" authorId="0">
      <text>
        <r>
          <rPr>
            <sz val="9"/>
            <color rgb="FF000000"/>
            <rFont val="Arial"/>
            <family val="2"/>
          </rPr>
          <t>sap-2025-q4-statement.pdf | Page 26 | 13,646</t>
        </r>
      </text>
    </comment>
    <comment ref="L198" authorId="0">
      <text>
        <r>
          <rPr>
            <sz val="9"/>
            <color rgb="FF000000"/>
            <rFont val="Arial"/>
            <family val="2"/>
          </rPr>
          <t>sap-2026-q1-statement.pdf | Page 16 | 13,862</t>
        </r>
      </text>
    </comment>
    <comment ref="M198" authorId="0">
      <text>
        <r>
          <rPr>
            <sz val="9"/>
            <color rgb="FF000000"/>
            <rFont val="Arial"/>
            <family val="2"/>
          </rPr>
          <t>sap-2026-q2-statement.pdf | Page 21 | 14,148</t>
        </r>
      </text>
    </comment>
    <comment ref="N198" authorId="0">
      <text>
        <r>
          <rPr>
            <sz val="9"/>
            <color rgb="FF000000"/>
            <rFont val="Arial"/>
            <family val="2"/>
          </rPr>
          <t>sap-2025-q4-statement.pdf | Page 26 | 13,646</t>
        </r>
      </text>
    </comment>
    <comment ref="C201" authorId="0">
      <text>
        <r>
          <rPr>
            <sz val="9"/>
            <color rgb="FF000000"/>
            <rFont val="Arial"/>
            <family val="2"/>
          </rPr>
          <t>sap-2025-q3-statement.pdf | Page 25 | 18,899</t>
        </r>
      </text>
    </comment>
    <comment ref="D201" authorId="0">
      <text>
        <r>
          <rPr>
            <sz val="9"/>
            <color rgb="FF000000"/>
            <rFont val="Arial"/>
            <family val="2"/>
          </rPr>
          <t>sap-2025-q4-statement.pdf | Page 26 | 18,691</t>
        </r>
      </text>
    </comment>
    <comment ref="E201" authorId="0">
      <text>
        <r>
          <rPr>
            <sz val="9"/>
            <color rgb="FF000000"/>
            <rFont val="Arial"/>
            <family val="2"/>
          </rPr>
          <t>sap-2026-q1-statement.pdf | Page 16 | 18,640</t>
        </r>
      </text>
    </comment>
    <comment ref="F201" authorId="0">
      <text>
        <r>
          <rPr>
            <sz val="9"/>
            <color rgb="FF000000"/>
            <rFont val="Arial"/>
            <family val="2"/>
          </rPr>
          <t>sap-2026-q2-statement.pdf | Page 21 | 18,741</t>
        </r>
      </text>
    </comment>
    <comment ref="J201" authorId="0">
      <text>
        <r>
          <rPr>
            <sz val="9"/>
            <color rgb="FF000000"/>
            <rFont val="Arial"/>
            <family val="2"/>
          </rPr>
          <t>sap-2025-q3-statement.pdf | Page 25 | 18,582</t>
        </r>
      </text>
    </comment>
    <comment ref="K201" authorId="0">
      <text>
        <r>
          <rPr>
            <sz val="9"/>
            <color rgb="FF000000"/>
            <rFont val="Arial"/>
            <family val="2"/>
          </rPr>
          <t>sap-2025-q4-statement.pdf | Page 26 | 18,770</t>
        </r>
      </text>
    </comment>
    <comment ref="L201" authorId="0">
      <text>
        <r>
          <rPr>
            <sz val="9"/>
            <color rgb="FF000000"/>
            <rFont val="Arial"/>
            <family val="2"/>
          </rPr>
          <t>sap-2026-q1-statement.pdf | Page 16 | 18,639</t>
        </r>
      </text>
    </comment>
    <comment ref="M201" authorId="0">
      <text>
        <r>
          <rPr>
            <sz val="9"/>
            <color rgb="FF000000"/>
            <rFont val="Arial"/>
            <family val="2"/>
          </rPr>
          <t>sap-2026-q2-statement.pdf | Page 21 | 18,732</t>
        </r>
      </text>
    </comment>
    <comment ref="N201" authorId="0">
      <text>
        <r>
          <rPr>
            <sz val="9"/>
            <color rgb="FF000000"/>
            <rFont val="Arial"/>
            <family val="2"/>
          </rPr>
          <t>sap-2025-q4-statement.pdf | Page 26 | 18,770</t>
        </r>
      </text>
    </comment>
    <comment ref="C204" authorId="0">
      <text>
        <r>
          <rPr>
            <sz val="9"/>
            <color rgb="FF000000"/>
            <rFont val="Arial"/>
            <family val="2"/>
          </rPr>
          <t>sap-2025-q3-statement.pdf | Page 25 | 37,909</t>
        </r>
      </text>
    </comment>
    <comment ref="D204" authorId="0">
      <text>
        <r>
          <rPr>
            <sz val="9"/>
            <color rgb="FF000000"/>
            <rFont val="Arial"/>
            <family val="2"/>
          </rPr>
          <t>sap-2025-q4-statement.pdf | Page 26 | 37,965</t>
        </r>
      </text>
    </comment>
    <comment ref="E204" authorId="0">
      <text>
        <r>
          <rPr>
            <sz val="9"/>
            <color rgb="FF000000"/>
            <rFont val="Arial"/>
            <family val="2"/>
          </rPr>
          <t>sap-2026-q1-statement.pdf | Page 16 | 37,947</t>
        </r>
      </text>
    </comment>
    <comment ref="F204" authorId="0">
      <text>
        <r>
          <rPr>
            <sz val="9"/>
            <color rgb="FF000000"/>
            <rFont val="Arial"/>
            <family val="2"/>
          </rPr>
          <t>sap-2026-q2-statement.pdf | Page 21 | 38,309</t>
        </r>
      </text>
    </comment>
    <comment ref="J204" authorId="0">
      <text>
        <r>
          <rPr>
            <sz val="9"/>
            <color rgb="FF000000"/>
            <rFont val="Arial"/>
            <family val="2"/>
          </rPr>
          <t>sap-2025-q3-statement.pdf | Page 25 | 36,774</t>
        </r>
      </text>
    </comment>
    <comment ref="K204" authorId="0">
      <text>
        <r>
          <rPr>
            <sz val="9"/>
            <color rgb="FF000000"/>
            <rFont val="Arial"/>
            <family val="2"/>
          </rPr>
          <t>sap-2025-q4-statement.pdf | Page 26 | 37,590</t>
        </r>
      </text>
    </comment>
    <comment ref="L204" authorId="0">
      <text>
        <r>
          <rPr>
            <sz val="9"/>
            <color rgb="FF000000"/>
            <rFont val="Arial"/>
            <family val="2"/>
          </rPr>
          <t>sap-2026-q1-statement.pdf | Page 16 | 36,902</t>
        </r>
      </text>
    </comment>
    <comment ref="M204" authorId="0">
      <text>
        <r>
          <rPr>
            <sz val="9"/>
            <color rgb="FF000000"/>
            <rFont val="Arial"/>
            <family val="2"/>
          </rPr>
          <t>sap-2026-q2-statement.pdf | Page 21 | 37,174</t>
        </r>
      </text>
    </comment>
    <comment ref="N204" authorId="0">
      <text>
        <r>
          <rPr>
            <sz val="9"/>
            <color rgb="FF000000"/>
            <rFont val="Arial"/>
            <family val="2"/>
          </rPr>
          <t>sap-2025-q4-statement.pdf | Page 26 | 37,590</t>
        </r>
      </text>
    </comment>
    <comment ref="C207" authorId="0">
      <text>
        <r>
          <rPr>
            <sz val="9"/>
            <color rgb="FF000000"/>
            <rFont val="Arial"/>
            <family val="2"/>
          </rPr>
          <t>sap-2025-q3-statement.pdf | Page 25 | 26,914</t>
        </r>
      </text>
    </comment>
    <comment ref="D207" authorId="0">
      <text>
        <r>
          <rPr>
            <sz val="9"/>
            <color rgb="FF000000"/>
            <rFont val="Arial"/>
            <family val="2"/>
          </rPr>
          <t>sap-2025-q4-statement.pdf | Page 26 | 26,823</t>
        </r>
      </text>
    </comment>
    <comment ref="E207" authorId="0">
      <text>
        <r>
          <rPr>
            <sz val="9"/>
            <color rgb="FF000000"/>
            <rFont val="Arial"/>
            <family val="2"/>
          </rPr>
          <t>sap-2026-q1-statement.pdf | Page 16 | 27,002</t>
        </r>
      </text>
    </comment>
    <comment ref="F207" authorId="0">
      <text>
        <r>
          <rPr>
            <sz val="9"/>
            <color rgb="FF000000"/>
            <rFont val="Arial"/>
            <family val="2"/>
          </rPr>
          <t>sap-2026-q2-statement.pdf | Page 21 | 27,382</t>
        </r>
      </text>
    </comment>
    <comment ref="J207" authorId="0">
      <text>
        <r>
          <rPr>
            <sz val="9"/>
            <color rgb="FF000000"/>
            <rFont val="Arial"/>
            <family val="2"/>
          </rPr>
          <t>sap-2025-q3-statement.pdf | Page 25 | 26,969</t>
        </r>
      </text>
    </comment>
    <comment ref="K207" authorId="0">
      <text>
        <r>
          <rPr>
            <sz val="9"/>
            <color rgb="FF000000"/>
            <rFont val="Arial"/>
            <family val="2"/>
          </rPr>
          <t>sap-2025-q4-statement.pdf | Page 26 | 26,983</t>
        </r>
      </text>
    </comment>
    <comment ref="L207" authorId="0">
      <text>
        <r>
          <rPr>
            <sz val="9"/>
            <color rgb="FF000000"/>
            <rFont val="Arial"/>
            <family val="2"/>
          </rPr>
          <t>sap-2026-q1-statement.pdf | Page 16 | 26,671</t>
        </r>
      </text>
    </comment>
    <comment ref="M207" authorId="0">
      <text>
        <r>
          <rPr>
            <sz val="9"/>
            <color rgb="FF000000"/>
            <rFont val="Arial"/>
            <family val="2"/>
          </rPr>
          <t>sap-2026-q2-statement.pdf | Page 21 | 26,467</t>
        </r>
      </text>
    </comment>
    <comment ref="N207" authorId="0">
      <text>
        <r>
          <rPr>
            <sz val="9"/>
            <color rgb="FF000000"/>
            <rFont val="Arial"/>
            <family val="2"/>
          </rPr>
          <t>sap-2025-q4-statement.pdf | Page 26 | 26,983</t>
        </r>
      </text>
    </comment>
    <comment ref="C210" authorId="0">
      <text>
        <r>
          <rPr>
            <sz val="9"/>
            <color rgb="FF000000"/>
            <rFont val="Arial"/>
            <family val="2"/>
          </rPr>
          <t>sap-2025-q3-statement.pdf | Page 25 | 7,258</t>
        </r>
      </text>
    </comment>
    <comment ref="D210" authorId="0">
      <text>
        <r>
          <rPr>
            <sz val="9"/>
            <color rgb="FF000000"/>
            <rFont val="Arial"/>
            <family val="2"/>
          </rPr>
          <t>sap-2025-q4-statement.pdf | Page 26 | 7,337</t>
        </r>
      </text>
    </comment>
    <comment ref="E210" authorId="0">
      <text>
        <r>
          <rPr>
            <sz val="9"/>
            <color rgb="FF000000"/>
            <rFont val="Arial"/>
            <family val="2"/>
          </rPr>
          <t>sap-2026-q1-statement.pdf | Page 16 | 7,390</t>
        </r>
      </text>
    </comment>
    <comment ref="F210" authorId="0">
      <text>
        <r>
          <rPr>
            <sz val="9"/>
            <color rgb="FF000000"/>
            <rFont val="Arial"/>
            <family val="2"/>
          </rPr>
          <t>sap-2026-q2-statement.pdf | Page 21 | 7,415</t>
        </r>
      </text>
    </comment>
    <comment ref="J210" authorId="0">
      <text>
        <r>
          <rPr>
            <sz val="9"/>
            <color rgb="FF000000"/>
            <rFont val="Arial"/>
            <family val="2"/>
          </rPr>
          <t>sap-2025-q3-statement.pdf | Page 25 | 6,878</t>
        </r>
      </text>
    </comment>
    <comment ref="K210" authorId="0">
      <text>
        <r>
          <rPr>
            <sz val="9"/>
            <color rgb="FF000000"/>
            <rFont val="Arial"/>
            <family val="2"/>
          </rPr>
          <t>sap-2025-q4-statement.pdf | Page 26 | 6,971</t>
        </r>
      </text>
    </comment>
    <comment ref="L210" authorId="0">
      <text>
        <r>
          <rPr>
            <sz val="9"/>
            <color rgb="FF000000"/>
            <rFont val="Arial"/>
            <family val="2"/>
          </rPr>
          <t>sap-2026-q1-statement.pdf | Page 16 | 6,949</t>
        </r>
      </text>
    </comment>
    <comment ref="M210" authorId="0">
      <text>
        <r>
          <rPr>
            <sz val="9"/>
            <color rgb="FF000000"/>
            <rFont val="Arial"/>
            <family val="2"/>
          </rPr>
          <t>sap-2026-q2-statement.pdf | Page 21 | 7,157</t>
        </r>
      </text>
    </comment>
    <comment ref="N210" authorId="0">
      <text>
        <r>
          <rPr>
            <sz val="9"/>
            <color rgb="FF000000"/>
            <rFont val="Arial"/>
            <family val="2"/>
          </rPr>
          <t>sap-2025-q4-statement.pdf | Page 26 | 6,971</t>
        </r>
      </text>
    </comment>
    <comment ref="C213" authorId="0">
      <text>
        <r>
          <rPr>
            <sz val="9"/>
            <color rgb="FF000000"/>
            <rFont val="Arial"/>
            <family val="2"/>
          </rPr>
          <t>sap-2025-q3-statement.pdf | Page 25 | 5,289</t>
        </r>
      </text>
    </comment>
    <comment ref="D213" authorId="0">
      <text>
        <r>
          <rPr>
            <sz val="9"/>
            <color rgb="FF000000"/>
            <rFont val="Arial"/>
            <family val="2"/>
          </rPr>
          <t>sap-2025-q4-statement.pdf | Page 26 | 5,277</t>
        </r>
      </text>
    </comment>
    <comment ref="E213" authorId="0">
      <text>
        <r>
          <rPr>
            <sz val="9"/>
            <color rgb="FF000000"/>
            <rFont val="Arial"/>
            <family val="2"/>
          </rPr>
          <t>sap-2026-q1-statement.pdf | Page 16 | 5,374</t>
        </r>
      </text>
    </comment>
    <comment ref="F213" authorId="0">
      <text>
        <r>
          <rPr>
            <sz val="9"/>
            <color rgb="FF000000"/>
            <rFont val="Arial"/>
            <family val="2"/>
          </rPr>
          <t>sap-2026-q2-statement.pdf | Page 21 | 5,419</t>
        </r>
      </text>
    </comment>
    <comment ref="J213" authorId="0">
      <text>
        <r>
          <rPr>
            <sz val="9"/>
            <color rgb="FF000000"/>
            <rFont val="Arial"/>
            <family val="2"/>
          </rPr>
          <t>sap-2025-q3-statement.pdf | Page 25 | 5,023</t>
        </r>
      </text>
    </comment>
    <comment ref="K213" authorId="0">
      <text>
        <r>
          <rPr>
            <sz val="9"/>
            <color rgb="FF000000"/>
            <rFont val="Arial"/>
            <family val="2"/>
          </rPr>
          <t>sap-2025-q4-statement.pdf | Page 26 | 5,161</t>
        </r>
      </text>
    </comment>
    <comment ref="L213" authorId="0">
      <text>
        <r>
          <rPr>
            <sz val="9"/>
            <color rgb="FF000000"/>
            <rFont val="Arial"/>
            <family val="2"/>
          </rPr>
          <t>sap-2026-q1-statement.pdf | Page 16 | 5,164</t>
        </r>
      </text>
    </comment>
    <comment ref="M213" authorId="0">
      <text>
        <r>
          <rPr>
            <sz val="9"/>
            <color rgb="FF000000"/>
            <rFont val="Arial"/>
            <family val="2"/>
          </rPr>
          <t>sap-2026-q2-statement.pdf | Page 21 | 5,252</t>
        </r>
      </text>
    </comment>
    <comment ref="N213" authorId="0">
      <text>
        <r>
          <rPr>
            <sz val="9"/>
            <color rgb="FF000000"/>
            <rFont val="Arial"/>
            <family val="2"/>
          </rPr>
          <t>sap-2025-q4-statement.pdf | Page 26 | 5,161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1" authorId="0">
      <text>
        <r>
          <rPr>
            <sz val="9"/>
            <color rgb="FF000000"/>
            <rFont val="Arial"/>
            <family val="2"/>
          </rPr>
          <t>sap-2025-q3-statement.pdf | Page 12 | 8,554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sap-2026-q2-statement.pdf | Page 10 | 8,220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sap-2026-q1-statement.pdf | Page 8 | 9,648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sap-2026-q2-statement.pdf | Page 10 | 10,511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sap-2025-q3-statement.pdf | Page 12 | 1,380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sap-2026-q2-statement.pdf | Page 10 | 1,552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sap-2026-q1-statement.pdf | Page 8 | 397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sap-2026-q2-statement.pdf | Page 10 | 1,114</t>
        </r>
      </text>
    </comment>
    <comment ref="C13" authorId="0">
      <text>
        <r>
          <rPr>
            <sz val="9"/>
            <color rgb="FF000000"/>
            <rFont val="Arial"/>
            <family val="2"/>
          </rPr>
          <t>sap-2025-q3-statement.pdf | Page 12 | 5,778</t>
        </r>
      </text>
    </comment>
    <comment ref="D13" authorId="0">
      <text>
        <r>
          <rPr>
            <sz val="9"/>
            <color rgb="FF000000"/>
            <rFont val="Arial"/>
            <family val="2"/>
          </rPr>
          <t>sap-2026-q2-statement.pdf | Page 10 | 6,675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sap-2026-q1-statement.pdf | Page 8 | 8,575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sap-2026-q2-statement.pdf | Page 10 | 7,076</t>
        </r>
      </text>
    </comment>
    <comment ref="C14" authorId="0">
      <text>
        <r>
          <rPr>
            <sz val="9"/>
            <color rgb="FF000000"/>
            <rFont val="Arial"/>
            <family val="2"/>
          </rPr>
          <t>sap-2025-q3-statement.pdf | Page 12 | 2,777</t>
        </r>
      </text>
    </comment>
    <comment ref="D14" authorId="0">
      <text>
        <r>
          <rPr>
            <sz val="9"/>
            <color rgb="FF000000"/>
            <rFont val="Arial"/>
            <family val="2"/>
          </rPr>
          <t>sap-2026-q2-statement.pdf | Page 10 | 3,212</t>
        </r>
      </text>
    </comment>
    <comment ref="E14" authorId="0">
      <text>
        <r>
          <rPr>
            <sz val="9"/>
            <color rgb="FF000000"/>
            <rFont val="Arial"/>
            <family val="2"/>
          </rPr>
          <t>sap-2026-q1-statement.pdf | Page 8 | 3,184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sap-2026-q2-statement.pdf | Page 10 | 3,267</t>
        </r>
      </text>
    </comment>
    <comment ref="C15" authorId="0">
      <text>
        <r>
          <rPr>
            <sz val="9"/>
            <color rgb="FF000000"/>
            <rFont val="Arial"/>
            <family val="2"/>
          </rPr>
          <t>sap-2025-q3-statement.pdf | Page 12 | 418</t>
        </r>
      </text>
    </comment>
    <comment ref="D15" authorId="0">
      <text>
        <r>
          <rPr>
            <sz val="9"/>
            <color rgb="FF000000"/>
            <rFont val="Arial"/>
            <family val="2"/>
          </rPr>
          <t>sap-2026-q2-statement.pdf | Page 10 | 598</t>
        </r>
      </text>
    </comment>
    <comment ref="E15" authorId="0">
      <text>
        <r>
          <rPr>
            <sz val="9"/>
            <color rgb="FF000000"/>
            <rFont val="Arial"/>
            <family val="2"/>
          </rPr>
          <t>sap-2026-q1-statement.pdf | Page 8 | 451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sap-2026-q2-statement.pdf | Page 10 | 680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sap-2025-q3-statement.pdf | Page 12 | 29,028</t>
        </r>
      </text>
    </comment>
    <comment ref="D18" authorId="0">
      <text>
        <r>
          <rPr>
            <sz val="9"/>
            <color rgb="FF000000"/>
            <rFont val="Arial"/>
            <family val="2"/>
          </rPr>
          <t>sap-2026-q2-statement.pdf | Page 10 | 29,014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sap-2026-q1-statement.pdf | Page 8 | 29,488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sap-2026-q2-statement.pdf | Page 10 | 30,408</t>
        </r>
      </text>
    </comment>
    <comment ref="C19" authorId="0">
      <text>
        <r>
          <rPr>
            <sz val="9"/>
            <color rgb="FF000000"/>
            <rFont val="Arial"/>
            <family val="2"/>
          </rPr>
          <t>sap-2025-q3-statement.pdf | Page 12 | 2,390</t>
        </r>
      </text>
    </comment>
    <comment ref="D19" authorId="0">
      <text>
        <r>
          <rPr>
            <sz val="9"/>
            <color rgb="FF000000"/>
            <rFont val="Arial"/>
            <family val="2"/>
          </rPr>
          <t>sap-2026-q2-statement.pdf | Page 10 | 2,282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sap-2026-q1-statement.pdf | Page 8 | 2,269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sap-2026-q2-statement.pdf | Page 10 | 2,638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sap-2025-q3-statement.pdf | Page 12 | 4,396</t>
        </r>
      </text>
    </comment>
    <comment ref="D20" authorId="0">
      <text>
        <r>
          <rPr>
            <sz val="9"/>
            <color rgb="FF000000"/>
            <rFont val="Arial"/>
            <family val="2"/>
          </rPr>
          <t>sap-2026-q2-statement.pdf | Page 10 | 4,497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sap-2026-q1-statement.pdf | Page 8 | 4,477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sap-2026-q2-statement.pdf | Page 10 | 4,504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sap-2025-q3-statement.pdf | Page 12 | 7,058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sap-2026-q2-statement.pdf | Page 10 | 7,269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sap-2026-q1-statement.pdf | Page 8 | 7,634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sap-2026-q2-statement.pdf | Page 10 | 8,123</t>
        </r>
      </text>
    </comment>
    <comment ref="C22" authorId="0">
      <text>
        <r>
          <rPr>
            <sz val="9"/>
            <color rgb="FF000000"/>
            <rFont val="Arial"/>
            <family val="2"/>
          </rPr>
          <t>sap-2025-q3-statement.pdf | Page 12 | 126</t>
        </r>
      </text>
    </comment>
    <comment ref="D22" authorId="0">
      <text>
        <r>
          <rPr>
            <sz val="9"/>
            <color rgb="FF000000"/>
            <rFont val="Arial"/>
            <family val="2"/>
          </rPr>
          <t>sap-2026-q2-statement.pdf | Page 10 | 218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sap-2026-q1-statement.pdf | Page 8 | 141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sap-2026-q2-statement.pdf | Page 10 | 149</t>
        </r>
      </text>
    </comment>
    <comment ref="C23" authorId="0">
      <text>
        <r>
          <rPr>
            <sz val="9"/>
            <color rgb="FF000000"/>
            <rFont val="Arial"/>
            <family val="2"/>
          </rPr>
          <t>sap-2025-q3-statement.pdf | Page 12 | 3,964</t>
        </r>
      </text>
    </comment>
    <comment ref="D23" authorId="0">
      <text>
        <r>
          <rPr>
            <sz val="9"/>
            <color rgb="FF000000"/>
            <rFont val="Arial"/>
            <family val="2"/>
          </rPr>
          <t>sap-2026-q2-statement.pdf | Page 10 | 4,419</t>
        </r>
      </text>
    </comment>
    <comment ref="E23" authorId="0">
      <text>
        <r>
          <rPr>
            <sz val="9"/>
            <color rgb="FF000000"/>
            <rFont val="Arial"/>
            <family val="2"/>
          </rPr>
          <t>sap-2026-q1-statement.pdf | Page 8 | 4,380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sap-2026-q2-statement.pdf | Page 10 | 4,450</t>
        </r>
      </text>
    </comment>
    <comment ref="C24" authorId="0">
      <text>
        <r>
          <rPr>
            <sz val="9"/>
            <color rgb="FF000000"/>
            <rFont val="Arial"/>
            <family val="2"/>
          </rPr>
          <t>sap-2025-q3-statement.pdf | Page 12 | 317</t>
        </r>
      </text>
    </comment>
    <comment ref="D24" authorId="0">
      <text>
        <r>
          <rPr>
            <sz val="9"/>
            <color rgb="FF000000"/>
            <rFont val="Arial"/>
            <family val="2"/>
          </rPr>
          <t>sap-2026-q2-statement.pdf | Page 10 | 244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sap-2026-q1-statement.pdf | Page 8 | 285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sap-2026-q2-statement.pdf | Page 10 | 307</t>
        </r>
      </text>
    </comment>
    <comment ref="C25" authorId="0">
      <text>
        <r>
          <rPr>
            <sz val="9"/>
            <color rgb="FF000000"/>
            <rFont val="Arial"/>
            <family val="2"/>
          </rPr>
          <t>sap-2025-q3-statement.pdf | Page 12 | 2,210</t>
        </r>
      </text>
    </comment>
    <comment ref="D25" authorId="0">
      <text>
        <r>
          <rPr>
            <sz val="9"/>
            <color rgb="FF000000"/>
            <rFont val="Arial"/>
            <family val="2"/>
          </rPr>
          <t>sap-2026-q2-statement.pdf | Page 10 | 2,163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sap-2026-q1-statement.pdf | Page 8 | 2,533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sap-2026-q2-statement.pdf | Page 10 | 2,381</t>
        </r>
      </text>
    </comment>
    <comment ref="C32" authorId="0">
      <text>
        <r>
          <rPr>
            <sz val="9"/>
            <color rgb="FF000000"/>
            <rFont val="Arial"/>
            <family val="2"/>
          </rPr>
          <t>sap-2025-q3-statement.pdf | Page 12 | 2,074</t>
        </r>
      </text>
    </comment>
    <comment ref="D32" authorId="0">
      <text>
        <r>
          <rPr>
            <sz val="9"/>
            <color rgb="FF000000"/>
            <rFont val="Arial"/>
            <family val="2"/>
          </rPr>
          <t>sap-2026-q2-statement.pdf | Page 10 | 2,431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sap-2026-q1-statement.pdf | Page 8 | 2,548</t>
        </r>
      </text>
    </comment>
    <comment ref="F32" authorId="0">
      <text>
        <r>
          <rPr>
            <sz val="9"/>
            <color rgb="FF000000"/>
            <rFont val="Arial"/>
            <family val="2"/>
          </rPr>
          <t>sap-2026-q2-statement.pdf | Page 10 | 2,747</t>
        </r>
      </text>
    </comment>
    <comment ref="C33" authorId="0">
      <text>
        <r>
          <rPr>
            <sz val="9"/>
            <color rgb="FF000000"/>
            <rFont val="Arial"/>
            <family val="2"/>
          </rPr>
          <t>sap-2025-q3-statement.pdf | Page 12 | 934</t>
        </r>
      </text>
    </comment>
    <comment ref="D33" authorId="0">
      <text>
        <r>
          <rPr>
            <sz val="9"/>
            <color rgb="FF000000"/>
            <rFont val="Arial"/>
            <family val="2"/>
          </rPr>
          <t>sap-2026-q2-statement.pdf | Page 10 | 968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sap-2026-q1-statement.pdf | Page 8 | 1,279</t>
        </r>
      </text>
    </comment>
    <comment ref="F33" authorId="0">
      <text>
        <r>
          <rPr>
            <sz val="9"/>
            <color rgb="FF000000"/>
            <rFont val="Arial"/>
            <family val="2"/>
          </rPr>
          <t>sap-2026-q2-statement.pdf | Page 10 | 1,359</t>
        </r>
      </text>
    </comment>
    <comment ref="C34" authorId="0">
      <text>
        <r>
          <rPr>
            <sz val="9"/>
            <color rgb="FF000000"/>
            <rFont val="Arial"/>
            <family val="2"/>
          </rPr>
          <t>sap-2025-q3-statement.pdf | Page 12 | 3,032</t>
        </r>
      </text>
    </comment>
    <comment ref="D34" authorId="0">
      <text>
        <r>
          <rPr>
            <sz val="9"/>
            <color rgb="FF000000"/>
            <rFont val="Arial"/>
            <family val="2"/>
          </rPr>
          <t>sap-2026-q2-statement.pdf | Page 10 | 2,050</t>
        </r>
      </text>
    </comment>
    <comment ref="E34" authorId="0">
      <text>
        <r>
          <rPr>
            <sz val="9"/>
            <color rgb="FF000000"/>
            <rFont val="Arial"/>
            <family val="2"/>
          </rPr>
          <t>sap-2026-q1-statement.pdf | Page 8 | 2,824</t>
        </r>
      </text>
    </comment>
    <comment ref="F34" authorId="0">
      <text>
        <r>
          <rPr>
            <sz val="9"/>
            <color rgb="FF000000"/>
            <rFont val="Arial"/>
            <family val="2"/>
          </rPr>
          <t>sap-2026-q2-statement.pdf | Page 10 | 1,966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sap-2025-q3-statement.pdf | Page 12 | 4,152</t>
        </r>
      </text>
    </comment>
    <comment ref="D35" authorId="0">
      <text>
        <r>
          <rPr>
            <sz val="9"/>
            <color rgb="FF000000"/>
            <rFont val="Arial"/>
            <family val="2"/>
          </rPr>
          <t>sap-2026-q2-statement.pdf | Page 10 | 4,849</t>
        </r>
      </text>
    </comment>
    <comment ref="E35" authorId="0">
      <text>
        <r>
          <rPr>
            <sz val="9"/>
            <color rgb="FF000000"/>
            <rFont val="Arial"/>
            <family val="2"/>
          </rPr>
          <t>sap-2026-q1-statement.pdf | Page 8 | 3,901</t>
        </r>
      </text>
    </comment>
    <comment ref="F35" authorId="0">
      <text>
        <r>
          <rPr>
            <sz val="9"/>
            <color rgb="FF000000"/>
            <rFont val="Arial"/>
            <family val="2"/>
          </rPr>
          <t>sap-2026-q2-statement.pdf | Page 10 | 3,699</t>
        </r>
      </text>
    </comment>
    <comment ref="C36" authorId="0">
      <text>
        <r>
          <rPr>
            <sz val="9"/>
            <color rgb="FF000000"/>
            <rFont val="Arial"/>
            <family val="2"/>
          </rPr>
          <t>sap-2025-q3-statement.pdf | Page 12 | 170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sap-2026-q2-statement.pdf | Page 10 | 537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sap-2026-q1-statement.pdf | Page 8 | 155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sap-2026-q2-statement.pdf | Page 10 | 119</t>
        </r>
      </text>
    </comment>
    <comment ref="C37" authorId="0">
      <text>
        <r>
          <rPr>
            <sz val="9"/>
            <color rgb="FF000000"/>
            <rFont val="Arial"/>
            <family val="2"/>
          </rPr>
          <t>sap-2025-q3-statement.pdf | Page 12 | 6,749</t>
        </r>
      </text>
    </comment>
    <comment ref="D37" authorId="0">
      <text>
        <r>
          <rPr>
            <sz val="9"/>
            <color rgb="FF000000"/>
            <rFont val="Arial"/>
            <family val="2"/>
          </rPr>
          <t>sap-2026-q2-statement.pdf | Page 10 | 6,581</t>
        </r>
      </text>
    </comment>
    <comment ref="E37" authorId="0">
      <text>
        <r>
          <rPr>
            <sz val="9"/>
            <color rgb="FF000000"/>
            <rFont val="Arial"/>
            <family val="2"/>
          </rPr>
          <t>sap-2026-q1-statement.pdf | Page 8 | 10,113</t>
        </r>
      </text>
    </comment>
    <comment ref="F37" authorId="0">
      <text>
        <r>
          <rPr>
            <sz val="9"/>
            <color rgb="FF000000"/>
            <rFont val="Arial"/>
            <family val="2"/>
          </rPr>
          <t>sap-2026-q2-statement.pdf | Page 10 | 9,843</t>
        </r>
      </text>
    </comment>
    <comment ref="C40" authorId="0">
      <text>
        <r>
          <rPr>
            <sz val="9"/>
            <color rgb="FF000000"/>
            <rFont val="Arial"/>
            <family val="2"/>
          </rPr>
          <t>sap-2025-q3-statement.pdf | Page 12 | 3</t>
        </r>
      </text>
    </comment>
    <comment ref="D40" authorId="0">
      <text>
        <r>
          <rPr>
            <sz val="9"/>
            <color rgb="FF000000"/>
            <rFont val="Arial"/>
            <family val="2"/>
          </rPr>
          <t>sap-2026-q2-statement.pdf | Page 10 | 2</t>
        </r>
      </text>
    </comment>
    <comment ref="E40" authorId="0">
      <text>
        <r>
          <rPr>
            <sz val="9"/>
            <color rgb="FF000000"/>
            <rFont val="Arial"/>
            <family val="2"/>
          </rPr>
          <t>sap-2026-q1-statement.pdf | Page 8 | 2</t>
        </r>
      </text>
    </comment>
    <comment ref="F40" authorId="0">
      <text>
        <r>
          <rPr>
            <sz val="9"/>
            <color rgb="FF000000"/>
            <rFont val="Arial"/>
            <family val="2"/>
          </rPr>
          <t>sap-2026-q2-statement.pdf | Page 10 | 1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sap-2025-q3-statement.pdf | Page 12 | 554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sap-2026-q2-statement.pdf | Page 10 | 562</t>
        </r>
      </text>
    </comment>
    <comment ref="E41" authorId="0">
      <text>
        <r>
          <rPr>
            <sz val="9"/>
            <color rgb="FF000000"/>
            <rFont val="Arial"/>
            <family val="2"/>
          </rPr>
          <t>sap-2026-q1-statement.pdf | Page 8 | 640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sap-2026-q2-statement.pdf | Page 10 | 670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sap-2025-q3-statement.pdf | Page 12 | 6,089</t>
        </r>
      </text>
    </comment>
    <comment ref="D42" authorId="0">
      <text>
        <r>
          <rPr>
            <sz val="9"/>
            <color rgb="FF000000"/>
            <rFont val="Arial"/>
            <family val="2"/>
          </rPr>
          <t>sap-2026-q2-statement.pdf | Page 10 | 6,021</t>
        </r>
      </text>
    </comment>
    <comment ref="E42" authorId="0">
      <text>
        <r>
          <rPr>
            <sz val="9"/>
            <color rgb="FF000000"/>
            <rFont val="Arial"/>
            <family val="2"/>
          </rPr>
          <t>sap-2026-q1-statement.pdf | Page 8 | 5,038</t>
        </r>
      </text>
    </comment>
    <comment ref="F42" authorId="0">
      <text>
        <r>
          <rPr>
            <sz val="9"/>
            <color rgb="FF000000"/>
            <rFont val="Arial"/>
            <family val="2"/>
          </rPr>
          <t>sap-2026-q2-statement.pdf | Page 10 | 8,541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sap-2025-q3-statement.pdf | Page 12 | 520</t>
        </r>
      </text>
    </comment>
    <comment ref="D43" authorId="0">
      <text>
        <r>
          <rPr>
            <sz val="9"/>
            <color rgb="FF000000"/>
            <rFont val="Arial"/>
            <family val="2"/>
          </rPr>
          <t>sap-2026-q2-statement.pdf | Page 10 | 524</t>
        </r>
      </text>
    </comment>
    <comment ref="E43" authorId="0">
      <text>
        <r>
          <rPr>
            <sz val="9"/>
            <color rgb="FF000000"/>
            <rFont val="Arial"/>
            <family val="2"/>
          </rPr>
          <t>sap-2026-q1-statement.pdf | Page 8 | 664</t>
        </r>
      </text>
    </comment>
    <comment ref="F43" authorId="0">
      <text>
        <r>
          <rPr>
            <sz val="9"/>
            <color rgb="FF000000"/>
            <rFont val="Arial"/>
            <family val="2"/>
          </rPr>
          <t>sap-2026-q2-statement.pdf | Page 10 | 456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sap-2025-q3-statement.pdf | Page 12 | 547</t>
        </r>
      </text>
    </comment>
    <comment ref="D44" authorId="0">
      <text>
        <r>
          <rPr>
            <sz val="9"/>
            <color rgb="FF000000"/>
            <rFont val="Arial"/>
            <family val="2"/>
          </rPr>
          <t>sap-2026-q2-statement.pdf | Page 10 | 550</t>
        </r>
      </text>
    </comment>
    <comment ref="E44" authorId="0">
      <text>
        <r>
          <rPr>
            <sz val="9"/>
            <color rgb="FF000000"/>
            <rFont val="Arial"/>
            <family val="2"/>
          </rPr>
          <t>sap-2026-q1-statement.pdf | Page 8 | 587</t>
        </r>
      </text>
    </comment>
    <comment ref="F44" authorId="0">
      <text>
        <r>
          <rPr>
            <sz val="9"/>
            <color rgb="FF000000"/>
            <rFont val="Arial"/>
            <family val="2"/>
          </rPr>
          <t>sap-2026-q2-statement.pdf | Page 10 | 611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sap-2025-q3-statement.pdf | Page 12 | 187</t>
        </r>
      </text>
    </comment>
    <comment ref="D45" authorId="0">
      <text>
        <r>
          <rPr>
            <sz val="9"/>
            <color rgb="FF000000"/>
            <rFont val="Arial"/>
            <family val="2"/>
          </rPr>
          <t>sap-2026-q2-statement.pdf | Page 10 | 72</t>
        </r>
      </text>
    </comment>
    <comment ref="E45" authorId="0">
      <text>
        <r>
          <rPr>
            <sz val="9"/>
            <color rgb="FF000000"/>
            <rFont val="Arial"/>
            <family val="2"/>
          </rPr>
          <t>sap-2026-q1-statement.pdf | Page 8 | 199</t>
        </r>
      </text>
    </comment>
    <comment ref="F45" authorId="0">
      <text>
        <r>
          <rPr>
            <sz val="9"/>
            <color rgb="FF000000"/>
            <rFont val="Arial"/>
            <family val="2"/>
          </rPr>
          <t>sap-2026-q2-statement.pdf | Page 10 | 211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sap-2025-q3-statement.pdf | Page 12 | 145</t>
        </r>
      </text>
    </comment>
    <comment ref="D46" authorId="0">
      <text>
        <r>
          <rPr>
            <sz val="9"/>
            <color rgb="FF000000"/>
            <rFont val="Arial"/>
            <family val="2"/>
          </rPr>
          <t>sap-2026-q2-statement.pdf | Page 10 | 144</t>
        </r>
      </text>
    </comment>
    <comment ref="E46" authorId="0">
      <text>
        <r>
          <rPr>
            <sz val="9"/>
            <color rgb="FF000000"/>
            <rFont val="Arial"/>
            <family val="2"/>
          </rPr>
          <t>sap-2026-q1-statement.pdf | Page 8 | 149</t>
        </r>
      </text>
    </comment>
    <comment ref="F46" authorId="0">
      <text>
        <r>
          <rPr>
            <sz val="9"/>
            <color rgb="FF000000"/>
            <rFont val="Arial"/>
            <family val="2"/>
          </rPr>
          <t>sap-2026-q2-statement.pdf | Page 10 | 136</t>
        </r>
      </text>
    </comment>
    <comment ref="C53" authorId="0">
      <text>
        <r>
          <rPr>
            <sz val="9"/>
            <color rgb="FF000000"/>
            <rFont val="Arial"/>
            <family val="2"/>
          </rPr>
          <t>sap-2025-q3-statement.pdf | Page 12 | 1,229</t>
        </r>
      </text>
    </comment>
    <comment ref="D53" authorId="0">
      <text>
        <r>
          <rPr>
            <sz val="9"/>
            <color rgb="FF000000"/>
            <rFont val="Arial"/>
            <family val="2"/>
          </rPr>
          <t>sap-2026-q2-statement.pdf | Page 10 | 1,229</t>
        </r>
      </text>
    </comment>
    <comment ref="E53" authorId="0">
      <text>
        <r>
          <rPr>
            <sz val="9"/>
            <color rgb="FF000000"/>
            <rFont val="Arial"/>
            <family val="2"/>
          </rPr>
          <t>sap-2026-q1-statement.pdf | Page 8 | 1,229</t>
        </r>
      </text>
    </comment>
    <comment ref="F53" authorId="0">
      <text>
        <r>
          <rPr>
            <sz val="9"/>
            <color rgb="FF000000"/>
            <rFont val="Arial"/>
            <family val="2"/>
          </rPr>
          <t>sap-2026-q2-statement.pdf | Page 10 | 1,229</t>
        </r>
      </text>
    </comment>
    <comment ref="C54" authorId="0">
      <text>
        <r>
          <rPr>
            <sz val="9"/>
            <color rgb="FF000000"/>
            <rFont val="Arial"/>
            <family val="2"/>
          </rPr>
          <t>sap-2025-q3-statement.pdf | Page 12 | 2,790</t>
        </r>
      </text>
    </comment>
    <comment ref="D54" authorId="0">
      <text>
        <r>
          <rPr>
            <sz val="9"/>
            <color rgb="FF000000"/>
            <rFont val="Arial"/>
            <family val="2"/>
          </rPr>
          <t>sap-2026-q2-statement.pdf | Page 10 | 2,778</t>
        </r>
      </text>
    </comment>
    <comment ref="E54" authorId="0">
      <text>
        <r>
          <rPr>
            <sz val="9"/>
            <color rgb="FF000000"/>
            <rFont val="Arial"/>
            <family val="2"/>
          </rPr>
          <t>sap-2026-q1-statement.pdf | Page 8 | 2,741</t>
        </r>
      </text>
    </comment>
    <comment ref="F54" authorId="0">
      <text>
        <r>
          <rPr>
            <sz val="9"/>
            <color rgb="FF000000"/>
            <rFont val="Arial"/>
            <family val="2"/>
          </rPr>
          <t>sap-2026-q2-statement.pdf | Page 10 | 2,969</t>
        </r>
      </text>
    </comment>
    <comment ref="C55" authorId="0">
      <text>
        <r>
          <rPr>
            <sz val="9"/>
            <color rgb="FF000000"/>
            <rFont val="Arial"/>
            <family val="2"/>
          </rPr>
          <t>sap-2025-q3-statement.pdf | Page 12 | 45,671</t>
        </r>
      </text>
    </comment>
    <comment ref="D55" authorId="0">
      <text>
        <r>
          <rPr>
            <sz val="9"/>
            <color rgb="FF000000"/>
            <rFont val="Arial"/>
            <family val="2"/>
          </rPr>
          <t>sap-2026-q2-statement.pdf | Page 10 | 47,345</t>
        </r>
      </text>
    </comment>
    <comment ref="E55" authorId="0">
      <text>
        <r>
          <rPr>
            <sz val="9"/>
            <color rgb="FF000000"/>
            <rFont val="Arial"/>
            <family val="2"/>
          </rPr>
          <t>sap-2026-q1-statement.pdf | Page 8 | 49,279</t>
        </r>
      </text>
    </comment>
    <comment ref="F55" authorId="0">
      <text>
        <r>
          <rPr>
            <sz val="9"/>
            <color rgb="FF000000"/>
            <rFont val="Arial"/>
            <family val="2"/>
          </rPr>
          <t>sap-2026-q2-statement.pdf | Page 10 | 48,579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sap-2025-q3-statement.pdf | Page 12 | 282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sap-2026-q2-statement.pdf | Page 10 | 182</t>
        </r>
      </text>
    </comment>
    <comment ref="E56" authorId="0">
      <text>
        <r>
          <rPr>
            <sz val="9"/>
            <color rgb="FF000000"/>
            <rFont val="Arial"/>
            <family val="2"/>
          </rPr>
          <t>sap-2026-q1-statement.pdf | Page 8 | 823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sap-2026-q2-statement.pdf | Page 10 | 1,155</t>
        </r>
      </text>
    </comment>
    <comment ref="C57" authorId="0">
      <text>
        <r>
          <rPr>
            <sz val="9"/>
            <color rgb="FF000000"/>
            <rFont val="Arial"/>
            <family val="2"/>
          </rPr>
          <t>sap-2025-q3-statement.pdf | Page 12 | –7,163</t>
        </r>
      </text>
    </comment>
    <comment ref="D57" authorId="0">
      <text>
        <r>
          <rPr>
            <sz val="9"/>
            <color rgb="FF000000"/>
            <rFont val="Arial"/>
            <family val="2"/>
          </rPr>
          <t>sap-2026-q2-statement.pdf | Page 10 | –6,948</t>
        </r>
      </text>
    </comment>
    <comment ref="E57" authorId="0">
      <text>
        <r>
          <rPr>
            <sz val="9"/>
            <color rgb="FF000000"/>
            <rFont val="Arial"/>
            <family val="2"/>
          </rPr>
          <t>sap-2026-q1-statement.pdf | Page 8 | –9,211</t>
        </r>
      </text>
    </comment>
    <comment ref="F57" authorId="0">
      <text>
        <r>
          <rPr>
            <sz val="9"/>
            <color rgb="FF000000"/>
            <rFont val="Arial"/>
            <family val="2"/>
          </rPr>
          <t>sap-2026-q2-statement.pdf | Page 10 | –9,190</t>
        </r>
      </text>
    </comment>
    <comment ref="C60" authorId="0">
      <text>
        <r>
          <rPr>
            <sz val="9"/>
            <color rgb="FF000000"/>
            <rFont val="Arial"/>
            <family val="2"/>
          </rPr>
          <t>sap-2025-q3-statement.pdf | Page 12 | 434</t>
        </r>
      </text>
    </comment>
    <comment ref="D60" authorId="0">
      <text>
        <r>
          <rPr>
            <sz val="9"/>
            <color rgb="FF000000"/>
            <rFont val="Arial"/>
            <family val="2"/>
          </rPr>
          <t>sap-2026-q2-statement.pdf | Page 10 | 488</t>
        </r>
      </text>
    </comment>
    <comment ref="E60" authorId="0">
      <text>
        <r>
          <rPr>
            <sz val="9"/>
            <color rgb="FF000000"/>
            <rFont val="Arial"/>
            <family val="2"/>
          </rPr>
          <t>sap-2026-q1-statement.pdf | Page 8 | 505</t>
        </r>
      </text>
    </comment>
    <comment ref="F60" authorId="0">
      <text>
        <r>
          <rPr>
            <sz val="9"/>
            <color rgb="FF000000"/>
            <rFont val="Arial"/>
            <family val="2"/>
          </rPr>
          <t>sap-2026-q2-statement.pdf | Page 10 | 505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J11" authorId="0">
      <text>
        <r>
          <rPr>
            <sz val="9"/>
            <color rgb="FF000000"/>
            <rFont val="Arial"/>
            <family val="2"/>
          </rPr>
          <t>sap-2026-q2-statement.pdf | Page 11 | 3,545</t>
        </r>
      </text>
    </comment>
    <comment ref="K11" authorId="0">
      <text>
        <r>
          <rPr>
            <sz val="9"/>
            <color rgb="FF000000"/>
            <rFont val="Arial"/>
            <family val="2"/>
          </rPr>
          <t>sap-2025-q3-statement.pdf | Page 13 | 5,596</t>
        </r>
      </text>
    </comment>
    <comment ref="L11" authorId="0">
      <text>
        <r>
          <rPr>
            <sz val="9"/>
            <color rgb="FF000000"/>
            <rFont val="Arial"/>
            <family val="2"/>
          </rPr>
          <t>sap-2025-q4-statement.pdf | Page 14 | 7,492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sap-2026-q1-statement.pdf | Page 9 | 1,946</t>
        </r>
      </text>
    </comment>
    <comment ref="M11" authorId="0">
      <text>
        <r>
          <rPr>
            <sz val="9"/>
            <color rgb="FF000000"/>
            <rFont val="Arial"/>
            <family val="2"/>
          </rPr>
          <t>sap-2026-q2-statement.pdf | Page 11 | 4,155</t>
        </r>
      </text>
    </comment>
    <comment ref="J12" authorId="0">
      <text>
        <r>
          <rPr>
            <sz val="9"/>
            <color rgb="FF000000"/>
            <rFont val="Arial"/>
            <family val="2"/>
          </rPr>
          <t>sap-2026-q2-statement.pdf | Page 11 | 668</t>
        </r>
      </text>
    </comment>
    <comment ref="K12" authorId="0">
      <text>
        <r>
          <rPr>
            <sz val="9"/>
            <color rgb="FF000000"/>
            <rFont val="Arial"/>
            <family val="2"/>
          </rPr>
          <t>sap-2025-q3-statement.pdf | Page 13 | 986</t>
        </r>
      </text>
    </comment>
    <comment ref="L12" authorId="0">
      <text>
        <r>
          <rPr>
            <sz val="9"/>
            <color rgb="FF000000"/>
            <rFont val="Arial"/>
            <family val="2"/>
          </rPr>
          <t>sap-2025-q4-statement.pdf | Page 14 | 1,311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sap-2026-q1-statement.pdf | Page 9 | 305</t>
        </r>
      </text>
    </comment>
    <comment ref="M12" authorId="0">
      <text>
        <r>
          <rPr>
            <sz val="9"/>
            <color rgb="FF000000"/>
            <rFont val="Arial"/>
            <family val="2"/>
          </rPr>
          <t>sap-2026-q2-statement.pdf | Page 11 | 621</t>
        </r>
      </text>
    </comment>
    <comment ref="J13" authorId="0">
      <text>
        <r>
          <rPr>
            <sz val="9"/>
            <color rgb="FF000000"/>
            <rFont val="Arial"/>
            <family val="2"/>
          </rPr>
          <t>sap-2026-q2-statement.pdf | Page 11 | 949</t>
        </r>
      </text>
    </comment>
    <comment ref="K13" authorId="0">
      <text>
        <r>
          <rPr>
            <sz val="9"/>
            <color rgb="FF000000"/>
            <rFont val="Arial"/>
            <family val="2"/>
          </rPr>
          <t>sap-2025-q3-statement.pdf | Page 13 | 1,379</t>
        </r>
      </text>
    </comment>
    <comment ref="L13" authorId="0">
      <text>
        <r>
          <rPr>
            <sz val="9"/>
            <color rgb="FF000000"/>
            <rFont val="Arial"/>
            <family val="2"/>
          </rPr>
          <t>sap-2025-q4-statement.pdf | Page 14 | 1,695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sap-2026-q1-statement.pdf | Page 9 | 285</t>
        </r>
      </text>
    </comment>
    <comment ref="M13" authorId="0">
      <text>
        <r>
          <rPr>
            <sz val="9"/>
            <color rgb="FF000000"/>
            <rFont val="Arial"/>
            <family val="2"/>
          </rPr>
          <t>sap-2026-q2-statement.pdf | Page 11 | 753</t>
        </r>
      </text>
    </comment>
    <comment ref="J14" authorId="0">
      <text>
        <r>
          <rPr>
            <sz val="9"/>
            <color rgb="FF000000"/>
            <rFont val="Arial"/>
            <family val="2"/>
          </rPr>
          <t>sap-2026-q2-statement.pdf | Page 11 | 1,425</t>
        </r>
      </text>
    </comment>
    <comment ref="K14" authorId="0">
      <text>
        <r>
          <rPr>
            <sz val="9"/>
            <color rgb="FF000000"/>
            <rFont val="Arial"/>
            <family val="2"/>
          </rPr>
          <t>sap-2025-q3-statement.pdf | Page 13 | 2,119</t>
        </r>
      </text>
    </comment>
    <comment ref="L14" authorId="0">
      <text>
        <r>
          <rPr>
            <sz val="9"/>
            <color rgb="FF000000"/>
            <rFont val="Arial"/>
            <family val="2"/>
          </rPr>
          <t>sap-2025-q4-statement.pdf | Page 14 | 2,991</t>
        </r>
      </text>
    </comment>
    <comment ref="E14" authorId="0">
      <text>
        <r>
          <rPr>
            <sz val="9"/>
            <color rgb="FF000000"/>
            <rFont val="Arial"/>
            <family val="2"/>
          </rPr>
          <t>sap-2026-q1-statement.pdf | Page 9 | 800</t>
        </r>
      </text>
    </comment>
    <comment ref="M14" authorId="0">
      <text>
        <r>
          <rPr>
            <sz val="9"/>
            <color rgb="FF000000"/>
            <rFont val="Arial"/>
            <family val="2"/>
          </rPr>
          <t>sap-2026-q2-statement.pdf | Page 11 | 1,597</t>
        </r>
      </text>
    </comment>
    <comment ref="J15" authorId="0">
      <text>
        <r>
          <rPr>
            <sz val="9"/>
            <color rgb="FF000000"/>
            <rFont val="Arial"/>
            <family val="2"/>
          </rPr>
          <t>sap-2026-q2-statement.pdf | Page 11 | –175</t>
        </r>
      </text>
    </comment>
    <comment ref="K15" authorId="0">
      <text>
        <r>
          <rPr>
            <sz val="9"/>
            <color rgb="FF000000"/>
            <rFont val="Arial"/>
            <family val="2"/>
          </rPr>
          <t>sap-2025-q3-statement.pdf | Page 13 | –387</t>
        </r>
      </text>
    </comment>
    <comment ref="L15" authorId="0">
      <text>
        <r>
          <rPr>
            <sz val="9"/>
            <color rgb="FF000000"/>
            <rFont val="Arial"/>
            <family val="2"/>
          </rPr>
          <t>sap-2025-q4-statement.pdf | Page 14 | –534</t>
        </r>
      </text>
    </comment>
    <comment ref="E15" authorId="0">
      <text>
        <r>
          <rPr>
            <sz val="9"/>
            <color rgb="FF000000"/>
            <rFont val="Arial"/>
            <family val="2"/>
          </rPr>
          <t>sap-2026-q1-statement.pdf | Page 9 | 18</t>
        </r>
      </text>
    </comment>
    <comment ref="M15" authorId="0">
      <text>
        <r>
          <rPr>
            <sz val="9"/>
            <color rgb="FF000000"/>
            <rFont val="Arial"/>
            <family val="2"/>
          </rPr>
          <t>sap-2026-q2-statement.pdf | Page 11 | –385</t>
        </r>
      </text>
    </comment>
    <comment ref="J16" authorId="0">
      <text>
        <r>
          <rPr>
            <sz val="9"/>
            <color rgb="FF000000"/>
            <rFont val="Arial"/>
            <family val="2"/>
          </rPr>
          <t>sap-2026-q2-statement.pdf | Page 11 | 18</t>
        </r>
      </text>
    </comment>
    <comment ref="K16" authorId="0">
      <text>
        <r>
          <rPr>
            <sz val="9"/>
            <color rgb="FF000000"/>
            <rFont val="Arial"/>
            <family val="2"/>
          </rPr>
          <t>sap-2025-q3-statement.pdf | Page 13 | 10</t>
        </r>
      </text>
    </comment>
    <comment ref="L16" authorId="0">
      <text>
        <r>
          <rPr>
            <sz val="9"/>
            <color rgb="FF000000"/>
            <rFont val="Arial"/>
            <family val="2"/>
          </rPr>
          <t>sap-2025-q4-statement.pdf | Page 14 | 11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sap-2026-q1-statement.pdf | Page 9 | 23</t>
        </r>
      </text>
    </comment>
    <comment ref="M16" authorId="0">
      <text>
        <r>
          <rPr>
            <sz val="9"/>
            <color rgb="FF000000"/>
            <rFont val="Arial"/>
            <family val="2"/>
          </rPr>
          <t>sap-2026-q2-statement.pdf | Page 11 | 31</t>
        </r>
      </text>
    </comment>
    <comment ref="J17" authorId="0">
      <text>
        <r>
          <rPr>
            <sz val="9"/>
            <color rgb="FF000000"/>
            <rFont val="Arial"/>
            <family val="2"/>
          </rPr>
          <t>sap-2026-q2-statement.pdf | Page 11 | –11</t>
        </r>
      </text>
    </comment>
    <comment ref="K17" authorId="0">
      <text>
        <r>
          <rPr>
            <sz val="9"/>
            <color rgb="FF000000"/>
            <rFont val="Arial"/>
            <family val="2"/>
          </rPr>
          <t>sap-2025-q3-statement.pdf | Page 13 | –3</t>
        </r>
      </text>
    </comment>
    <comment ref="L17" authorId="0">
      <text>
        <r>
          <rPr>
            <sz val="9"/>
            <color rgb="FF000000"/>
            <rFont val="Arial"/>
            <family val="2"/>
          </rPr>
          <t>sap-2025-q4-statement.pdf | Page 14 | 94</t>
        </r>
      </text>
    </comment>
    <comment ref="E17" authorId="0">
      <text>
        <r>
          <rPr>
            <sz val="9"/>
            <color rgb="FF000000"/>
            <rFont val="Arial"/>
            <family val="2"/>
          </rPr>
          <t>sap-2026-q1-statement.pdf | Page 9 | –35</t>
        </r>
      </text>
    </comment>
    <comment ref="M17" authorId="0">
      <text>
        <r>
          <rPr>
            <sz val="9"/>
            <color rgb="FF000000"/>
            <rFont val="Arial"/>
            <family val="2"/>
          </rPr>
          <t>sap-2026-q2-statement.pdf | Page 11 | –30</t>
        </r>
      </text>
    </comment>
    <comment ref="J18" authorId="0">
      <text>
        <r>
          <rPr>
            <sz val="9"/>
            <color rgb="FF000000"/>
            <rFont val="Arial"/>
            <family val="2"/>
          </rPr>
          <t>sap-2026-q2-statement.pdf | Page 11 | 103</t>
        </r>
      </text>
    </comment>
    <comment ref="K18" authorId="0">
      <text>
        <r>
          <rPr>
            <sz val="9"/>
            <color rgb="FF000000"/>
            <rFont val="Arial"/>
            <family val="2"/>
          </rPr>
          <t>sap-2025-q3-statement.pdf | Page 13 | 679</t>
        </r>
      </text>
    </comment>
    <comment ref="L18" authorId="0">
      <text>
        <r>
          <rPr>
            <sz val="9"/>
            <color rgb="FF000000"/>
            <rFont val="Arial"/>
            <family val="2"/>
          </rPr>
          <t>sap-2025-q4-statement.pdf | Page 14 | –388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sap-2026-q1-statement.pdf | Page 9 | –1,800</t>
        </r>
      </text>
    </comment>
    <comment ref="M18" authorId="0">
      <text>
        <r>
          <rPr>
            <sz val="9"/>
            <color rgb="FF000000"/>
            <rFont val="Arial"/>
            <family val="2"/>
          </rPr>
          <t>sap-2026-q2-statement.pdf | Page 11 | –224</t>
        </r>
      </text>
    </comment>
    <comment ref="J19" authorId="0">
      <text>
        <r>
          <rPr>
            <sz val="9"/>
            <color rgb="FF000000"/>
            <rFont val="Arial"/>
            <family val="2"/>
          </rPr>
          <t>sap-2026-q2-statement.pdf | Page 11 | –154</t>
        </r>
      </text>
    </comment>
    <comment ref="K19" authorId="0">
      <text>
        <r>
          <rPr>
            <sz val="9"/>
            <color rgb="FF000000"/>
            <rFont val="Arial"/>
            <family val="2"/>
          </rPr>
          <t>sap-2025-q3-statement.pdf | Page 13 | –365</t>
        </r>
      </text>
    </comment>
    <comment ref="L19" authorId="0">
      <text>
        <r>
          <rPr>
            <sz val="9"/>
            <color rgb="FF000000"/>
            <rFont val="Arial"/>
            <family val="2"/>
          </rPr>
          <t>sap-2025-q4-statement.pdf | Page 14 | –1,315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sap-2026-q1-statement.pdf | Page 9 | 186</t>
        </r>
      </text>
    </comment>
    <comment ref="M19" authorId="0">
      <text>
        <r>
          <rPr>
            <sz val="9"/>
            <color rgb="FF000000"/>
            <rFont val="Arial"/>
            <family val="2"/>
          </rPr>
          <t>sap-2026-q2-statement.pdf | Page 11 | 75</t>
        </r>
      </text>
    </comment>
    <comment ref="J20" authorId="0">
      <text>
        <r>
          <rPr>
            <sz val="9"/>
            <color rgb="FF000000"/>
            <rFont val="Arial"/>
            <family val="2"/>
          </rPr>
          <t>sap-2026-q2-statement.pdf | Page 11 | –1,843</t>
        </r>
      </text>
    </comment>
    <comment ref="K20" authorId="0">
      <text>
        <r>
          <rPr>
            <sz val="9"/>
            <color rgb="FF000000"/>
            <rFont val="Arial"/>
            <family val="2"/>
          </rPr>
          <t>sap-2025-q3-statement.pdf | Page 13 | –1,676</t>
        </r>
      </text>
    </comment>
    <comment ref="L20" authorId="0">
      <text>
        <r>
          <rPr>
            <sz val="9"/>
            <color rgb="FF000000"/>
            <rFont val="Arial"/>
            <family val="2"/>
          </rPr>
          <t>sap-2025-q4-statement.pdf | Page 14 | –521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sap-2026-q1-statement.pdf | Page 9 | –947</t>
        </r>
      </text>
    </comment>
    <comment ref="M20" authorId="0">
      <text>
        <r>
          <rPr>
            <sz val="9"/>
            <color rgb="FF000000"/>
            <rFont val="Arial"/>
            <family val="2"/>
          </rPr>
          <t>sap-2026-q2-statement.pdf | Page 11 | –1,252</t>
        </r>
      </text>
    </comment>
    <comment ref="J21" authorId="0">
      <text>
        <r>
          <rPr>
            <sz val="9"/>
            <color rgb="FF000000"/>
            <rFont val="Arial"/>
            <family val="2"/>
          </rPr>
          <t>sap-2026-q2-statement.pdf | Page 11 | 3,121</t>
        </r>
      </text>
    </comment>
    <comment ref="K21" authorId="0">
      <text>
        <r>
          <rPr>
            <sz val="9"/>
            <color rgb="FF000000"/>
            <rFont val="Arial"/>
            <family val="2"/>
          </rPr>
          <t>sap-2025-q3-statement.pdf | Page 13 | 1,492</t>
        </r>
      </text>
    </comment>
    <comment ref="L21" authorId="0">
      <text>
        <r>
          <rPr>
            <sz val="9"/>
            <color rgb="FF000000"/>
            <rFont val="Arial"/>
            <family val="2"/>
          </rPr>
          <t>sap-2025-q4-statement.pdf | Page 14 | 1,336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sap-2026-q1-statement.pdf | Page 9 | 3,402</t>
        </r>
      </text>
    </comment>
    <comment ref="M21" authorId="0">
      <text>
        <r>
          <rPr>
            <sz val="9"/>
            <color rgb="FF000000"/>
            <rFont val="Arial"/>
            <family val="2"/>
          </rPr>
          <t>sap-2026-q2-statement.pdf | Page 11 | 2,990</t>
        </r>
      </text>
    </comment>
    <comment ref="J22" authorId="0">
      <text>
        <r>
          <rPr>
            <sz val="9"/>
            <color rgb="FF000000"/>
            <rFont val="Arial"/>
            <family val="2"/>
          </rPr>
          <t>sap-2026-q2-statement.pdf | Page 11 | –378</t>
        </r>
      </text>
    </comment>
    <comment ref="K22" authorId="0">
      <text>
        <r>
          <rPr>
            <sz val="9"/>
            <color rgb="FF000000"/>
            <rFont val="Arial"/>
            <family val="2"/>
          </rPr>
          <t>sap-2025-q3-statement.pdf | Page 13 | –691</t>
        </r>
      </text>
    </comment>
    <comment ref="L22" authorId="0">
      <text>
        <r>
          <rPr>
            <sz val="9"/>
            <color rgb="FF000000"/>
            <rFont val="Arial"/>
            <family val="2"/>
          </rPr>
          <t>sap-2025-q4-statement.pdf | Page 14 | –817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sap-2026-q1-statement.pdf | Page 9 | –131</t>
        </r>
      </text>
    </comment>
    <comment ref="M22" authorId="0">
      <text>
        <r>
          <rPr>
            <sz val="9"/>
            <color rgb="FF000000"/>
            <rFont val="Arial"/>
            <family val="2"/>
          </rPr>
          <t>sap-2026-q2-statement.pdf | Page 11 | –291</t>
        </r>
      </text>
    </comment>
    <comment ref="J23" authorId="0">
      <text>
        <r>
          <rPr>
            <sz val="9"/>
            <color rgb="FF000000"/>
            <rFont val="Arial"/>
            <family val="2"/>
          </rPr>
          <t>sap-2026-q2-statement.pdf | Page 11 | –911</t>
        </r>
      </text>
    </comment>
    <comment ref="K23" authorId="0">
      <text>
        <r>
          <rPr>
            <sz val="9"/>
            <color rgb="FF000000"/>
            <rFont val="Arial"/>
            <family val="2"/>
          </rPr>
          <t>sap-2025-q3-statement.pdf | Page 13 | –1,280</t>
        </r>
      </text>
    </comment>
    <comment ref="L23" authorId="0">
      <text>
        <r>
          <rPr>
            <sz val="9"/>
            <color rgb="FF000000"/>
            <rFont val="Arial"/>
            <family val="2"/>
          </rPr>
          <t>sap-2025-q4-statement.pdf | Page 14 | –2,198</t>
        </r>
      </text>
    </comment>
    <comment ref="E23" authorId="0">
      <text>
        <r>
          <rPr>
            <sz val="9"/>
            <color rgb="FF000000"/>
            <rFont val="Arial"/>
            <family val="2"/>
          </rPr>
          <t>sap-2026-q1-statement.pdf | Page 9 | –540</t>
        </r>
      </text>
    </comment>
    <comment ref="M23" authorId="0">
      <text>
        <r>
          <rPr>
            <sz val="9"/>
            <color rgb="FF000000"/>
            <rFont val="Arial"/>
            <family val="2"/>
          </rPr>
          <t>sap-2026-q2-statement.pdf | Page 11 | –1,376</t>
        </r>
      </text>
    </comment>
    <comment ref="J28" authorId="0">
      <text>
        <r>
          <rPr>
            <sz val="9"/>
            <color rgb="FF000000"/>
            <rFont val="Arial"/>
            <family val="2"/>
          </rPr>
          <t>sap-2026-q2-statement.pdf | Page 11 | –5</t>
        </r>
      </text>
    </comment>
    <comment ref="K28" authorId="0">
      <text>
        <r>
          <rPr>
            <sz val="9"/>
            <color rgb="FF000000"/>
            <rFont val="Arial"/>
            <family val="2"/>
          </rPr>
          <t>sap-2025-q3-statement.pdf | Page 13 | –700</t>
        </r>
      </text>
    </comment>
    <comment ref="L28" authorId="0">
      <text>
        <r>
          <rPr>
            <sz val="9"/>
            <color rgb="FF000000"/>
            <rFont val="Arial"/>
            <family val="2"/>
          </rPr>
          <t>sap-2025-q4-statement.pdf | Page 14 | –702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sap-2026-q1-statement.pdf | Page 9 | –2</t>
        </r>
      </text>
    </comment>
    <comment ref="M28" authorId="0">
      <text>
        <r>
          <rPr>
            <sz val="9"/>
            <color rgb="FF000000"/>
            <rFont val="Arial"/>
            <family val="2"/>
          </rPr>
          <t>sap-2026-q2-statement.pdf | Page 11 | –991</t>
        </r>
      </text>
    </comment>
    <comment ref="J29" authorId="0">
      <text>
        <r>
          <rPr>
            <sz val="9"/>
            <color rgb="FF000000"/>
            <rFont val="Arial"/>
            <family val="2"/>
          </rPr>
          <t>sap-2026-q2-statement.pdf | Page 11 | –358</t>
        </r>
      </text>
    </comment>
    <comment ref="K29" authorId="0">
      <text>
        <r>
          <rPr>
            <sz val="9"/>
            <color rgb="FF000000"/>
            <rFont val="Arial"/>
            <family val="2"/>
          </rPr>
          <t>sap-2025-q3-statement.pdf | Page 13 | –559</t>
        </r>
      </text>
    </comment>
    <comment ref="L29" authorId="0">
      <text>
        <r>
          <rPr>
            <sz val="9"/>
            <color rgb="FF000000"/>
            <rFont val="Arial"/>
            <family val="2"/>
          </rPr>
          <t>sap-2025-q4-statement.pdf | Page 14 | –739</t>
        </r>
      </text>
    </comment>
    <comment ref="E29" authorId="0">
      <text>
        <r>
          <rPr>
            <sz val="9"/>
            <color rgb="FF000000"/>
            <rFont val="Arial"/>
            <family val="2"/>
          </rPr>
          <t>sap-2026-q1-statement.pdf | Page 9 | –238</t>
        </r>
      </text>
    </comment>
    <comment ref="M29" authorId="0">
      <text>
        <r>
          <rPr>
            <sz val="9"/>
            <color rgb="FF000000"/>
            <rFont val="Arial"/>
            <family val="2"/>
          </rPr>
          <t>sap-2026-q2-statement.pdf | Page 11 | –354</t>
        </r>
      </text>
    </comment>
    <comment ref="J30" authorId="0">
      <text>
        <r>
          <rPr>
            <sz val="9"/>
            <color rgb="FF000000"/>
            <rFont val="Arial"/>
            <family val="2"/>
          </rPr>
          <t>sap-2026-q2-statement.pdf | Page 11 | 78</t>
        </r>
      </text>
    </comment>
    <comment ref="K30" authorId="0">
      <text>
        <r>
          <rPr>
            <sz val="9"/>
            <color rgb="FF000000"/>
            <rFont val="Arial"/>
            <family val="2"/>
          </rPr>
          <t>sap-2025-q3-statement.pdf | Page 13 | 110</t>
        </r>
      </text>
    </comment>
    <comment ref="L30" authorId="0">
      <text>
        <r>
          <rPr>
            <sz val="9"/>
            <color rgb="FF000000"/>
            <rFont val="Arial"/>
            <family val="2"/>
          </rPr>
          <t>sap-2025-q4-statement.pdf | Page 14 | 121</t>
        </r>
      </text>
    </comment>
    <comment ref="E30" authorId="0">
      <text>
        <r>
          <rPr>
            <sz val="9"/>
            <color rgb="FF000000"/>
            <rFont val="Arial"/>
            <family val="2"/>
          </rPr>
          <t>sap-2026-q1-statement.pdf | Page 9 | 32</t>
        </r>
      </text>
    </comment>
    <comment ref="M30" authorId="0">
      <text>
        <r>
          <rPr>
            <sz val="9"/>
            <color rgb="FF000000"/>
            <rFont val="Arial"/>
            <family val="2"/>
          </rPr>
          <t>sap-2026-q2-statement.pdf | Page 11 | 55</t>
        </r>
      </text>
    </comment>
    <comment ref="J31" authorId="0">
      <text>
        <r>
          <rPr>
            <sz val="9"/>
            <color rgb="FF000000"/>
            <rFont val="Arial"/>
            <family val="2"/>
          </rPr>
          <t>sap-2026-q2-statement.pdf | Page 11 | –3,386</t>
        </r>
      </text>
    </comment>
    <comment ref="K31" authorId="0">
      <text>
        <r>
          <rPr>
            <sz val="9"/>
            <color rgb="FF000000"/>
            <rFont val="Arial"/>
            <family val="2"/>
          </rPr>
          <t>sap-2025-q3-statement.pdf | Page 13 | –4,369</t>
        </r>
      </text>
    </comment>
    <comment ref="L31" authorId="0">
      <text>
        <r>
          <rPr>
            <sz val="9"/>
            <color rgb="FF000000"/>
            <rFont val="Arial"/>
            <family val="2"/>
          </rPr>
          <t>sap-2025-q4-statement.pdf | Page 14 | –5,845</t>
        </r>
      </text>
    </comment>
    <comment ref="E31" authorId="0">
      <text>
        <r>
          <rPr>
            <sz val="9"/>
            <color rgb="FF000000"/>
            <rFont val="Arial"/>
            <family val="2"/>
          </rPr>
          <t>sap-2026-q1-statement.pdf | Page 9 | –594</t>
        </r>
      </text>
    </comment>
    <comment ref="M31" authorId="0">
      <text>
        <r>
          <rPr>
            <sz val="9"/>
            <color rgb="FF000000"/>
            <rFont val="Arial"/>
            <family val="2"/>
          </rPr>
          <t>sap-2026-q2-statement.pdf | Page 11 | –1,780</t>
        </r>
      </text>
    </comment>
    <comment ref="J32" authorId="0">
      <text>
        <r>
          <rPr>
            <sz val="9"/>
            <color rgb="FF000000"/>
            <rFont val="Arial"/>
            <family val="2"/>
          </rPr>
          <t>sap-2026-q2-statement.pdf | Page 11 | 2,812</t>
        </r>
      </text>
    </comment>
    <comment ref="K32" authorId="0">
      <text>
        <r>
          <rPr>
            <sz val="9"/>
            <color rgb="FF000000"/>
            <rFont val="Arial"/>
            <family val="2"/>
          </rPr>
          <t>sap-2025-q3-statement.pdf | Page 13 | 4,454</t>
        </r>
      </text>
    </comment>
    <comment ref="L32" authorId="0">
      <text>
        <r>
          <rPr>
            <sz val="9"/>
            <color rgb="FF000000"/>
            <rFont val="Arial"/>
            <family val="2"/>
          </rPr>
          <t>sap-2025-q4-statement.pdf | Page 14 | 5,779</t>
        </r>
      </text>
    </comment>
    <comment ref="E32" authorId="0">
      <text>
        <r>
          <rPr>
            <sz val="9"/>
            <color rgb="FF000000"/>
            <rFont val="Arial"/>
            <family val="2"/>
          </rPr>
          <t>sap-2026-q1-statement.pdf | Page 9 | 1,534</t>
        </r>
      </text>
    </comment>
    <comment ref="M32" authorId="0">
      <text>
        <r>
          <rPr>
            <sz val="9"/>
            <color rgb="FF000000"/>
            <rFont val="Arial"/>
            <family val="2"/>
          </rPr>
          <t>sap-2026-q2-statement.pdf | Page 11 | 1,988</t>
        </r>
      </text>
    </comment>
    <comment ref="J33" authorId="0">
      <text>
        <r>
          <rPr>
            <sz val="9"/>
            <color rgb="FF000000"/>
            <rFont val="Arial"/>
            <family val="2"/>
          </rPr>
          <t>sap-2026-q2-statement.pdf | Page 11 | 187</t>
        </r>
      </text>
    </comment>
    <comment ref="K33" authorId="0">
      <text>
        <r>
          <rPr>
            <sz val="9"/>
            <color rgb="FF000000"/>
            <rFont val="Arial"/>
            <family val="2"/>
          </rPr>
          <t>sap-2025-q3-statement.pdf | Page 13 | 317</t>
        </r>
      </text>
    </comment>
    <comment ref="L33" authorId="0">
      <text>
        <r>
          <rPr>
            <sz val="9"/>
            <color rgb="FF000000"/>
            <rFont val="Arial"/>
            <family val="2"/>
          </rPr>
          <t>sap-2025-q4-statement.pdf | Page 14 | 420</t>
        </r>
      </text>
    </comment>
    <comment ref="E33" authorId="0">
      <text>
        <r>
          <rPr>
            <sz val="9"/>
            <color rgb="FF000000"/>
            <rFont val="Arial"/>
            <family val="2"/>
          </rPr>
          <t>sap-2026-q1-statement.pdf | Page 9 | 90</t>
        </r>
      </text>
    </comment>
    <comment ref="M33" authorId="0">
      <text>
        <r>
          <rPr>
            <sz val="9"/>
            <color rgb="FF000000"/>
            <rFont val="Arial"/>
            <family val="2"/>
          </rPr>
          <t>sap-2026-q2-statement.pdf | Page 11 | 161</t>
        </r>
      </text>
    </comment>
    <comment ref="J38" authorId="0">
      <text>
        <r>
          <rPr>
            <sz val="9"/>
            <color rgb="FF000000"/>
            <rFont val="Arial"/>
            <family val="2"/>
          </rPr>
          <t>sap-2026-q2-statement.pdf | Page 11 | –2,743</t>
        </r>
      </text>
    </comment>
    <comment ref="K38" authorId="0">
      <text>
        <r>
          <rPr>
            <sz val="9"/>
            <color rgb="FF000000"/>
            <rFont val="Arial"/>
            <family val="2"/>
          </rPr>
          <t>sap-2025-q3-statement.pdf | Page 13 | –2,743</t>
        </r>
      </text>
    </comment>
    <comment ref="L38" authorId="0">
      <text>
        <r>
          <rPr>
            <sz val="9"/>
            <color rgb="FF000000"/>
            <rFont val="Arial"/>
            <family val="2"/>
          </rPr>
          <t>sap-2025-q4-statement.pdf | Page 14 | –2,743</t>
        </r>
      </text>
    </comment>
    <comment ref="E38" authorId="0">
      <text>
        <r>
          <rPr>
            <sz val="9"/>
            <color rgb="FF000000"/>
            <rFont val="Arial"/>
            <family val="2"/>
          </rPr>
          <t>sap-2026-q1-statement.pdf | Page 9 | 0</t>
        </r>
      </text>
    </comment>
    <comment ref="M38" authorId="0">
      <text>
        <r>
          <rPr>
            <sz val="9"/>
            <color rgb="FF000000"/>
            <rFont val="Arial"/>
            <family val="2"/>
          </rPr>
          <t>sap-2026-q2-statement.pdf | Page 11 | –2,883</t>
        </r>
      </text>
    </comment>
    <comment ref="J39" authorId="0">
      <text>
        <r>
          <rPr>
            <sz val="9"/>
            <color rgb="FF000000"/>
            <rFont val="Arial"/>
            <family val="2"/>
          </rPr>
          <t>sap-2026-q2-statement.pdf | Page 11 | 0</t>
        </r>
      </text>
    </comment>
    <comment ref="K39" authorId="0">
      <text>
        <r>
          <rPr>
            <sz val="9"/>
            <color rgb="FF000000"/>
            <rFont val="Arial"/>
            <family val="2"/>
          </rPr>
          <t>sap-2025-q3-statement.pdf | Page 13 | –3</t>
        </r>
      </text>
    </comment>
    <comment ref="L39" authorId="0">
      <text>
        <r>
          <rPr>
            <sz val="9"/>
            <color rgb="FF000000"/>
            <rFont val="Arial"/>
            <family val="2"/>
          </rPr>
          <t>sap-2025-q4-statement.pdf | Page 14 | –2</t>
        </r>
      </text>
    </comment>
    <comment ref="E39" authorId="0">
      <text>
        <r>
          <rPr>
            <sz val="9"/>
            <color rgb="FF000000"/>
            <rFont val="Arial"/>
            <family val="2"/>
          </rPr>
          <t>sap-2026-q1-statement.pdf | Page 9 | –5</t>
        </r>
      </text>
    </comment>
    <comment ref="M39" authorId="0">
      <text>
        <r>
          <rPr>
            <sz val="9"/>
            <color rgb="FF000000"/>
            <rFont val="Arial"/>
            <family val="2"/>
          </rPr>
          <t>sap-2026-q2-statement.pdf | Page 11 | –28</t>
        </r>
      </text>
    </comment>
    <comment ref="J40" authorId="0">
      <text>
        <r>
          <rPr>
            <sz val="9"/>
            <color rgb="FF000000"/>
            <rFont val="Arial"/>
            <family val="2"/>
          </rPr>
          <t>sap-2026-q2-statement.pdf | Page 11 | –1,633</t>
        </r>
      </text>
    </comment>
    <comment ref="K40" authorId="0">
      <text>
        <r>
          <rPr>
            <sz val="9"/>
            <color rgb="FF000000"/>
            <rFont val="Arial"/>
            <family val="2"/>
          </rPr>
          <t>sap-2025-q3-statement.pdf | Page 13 | –1,937</t>
        </r>
      </text>
    </comment>
    <comment ref="L40" authorId="0">
      <text>
        <r>
          <rPr>
            <sz val="9"/>
            <color rgb="FF000000"/>
            <rFont val="Arial"/>
            <family val="2"/>
          </rPr>
          <t>sap-2025-q4-statement.pdf | Page 14 | –1,937</t>
        </r>
      </text>
    </comment>
    <comment ref="E40" authorId="0">
      <text>
        <r>
          <rPr>
            <sz val="9"/>
            <color rgb="FF000000"/>
            <rFont val="Arial"/>
            <family val="2"/>
          </rPr>
          <t>sap-2026-q1-statement.pdf | Page 9 | –2,279</t>
        </r>
      </text>
    </comment>
    <comment ref="M40" authorId="0">
      <text>
        <r>
          <rPr>
            <sz val="9"/>
            <color rgb="FF000000"/>
            <rFont val="Arial"/>
            <family val="2"/>
          </rPr>
          <t>sap-2026-q2-statement.pdf | Page 11 | –2,600</t>
        </r>
      </text>
    </comment>
    <comment ref="J41" authorId="0">
      <text>
        <r>
          <rPr>
            <sz val="9"/>
            <color rgb="FF000000"/>
            <rFont val="Arial"/>
            <family val="2"/>
          </rPr>
          <t>sap-2026-q2-statement.pdf | Page 11 | 2</t>
        </r>
      </text>
    </comment>
    <comment ref="K41" authorId="0">
      <text>
        <r>
          <rPr>
            <sz val="9"/>
            <color rgb="FF000000"/>
            <rFont val="Arial"/>
            <family val="2"/>
          </rPr>
          <t>sap-2025-q3-statement.pdf | Page 13 | 2</t>
        </r>
      </text>
    </comment>
    <comment ref="L41" authorId="0">
      <text>
        <r>
          <rPr>
            <sz val="9"/>
            <color rgb="FF000000"/>
            <rFont val="Arial"/>
            <family val="2"/>
          </rPr>
          <t>sap-2025-q4-statement.pdf | Page 14 | 2</t>
        </r>
      </text>
    </comment>
    <comment ref="E41" authorId="0">
      <text>
        <r>
          <rPr>
            <sz val="9"/>
            <color rgb="FF000000"/>
            <rFont val="Arial"/>
            <family val="2"/>
          </rPr>
          <t>sap-2026-q1-statement.pdf | Page 9 | 0</t>
        </r>
      </text>
    </comment>
    <comment ref="M41" authorId="0">
      <text>
        <r>
          <rPr>
            <sz val="9"/>
            <color rgb="FF000000"/>
            <rFont val="Arial"/>
            <family val="2"/>
          </rPr>
          <t>sap-2026-q2-statement.pdf | Page 11 | 4,486</t>
        </r>
      </text>
    </comment>
    <comment ref="J42" authorId="0">
      <text>
        <r>
          <rPr>
            <sz val="9"/>
            <color rgb="FF000000"/>
            <rFont val="Arial"/>
            <family val="2"/>
          </rPr>
          <t>sap-2026-q2-statement.pdf | Page 11 | –1,850</t>
        </r>
      </text>
    </comment>
    <comment ref="K42" authorId="0">
      <text>
        <r>
          <rPr>
            <sz val="9"/>
            <color rgb="FF000000"/>
            <rFont val="Arial"/>
            <family val="2"/>
          </rPr>
          <t>sap-2025-q3-statement.pdf | Page 13 | –2,106</t>
        </r>
      </text>
    </comment>
    <comment ref="L42" authorId="0">
      <text>
        <r>
          <rPr>
            <sz val="9"/>
            <color rgb="FF000000"/>
            <rFont val="Arial"/>
            <family val="2"/>
          </rPr>
          <t>sap-2025-q4-statement.pdf | Page 14 | –3,191</t>
        </r>
      </text>
    </comment>
    <comment ref="E42" authorId="0">
      <text>
        <r>
          <rPr>
            <sz val="9"/>
            <color rgb="FF000000"/>
            <rFont val="Arial"/>
            <family val="2"/>
          </rPr>
          <t>sap-2026-q1-statement.pdf | Page 9 | –500</t>
        </r>
      </text>
    </comment>
    <comment ref="M42" authorId="0">
      <text>
        <r>
          <rPr>
            <sz val="9"/>
            <color rgb="FF000000"/>
            <rFont val="Arial"/>
            <family val="2"/>
          </rPr>
          <t>sap-2026-q2-statement.pdf | Page 11 | –2,100</t>
        </r>
      </text>
    </comment>
    <comment ref="J43" authorId="0">
      <text>
        <r>
          <rPr>
            <sz val="9"/>
            <color rgb="FF000000"/>
            <rFont val="Arial"/>
            <family val="2"/>
          </rPr>
          <t>sap-2026-q2-statement.pdf | Page 11 | –138</t>
        </r>
      </text>
    </comment>
    <comment ref="K43" authorId="0">
      <text>
        <r>
          <rPr>
            <sz val="9"/>
            <color rgb="FF000000"/>
            <rFont val="Arial"/>
            <family val="2"/>
          </rPr>
          <t>sap-2025-q3-statement.pdf | Page 13 | –204</t>
        </r>
      </text>
    </comment>
    <comment ref="L43" authorId="0">
      <text>
        <r>
          <rPr>
            <sz val="9"/>
            <color rgb="FF000000"/>
            <rFont val="Arial"/>
            <family val="2"/>
          </rPr>
          <t>sap-2025-q4-statement.pdf | Page 14 | –299</t>
        </r>
      </text>
    </comment>
    <comment ref="E43" authorId="0">
      <text>
        <r>
          <rPr>
            <sz val="9"/>
            <color rgb="FF000000"/>
            <rFont val="Arial"/>
            <family val="2"/>
          </rPr>
          <t>sap-2026-q1-statement.pdf | Page 9 | –59</t>
        </r>
      </text>
    </comment>
    <comment ref="M43" authorId="0">
      <text>
        <r>
          <rPr>
            <sz val="9"/>
            <color rgb="FF000000"/>
            <rFont val="Arial"/>
            <family val="2"/>
          </rPr>
          <t>sap-2026-q2-statement.pdf | Page 11 | –117</t>
        </r>
      </text>
    </comment>
    <comment ref="J44" authorId="0">
      <text>
        <r>
          <rPr>
            <sz val="9"/>
            <color rgb="FF000000"/>
            <rFont val="Arial"/>
            <family val="2"/>
          </rPr>
          <t>sap-2026-q2-statement.pdf | Page 11 | 0</t>
        </r>
      </text>
    </comment>
    <comment ref="K44" authorId="0">
      <text>
        <r>
          <rPr>
            <sz val="9"/>
            <color rgb="FF000000"/>
            <rFont val="Arial"/>
            <family val="2"/>
          </rPr>
          <t>sap-2025-q3-statement.pdf | Page 13 | 0</t>
        </r>
      </text>
    </comment>
    <comment ref="L44" authorId="0">
      <text>
        <r>
          <rPr>
            <sz val="9"/>
            <color rgb="FF000000"/>
            <rFont val="Arial"/>
            <family val="2"/>
          </rPr>
          <t>sap-2025-q4-statement.pdf | Page 14 | 0</t>
        </r>
      </text>
    </comment>
    <comment ref="E44" authorId="0">
      <text>
        <r>
          <rPr>
            <sz val="9"/>
            <color rgb="FF000000"/>
            <rFont val="Arial"/>
            <family val="2"/>
          </rPr>
          <t>sap-2026-q1-statement.pdf | Page 9 | 0</t>
        </r>
      </text>
    </comment>
    <comment ref="M44" authorId="0">
      <text>
        <r>
          <rPr>
            <sz val="9"/>
            <color rgb="FF000000"/>
            <rFont val="Arial"/>
            <family val="2"/>
          </rPr>
          <t>sap-2026-q2-statement.pdf | Page 11 | 0</t>
        </r>
      </text>
    </comment>
    <comment ref="J45" authorId="0">
      <text>
        <r>
          <rPr>
            <sz val="9"/>
            <color rgb="FF000000"/>
            <rFont val="Arial"/>
            <family val="2"/>
          </rPr>
          <t>sap-2026-q2-statement.pdf | Page 11 | –379</t>
        </r>
      </text>
    </comment>
    <comment ref="K45" authorId="0">
      <text>
        <r>
          <rPr>
            <sz val="9"/>
            <color rgb="FF000000"/>
            <rFont val="Arial"/>
            <family val="2"/>
          </rPr>
          <t>sap-2025-q3-statement.pdf | Page 13 | –451</t>
        </r>
      </text>
    </comment>
    <comment ref="L45" authorId="0">
      <text>
        <r>
          <rPr>
            <sz val="9"/>
            <color rgb="FF000000"/>
            <rFont val="Arial"/>
            <family val="2"/>
          </rPr>
          <t>sap-2025-q4-statement.pdf | Page 14 | –574</t>
        </r>
      </text>
    </comment>
    <comment ref="E45" authorId="0">
      <text>
        <r>
          <rPr>
            <sz val="9"/>
            <color rgb="FF000000"/>
            <rFont val="Arial"/>
            <family val="2"/>
          </rPr>
          <t>sap-2026-q1-statement.pdf | Page 9 | –191</t>
        </r>
      </text>
    </comment>
    <comment ref="M45" authorId="0">
      <text>
        <r>
          <rPr>
            <sz val="9"/>
            <color rgb="FF000000"/>
            <rFont val="Arial"/>
            <family val="2"/>
          </rPr>
          <t>sap-2026-q2-statement.pdf | Page 11 | –302</t>
        </r>
      </text>
    </comment>
    <comment ref="J48" authorId="0">
      <text>
        <r>
          <rPr>
            <sz val="9"/>
            <color rgb="FF000000"/>
            <rFont val="Arial"/>
            <family val="2"/>
          </rPr>
          <t>sap-2026-q2-statement.pdf | Page 11 | –610</t>
        </r>
      </text>
    </comment>
    <comment ref="K48" authorId="0">
      <text>
        <r>
          <rPr>
            <sz val="9"/>
            <color rgb="FF000000"/>
            <rFont val="Arial"/>
            <family val="2"/>
          </rPr>
          <t>sap-2025-q3-statement.pdf | Page 13 | –726</t>
        </r>
      </text>
    </comment>
    <comment ref="L48" authorId="0">
      <text>
        <r>
          <rPr>
            <sz val="9"/>
            <color rgb="FF000000"/>
            <rFont val="Arial"/>
            <family val="2"/>
          </rPr>
          <t>sap-2025-q4-statement.pdf | Page 14 | –836</t>
        </r>
      </text>
    </comment>
    <comment ref="E48" authorId="0">
      <text>
        <r>
          <rPr>
            <sz val="9"/>
            <color rgb="FF000000"/>
            <rFont val="Arial"/>
            <family val="2"/>
          </rPr>
          <t>sap-2026-q1-statement.pdf | Page 9 | 127</t>
        </r>
      </text>
    </comment>
    <comment ref="M48" authorId="0">
      <text>
        <r>
          <rPr>
            <sz val="9"/>
            <color rgb="FF000000"/>
            <rFont val="Arial"/>
            <family val="2"/>
          </rPr>
          <t>sap-2026-q2-statement.pdf | Page 11 | 90</t>
        </r>
      </text>
    </comment>
    <comment ref="J50" authorId="0">
      <text>
        <r>
          <rPr>
            <sz val="9"/>
            <color rgb="FF000000"/>
            <rFont val="Arial"/>
            <family val="2"/>
          </rPr>
          <t>sap-2026-q2-statement.pdf | Page 11 | 9,609</t>
        </r>
      </text>
    </comment>
    <comment ref="K50" authorId="0">
      <text>
        <r>
          <rPr>
            <sz val="9"/>
            <color rgb="FF000000"/>
            <rFont val="Arial"/>
            <family val="2"/>
          </rPr>
          <t>sap-2025-q3-statement.pdf | Page 13 | 9,609</t>
        </r>
      </text>
    </comment>
    <comment ref="L50" authorId="0">
      <text>
        <r>
          <rPr>
            <sz val="9"/>
            <color rgb="FF000000"/>
            <rFont val="Arial"/>
            <family val="2"/>
          </rPr>
          <t>sap-2025-q4-statement.pdf | Page 14 | 9,609</t>
        </r>
      </text>
    </comment>
    <comment ref="J58" authorId="0">
      <text>
        <r>
          <rPr>
            <sz val="9"/>
            <color rgb="FF000000"/>
            <rFont val="Arial"/>
            <family val="2"/>
          </rPr>
          <t>sap-2026-q2-statement.pdf | Page 11 | 5,939</t>
        </r>
      </text>
    </comment>
    <comment ref="K58" authorId="0">
      <text>
        <r>
          <rPr>
            <sz val="9"/>
            <color rgb="FF000000"/>
            <rFont val="Arial"/>
            <family val="2"/>
          </rPr>
          <t>sap-2025-q3-statement.pdf | Page 13 | 7,205</t>
        </r>
      </text>
    </comment>
    <comment ref="L58" authorId="0">
      <text>
        <r>
          <rPr>
            <sz val="9"/>
            <color rgb="FF000000"/>
            <rFont val="Arial"/>
            <family val="2"/>
          </rPr>
          <t>sap-2025-q4-statement.pdf | Page 14 | 8,239</t>
        </r>
      </text>
    </comment>
    <comment ref="E58" authorId="0">
      <text>
        <r>
          <rPr>
            <sz val="9"/>
            <color rgb="FF000000"/>
            <rFont val="Arial"/>
            <family val="2"/>
          </rPr>
          <t>sap-2026-q1-statement.pdf | Page 9 | 3,248</t>
        </r>
      </text>
    </comment>
    <comment ref="M58" authorId="0">
      <text>
        <r>
          <rPr>
            <sz val="9"/>
            <color rgb="FF000000"/>
            <rFont val="Arial"/>
            <family val="2"/>
          </rPr>
          <t>sap-2026-q2-statement.pdf | Page 11 | 6,250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1" authorId="0">
      <text>
        <r>
          <rPr>
            <sz val="9"/>
            <color rgb="FF000000"/>
            <rFont val="Arial"/>
            <family val="2"/>
          </rPr>
          <t>sap-2025-q3-statement.pdf | Page 23 | 1,455</t>
        </r>
      </text>
    </comment>
    <comment ref="D11" authorId="0">
      <text>
        <r>
          <rPr>
            <sz val="9"/>
            <color rgb="FF000000"/>
            <rFont val="Arial"/>
            <family val="2"/>
          </rPr>
          <t>sap-2025-q4-statement.pdf | Page 24 | 1,582</t>
        </r>
      </text>
    </comment>
    <comment ref="E11" authorId="0">
      <text>
        <r>
          <rPr>
            <sz val="9"/>
            <color rgb="FF000000"/>
            <rFont val="Arial"/>
            <family val="2"/>
          </rPr>
          <t>sap-2026-q1-statement.pdf | Page 15 | 1,526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sap-2026-q2-statement.pdf | Page 20 | 1,560</t>
        </r>
      </text>
    </comment>
    <comment ref="J11" authorId="0">
      <text>
        <r>
          <rPr>
            <sz val="9"/>
            <color rgb="FF000000"/>
            <rFont val="Arial"/>
            <family val="2"/>
          </rPr>
          <t>sap-2025-q3-statement.pdf | Page 23 | 1,282</t>
        </r>
      </text>
    </comment>
    <comment ref="K11" authorId="0">
      <text>
        <r>
          <rPr>
            <sz val="9"/>
            <color rgb="FF000000"/>
            <rFont val="Arial"/>
            <family val="2"/>
          </rPr>
          <t>sap-2025-q4-statement.pdf | Page 24 | 1,557</t>
        </r>
      </text>
    </comment>
    <comment ref="L11" authorId="0">
      <text>
        <r>
          <rPr>
            <sz val="9"/>
            <color rgb="FF000000"/>
            <rFont val="Arial"/>
            <family val="2"/>
          </rPr>
          <t>sap-2026-q1-statement.pdf | Page 15 | 1,379</t>
        </r>
      </text>
    </comment>
    <comment ref="M11" authorId="0">
      <text>
        <r>
          <rPr>
            <sz val="9"/>
            <color rgb="FF000000"/>
            <rFont val="Arial"/>
            <family val="2"/>
          </rPr>
          <t>sap-2026-q2-statement.pdf | Page 20 | 1,412</t>
        </r>
      </text>
    </comment>
    <comment ref="N11" authorId="0">
      <text>
        <r>
          <rPr>
            <sz val="9"/>
            <color rgb="FF000000"/>
            <rFont val="Arial"/>
            <family val="2"/>
          </rPr>
          <t>sap-2025-q4-statement.pdf | Page 25 | 5,359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sap-2025-q3-statement.pdf | Page 23 | 1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sap-2025-q4-statement.pdf | Page 24 | 2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sap-2026-q1-statement.pdf | Page 15 | 2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sap-2026-q2-statement.pdf | Page 20 | 1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sap-2025-q4-statement.pdf | Page 25 | 1</t>
        </r>
      </text>
    </comment>
    <comment ref="C21" authorId="0">
      <text>
        <r>
          <rPr>
            <sz val="9"/>
            <color rgb="FF000000"/>
            <rFont val="Arial"/>
            <family val="2"/>
          </rPr>
          <t>sap-2025-q3-statement.pdf | Page 23 | 2,790</t>
        </r>
      </text>
    </comment>
    <comment ref="D21" authorId="0">
      <text>
        <r>
          <rPr>
            <sz val="9"/>
            <color rgb="FF000000"/>
            <rFont val="Arial"/>
            <family val="2"/>
          </rPr>
          <t>sap-2025-q4-statement.pdf | Page 24 | 3,007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sap-2026-q1-statement.pdf | Page 15 | 2,953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sap-2026-q2-statement.pdf | Page 20 | 3,043</t>
        </r>
      </text>
    </comment>
    <comment ref="J21" authorId="0">
      <text>
        <r>
          <rPr>
            <sz val="9"/>
            <color rgb="FF000000"/>
            <rFont val="Arial"/>
            <family val="2"/>
          </rPr>
          <t>sap-2025-q3-statement.pdf | Page 23 | 2,574</t>
        </r>
      </text>
    </comment>
    <comment ref="K21" authorId="0">
      <text>
        <r>
          <rPr>
            <sz val="9"/>
            <color rgb="FF000000"/>
            <rFont val="Arial"/>
            <family val="2"/>
          </rPr>
          <t>sap-2025-q4-statement.pdf | Page 24 | 2,838</t>
        </r>
      </text>
    </comment>
    <comment ref="L21" authorId="0">
      <text>
        <r>
          <rPr>
            <sz val="9"/>
            <color rgb="FF000000"/>
            <rFont val="Arial"/>
            <family val="2"/>
          </rPr>
          <t>sap-2026-q1-statement.pdf | Page 15 | 2,654</t>
        </r>
      </text>
    </comment>
    <comment ref="M21" authorId="0">
      <text>
        <r>
          <rPr>
            <sz val="9"/>
            <color rgb="FF000000"/>
            <rFont val="Arial"/>
            <family val="2"/>
          </rPr>
          <t>sap-2026-q2-statement.pdf | Page 20 | 2,746</t>
        </r>
      </text>
    </comment>
    <comment ref="N21" authorId="0">
      <text>
        <r>
          <rPr>
            <sz val="9"/>
            <color rgb="FF000000"/>
            <rFont val="Arial"/>
            <family val="2"/>
          </rPr>
          <t>sap-2025-q4-statement.pdf | Page 25 | 10,216</t>
        </r>
      </text>
    </comment>
    <comment ref="C26" authorId="0">
      <text>
        <r>
          <rPr>
            <sz val="9"/>
            <color rgb="FF000000"/>
            <rFont val="Arial"/>
            <family val="2"/>
          </rPr>
          <t>sap-2025-q3-statement.pdf | Page 23 | 30</t>
        </r>
      </text>
    </comment>
    <comment ref="D26" authorId="0">
      <text>
        <r>
          <rPr>
            <sz val="9"/>
            <color rgb="FF000000"/>
            <rFont val="Arial"/>
            <family val="2"/>
          </rPr>
          <t>sap-2025-q4-statement.pdf | Page 24 | 57</t>
        </r>
      </text>
    </comment>
    <comment ref="E26" authorId="0">
      <text>
        <r>
          <rPr>
            <sz val="9"/>
            <color rgb="FF000000"/>
            <rFont val="Arial"/>
            <family val="2"/>
          </rPr>
          <t>sap-2026-q1-statement.pdf | Page 15 | 48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sap-2026-q2-statement.pdf | Page 20 | –2</t>
        </r>
      </text>
    </comment>
    <comment ref="G26" authorId="0">
      <text>
        <r>
          <rPr>
            <sz val="9"/>
            <color rgb="FF000000"/>
            <rFont val="Arial"/>
            <family val="2"/>
          </rPr>
          <t>sap-2025-q4-statement.pdf | Page 25 | 83</t>
        </r>
      </text>
    </comment>
    <comment ref="C36" authorId="0">
      <text>
        <r>
          <rPr>
            <sz val="9"/>
            <color rgb="FF000000"/>
            <rFont val="Arial"/>
            <family val="2"/>
          </rPr>
          <t>sap-2025-q3-statement.pdf | Page 23 | 31</t>
        </r>
      </text>
    </comment>
    <comment ref="D36" authorId="0">
      <text>
        <r>
          <rPr>
            <sz val="9"/>
            <color rgb="FF000000"/>
            <rFont val="Arial"/>
            <family val="2"/>
          </rPr>
          <t>sap-2025-q4-statement.pdf | Page 24 | 58</t>
        </r>
      </text>
    </comment>
    <comment ref="E36" authorId="0">
      <text>
        <r>
          <rPr>
            <sz val="9"/>
            <color rgb="FF000000"/>
            <rFont val="Arial"/>
            <family val="2"/>
          </rPr>
          <t>sap-2026-q1-statement.pdf | Page 15 | 50</t>
        </r>
      </text>
    </comment>
    <comment ref="F36" authorId="0">
      <text>
        <r>
          <rPr>
            <sz val="9"/>
            <color rgb="FF000000"/>
            <rFont val="Arial"/>
            <family val="2"/>
          </rPr>
          <t>sap-2026-q2-statement.pdf | Page 20 | –1</t>
        </r>
      </text>
    </comment>
    <comment ref="G36" authorId="0">
      <text>
        <r>
          <rPr>
            <sz val="9"/>
            <color rgb="FF000000"/>
            <rFont val="Arial"/>
            <family val="2"/>
          </rPr>
          <t>sap-2025-q4-statement.pdf | Page 25 | 83</t>
        </r>
      </text>
    </comment>
    <comment ref="C41" authorId="0">
      <text>
        <r>
          <rPr>
            <sz val="9"/>
            <color rgb="FF000000"/>
            <rFont val="Arial"/>
            <family val="2"/>
          </rPr>
          <t>sap-2025-q3-statement.pdf | Page 23 | 2,822</t>
        </r>
      </text>
    </comment>
    <comment ref="D41" authorId="0">
      <text>
        <r>
          <rPr>
            <sz val="9"/>
            <color rgb="FF000000"/>
            <rFont val="Arial"/>
            <family val="2"/>
          </rPr>
          <t>sap-2025-q4-statement.pdf | Page 24 | 2,934</t>
        </r>
      </text>
    </comment>
    <comment ref="E41" authorId="0">
      <text>
        <r>
          <rPr>
            <sz val="9"/>
            <color rgb="FF000000"/>
            <rFont val="Arial"/>
            <family val="2"/>
          </rPr>
          <t>sap-2026-q1-statement.pdf | Page 15 | 2,931</t>
        </r>
      </text>
    </comment>
    <comment ref="F41" authorId="0">
      <text>
        <r>
          <rPr>
            <sz val="9"/>
            <color rgb="FF000000"/>
            <rFont val="Arial"/>
            <family val="2"/>
          </rPr>
          <t>sap-2026-q2-statement.pdf | Page 20 | 3,037</t>
        </r>
      </text>
    </comment>
    <comment ref="J41" authorId="0">
      <text>
        <r>
          <rPr>
            <sz val="9"/>
            <color rgb="FF000000"/>
            <rFont val="Arial"/>
            <family val="2"/>
          </rPr>
          <t>sap-2025-q3-statement.pdf | Page 23 | 2,739</t>
        </r>
      </text>
    </comment>
    <comment ref="K41" authorId="0">
      <text>
        <r>
          <rPr>
            <sz val="9"/>
            <color rgb="FF000000"/>
            <rFont val="Arial"/>
            <family val="2"/>
          </rPr>
          <t>sap-2025-q4-statement.pdf | Page 24 | 2,947</t>
        </r>
      </text>
    </comment>
    <comment ref="L41" authorId="0">
      <text>
        <r>
          <rPr>
            <sz val="9"/>
            <color rgb="FF000000"/>
            <rFont val="Arial"/>
            <family val="2"/>
          </rPr>
          <t>sap-2026-q1-statement.pdf | Page 15 | 2,952</t>
        </r>
      </text>
    </comment>
    <comment ref="M41" authorId="0">
      <text>
        <r>
          <rPr>
            <sz val="9"/>
            <color rgb="FF000000"/>
            <rFont val="Arial"/>
            <family val="2"/>
          </rPr>
          <t>sap-2026-q2-statement.pdf | Page 20 | 2,829</t>
        </r>
      </text>
    </comment>
    <comment ref="N41" authorId="0">
      <text>
        <r>
          <rPr>
            <sz val="9"/>
            <color rgb="FF000000"/>
            <rFont val="Arial"/>
            <family val="2"/>
          </rPr>
          <t>sap-2025-q4-statement.pdf | Page 25 | 11,056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sap-2025-q3-statement.pdf | Page 23 | 170</t>
        </r>
      </text>
    </comment>
    <comment ref="D46" authorId="0">
      <text>
        <r>
          <rPr>
            <sz val="9"/>
            <color rgb="FF000000"/>
            <rFont val="Arial"/>
            <family val="2"/>
          </rPr>
          <t>sap-2025-q4-statement.pdf | Page 24 | 257</t>
        </r>
      </text>
    </comment>
    <comment ref="E46" authorId="0">
      <text>
        <r>
          <rPr>
            <sz val="9"/>
            <color rgb="FF000000"/>
            <rFont val="Arial"/>
            <family val="2"/>
          </rPr>
          <t>sap-2026-q1-statement.pdf | Page 15 | 312</t>
        </r>
      </text>
    </comment>
    <comment ref="F46" authorId="0">
      <text>
        <r>
          <rPr>
            <sz val="9"/>
            <color rgb="FF000000"/>
            <rFont val="Arial"/>
            <family val="2"/>
          </rPr>
          <t>sap-2026-q2-statement.pdf | Page 20 | 76</t>
        </r>
      </text>
    </comment>
    <comment ref="G46" authorId="0">
      <text>
        <r>
          <rPr>
            <sz val="9"/>
            <color rgb="FF000000"/>
            <rFont val="Arial"/>
            <family val="2"/>
          </rPr>
          <t>sap-2025-q4-statement.pdf | Page 25 | 486</t>
        </r>
      </text>
    </comment>
    <comment ref="C51" authorId="0">
      <text>
        <r>
          <rPr>
            <sz val="9"/>
            <color rgb="FF000000"/>
            <rFont val="Arial"/>
            <family val="2"/>
          </rPr>
          <t>sap-2025-q3-statement.pdf | Page 23 | 724</t>
        </r>
      </text>
    </comment>
    <comment ref="D51" authorId="0">
      <text>
        <r>
          <rPr>
            <sz val="9"/>
            <color rgb="FF000000"/>
            <rFont val="Arial"/>
            <family val="2"/>
          </rPr>
          <t>sap-2025-q4-statement.pdf | Page 24 | 801</t>
        </r>
      </text>
    </comment>
    <comment ref="E51" authorId="0">
      <text>
        <r>
          <rPr>
            <sz val="9"/>
            <color rgb="FF000000"/>
            <rFont val="Arial"/>
            <family val="2"/>
          </rPr>
          <t>sap-2026-q1-statement.pdf | Page 15 | 785</t>
        </r>
      </text>
    </comment>
    <comment ref="F51" authorId="0">
      <text>
        <r>
          <rPr>
            <sz val="9"/>
            <color rgb="FF000000"/>
            <rFont val="Arial"/>
            <family val="2"/>
          </rPr>
          <t>sap-2026-q2-statement.pdf | Page 20 | 844</t>
        </r>
      </text>
    </comment>
    <comment ref="J51" authorId="0">
      <text>
        <r>
          <rPr>
            <sz val="9"/>
            <color rgb="FF000000"/>
            <rFont val="Arial"/>
            <family val="2"/>
          </rPr>
          <t>sap-2025-q3-statement.pdf | Page 23 | 679</t>
        </r>
      </text>
    </comment>
    <comment ref="K51" authorId="0">
      <text>
        <r>
          <rPr>
            <sz val="9"/>
            <color rgb="FF000000"/>
            <rFont val="Arial"/>
            <family val="2"/>
          </rPr>
          <t>sap-2025-q4-statement.pdf | Page 24 | 714</t>
        </r>
      </text>
    </comment>
    <comment ref="L51" authorId="0">
      <text>
        <r>
          <rPr>
            <sz val="9"/>
            <color rgb="FF000000"/>
            <rFont val="Arial"/>
            <family val="2"/>
          </rPr>
          <t>sap-2026-q1-statement.pdf | Page 15 | 713</t>
        </r>
      </text>
    </comment>
    <comment ref="M51" authorId="0">
      <text>
        <r>
          <rPr>
            <sz val="9"/>
            <color rgb="FF000000"/>
            <rFont val="Arial"/>
            <family val="2"/>
          </rPr>
          <t>sap-2026-q2-statement.pdf | Page 20 | 725</t>
        </r>
      </text>
    </comment>
    <comment ref="N51" authorId="0">
      <text>
        <r>
          <rPr>
            <sz val="9"/>
            <color rgb="FF000000"/>
            <rFont val="Arial"/>
            <family val="2"/>
          </rPr>
          <t>sap-2025-q4-statement.pdf | Page 25 | 2,752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sap-2025-q3-statement.pdf | Page 23 | 53</t>
        </r>
      </text>
    </comment>
    <comment ref="D56" authorId="0">
      <text>
        <r>
          <rPr>
            <sz val="9"/>
            <color rgb="FF000000"/>
            <rFont val="Arial"/>
            <family val="2"/>
          </rPr>
          <t>sap-2025-q4-statement.pdf | Page 24 | 48</t>
        </r>
      </text>
    </comment>
    <comment ref="E56" authorId="0">
      <text>
        <r>
          <rPr>
            <sz val="9"/>
            <color rgb="FF000000"/>
            <rFont val="Arial"/>
            <family val="2"/>
          </rPr>
          <t>sap-2026-q1-statement.pdf | Page 15 | 46</t>
        </r>
      </text>
    </comment>
    <comment ref="F56" authorId="0">
      <text>
        <r>
          <rPr>
            <sz val="9"/>
            <color rgb="FF000000"/>
            <rFont val="Arial"/>
            <family val="2"/>
          </rPr>
          <t>sap-2026-q2-statement.pdf | Page 20 | –7</t>
        </r>
      </text>
    </comment>
    <comment ref="G56" authorId="0">
      <text>
        <r>
          <rPr>
            <sz val="9"/>
            <color rgb="FF000000"/>
            <rFont val="Arial"/>
            <family val="2"/>
          </rPr>
          <t>sap-2025-q4-statement.pdf | Page 25 | 182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sap-2025-q3-statement.pdf | Page 23 | 223</t>
        </r>
      </text>
    </comment>
    <comment ref="D67" authorId="0">
      <text>
        <r>
          <rPr>
            <sz val="9"/>
            <color rgb="FF000000"/>
            <rFont val="Arial"/>
            <family val="2"/>
          </rPr>
          <t>sap-2025-q4-statement.pdf | Page 24 | 305</t>
        </r>
      </text>
    </comment>
    <comment ref="E67" authorId="0">
      <text>
        <r>
          <rPr>
            <sz val="9"/>
            <color rgb="FF000000"/>
            <rFont val="Arial"/>
            <family val="2"/>
          </rPr>
          <t>sap-2026-q1-statement.pdf | Page 15 | 358</t>
        </r>
      </text>
    </comment>
    <comment ref="F67" authorId="0">
      <text>
        <r>
          <rPr>
            <sz val="9"/>
            <color rgb="FF000000"/>
            <rFont val="Arial"/>
            <family val="2"/>
          </rPr>
          <t>sap-2026-q2-statement.pdf | Page 20 | 69</t>
        </r>
      </text>
    </comment>
    <comment ref="G67" authorId="0">
      <text>
        <r>
          <rPr>
            <sz val="9"/>
            <color rgb="FF000000"/>
            <rFont val="Arial"/>
            <family val="2"/>
          </rPr>
          <t>sap-2025-q4-statement.pdf | Page 25 | 669</t>
        </r>
      </text>
    </comment>
    <comment ref="C72" authorId="0">
      <text>
        <r>
          <rPr>
            <sz val="9"/>
            <color rgb="FF000000"/>
            <rFont val="Arial"/>
            <family val="2"/>
          </rPr>
          <t>sap-2025-q3-statement.pdf | Page 23 | 387</t>
        </r>
      </text>
    </comment>
    <comment ref="D72" authorId="0">
      <text>
        <r>
          <rPr>
            <sz val="9"/>
            <color rgb="FF000000"/>
            <rFont val="Arial"/>
            <family val="2"/>
          </rPr>
          <t>sap-2025-q4-statement.pdf | Page 24 | 393</t>
        </r>
      </text>
    </comment>
    <comment ref="E72" authorId="0">
      <text>
        <r>
          <rPr>
            <sz val="9"/>
            <color rgb="FF000000"/>
            <rFont val="Arial"/>
            <family val="2"/>
          </rPr>
          <t>sap-2026-q1-statement.pdf | Page 15 | 388</t>
        </r>
      </text>
    </comment>
    <comment ref="F72" authorId="0">
      <text>
        <r>
          <rPr>
            <sz val="9"/>
            <color rgb="FF000000"/>
            <rFont val="Arial"/>
            <family val="2"/>
          </rPr>
          <t>sap-2026-q2-statement.pdf | Page 20 | 384</t>
        </r>
      </text>
    </comment>
    <comment ref="J72" authorId="0">
      <text>
        <r>
          <rPr>
            <sz val="9"/>
            <color rgb="FF000000"/>
            <rFont val="Arial"/>
            <family val="2"/>
          </rPr>
          <t>sap-2025-q3-statement.pdf | Page 23 | 357</t>
        </r>
      </text>
    </comment>
    <comment ref="K72" authorId="0">
      <text>
        <r>
          <rPr>
            <sz val="9"/>
            <color rgb="FF000000"/>
            <rFont val="Arial"/>
            <family val="2"/>
          </rPr>
          <t>sap-2025-q4-statement.pdf | Page 24 | 370</t>
        </r>
      </text>
    </comment>
    <comment ref="L72" authorId="0">
      <text>
        <r>
          <rPr>
            <sz val="9"/>
            <color rgb="FF000000"/>
            <rFont val="Arial"/>
            <family val="2"/>
          </rPr>
          <t>sap-2026-q1-statement.pdf | Page 15 | 397</t>
        </r>
      </text>
    </comment>
    <comment ref="M72" authorId="0">
      <text>
        <r>
          <rPr>
            <sz val="9"/>
            <color rgb="FF000000"/>
            <rFont val="Arial"/>
            <family val="2"/>
          </rPr>
          <t>sap-2026-q2-statement.pdf | Page 20 | 392</t>
        </r>
      </text>
    </comment>
    <comment ref="N72" authorId="0">
      <text>
        <r>
          <rPr>
            <sz val="9"/>
            <color rgb="FF000000"/>
            <rFont val="Arial"/>
            <family val="2"/>
          </rPr>
          <t>sap-2025-q4-statement.pdf | Page 25 | 1,388</t>
        </r>
      </text>
    </comment>
    <comment ref="C77" authorId="0">
      <text>
        <r>
          <rPr>
            <sz val="9"/>
            <color rgb="FF000000"/>
            <rFont val="Arial"/>
            <family val="2"/>
          </rPr>
          <t>sap-2025-q3-statement.pdf | Page 23 | 20</t>
        </r>
      </text>
    </comment>
    <comment ref="D77" authorId="0">
      <text>
        <r>
          <rPr>
            <sz val="9"/>
            <color rgb="FF000000"/>
            <rFont val="Arial"/>
            <family val="2"/>
          </rPr>
          <t>sap-2025-q4-statement.pdf | Page 24 | 39</t>
        </r>
      </text>
    </comment>
    <comment ref="E77" authorId="0">
      <text>
        <r>
          <rPr>
            <sz val="9"/>
            <color rgb="FF000000"/>
            <rFont val="Arial"/>
            <family val="2"/>
          </rPr>
          <t>sap-2026-q1-statement.pdf | Page 15 | 54</t>
        </r>
      </text>
    </comment>
    <comment ref="F77" authorId="0">
      <text>
        <r>
          <rPr>
            <sz val="9"/>
            <color rgb="FF000000"/>
            <rFont val="Arial"/>
            <family val="2"/>
          </rPr>
          <t>sap-2026-q2-statement.pdf | Page 20 | 47</t>
        </r>
      </text>
    </comment>
    <comment ref="G77" authorId="0">
      <text>
        <r>
          <rPr>
            <sz val="9"/>
            <color rgb="FF000000"/>
            <rFont val="Arial"/>
            <family val="2"/>
          </rPr>
          <t>sap-2025-q4-statement.pdf | Page 25 | 50</t>
        </r>
      </text>
    </comment>
    <comment ref="C82" authorId="0">
      <text>
        <r>
          <rPr>
            <sz val="9"/>
            <color rgb="FF000000"/>
            <rFont val="Arial"/>
            <family val="2"/>
          </rPr>
          <t>sap-2025-q3-statement.pdf | Page 23 | 898</t>
        </r>
      </text>
    </comment>
    <comment ref="D82" authorId="0">
      <text>
        <r>
          <rPr>
            <sz val="9"/>
            <color rgb="FF000000"/>
            <rFont val="Arial"/>
            <family val="2"/>
          </rPr>
          <t>sap-2025-q4-statement.pdf | Page 24 | 968</t>
        </r>
      </text>
    </comment>
    <comment ref="E82" authorId="0">
      <text>
        <r>
          <rPr>
            <sz val="9"/>
            <color rgb="FF000000"/>
            <rFont val="Arial"/>
            <family val="2"/>
          </rPr>
          <t>sap-2026-q1-statement.pdf | Page 15 | 971</t>
        </r>
      </text>
    </comment>
    <comment ref="F82" authorId="0">
      <text>
        <r>
          <rPr>
            <sz val="9"/>
            <color rgb="FF000000"/>
            <rFont val="Arial"/>
            <family val="2"/>
          </rPr>
          <t>sap-2026-q2-statement.pdf | Page 20 | 1,009</t>
        </r>
      </text>
    </comment>
    <comment ref="J82" authorId="0">
      <text>
        <r>
          <rPr>
            <sz val="9"/>
            <color rgb="FF000000"/>
            <rFont val="Arial"/>
            <family val="2"/>
          </rPr>
          <t>sap-2025-q3-statement.pdf | Page 23 | 839</t>
        </r>
      </text>
    </comment>
    <comment ref="K82" authorId="0">
      <text>
        <r>
          <rPr>
            <sz val="9"/>
            <color rgb="FF000000"/>
            <rFont val="Arial"/>
            <family val="2"/>
          </rPr>
          <t>sap-2025-q4-statement.pdf | Page 24 | 950</t>
        </r>
      </text>
    </comment>
    <comment ref="L82" authorId="0">
      <text>
        <r>
          <rPr>
            <sz val="9"/>
            <color rgb="FF000000"/>
            <rFont val="Arial"/>
            <family val="2"/>
          </rPr>
          <t>sap-2026-q1-statement.pdf | Page 15 | 918</t>
        </r>
      </text>
    </comment>
    <comment ref="M82" authorId="0">
      <text>
        <r>
          <rPr>
            <sz val="9"/>
            <color rgb="FF000000"/>
            <rFont val="Arial"/>
            <family val="2"/>
          </rPr>
          <t>sap-2026-q2-statement.pdf | Page 20 | 923</t>
        </r>
      </text>
    </comment>
    <comment ref="N82" authorId="0">
      <text>
        <r>
          <rPr>
            <sz val="9"/>
            <color rgb="FF000000"/>
            <rFont val="Arial"/>
            <family val="2"/>
          </rPr>
          <t>sap-2025-q4-statement.pdf | Page 25 | 3,404</t>
        </r>
      </text>
    </comment>
    <comment ref="C87" authorId="0">
      <text>
        <r>
          <rPr>
            <sz val="9"/>
            <color rgb="FF000000"/>
            <rFont val="Arial"/>
            <family val="2"/>
          </rPr>
          <t>sap-2025-q3-statement.pdf | Page 23 | 62</t>
        </r>
      </text>
    </comment>
    <comment ref="D87" authorId="0">
      <text>
        <r>
          <rPr>
            <sz val="9"/>
            <color rgb="FF000000"/>
            <rFont val="Arial"/>
            <family val="2"/>
          </rPr>
          <t>sap-2025-q4-statement.pdf | Page 24 | 92</t>
        </r>
      </text>
    </comment>
    <comment ref="E87" authorId="0">
      <text>
        <r>
          <rPr>
            <sz val="9"/>
            <color rgb="FF000000"/>
            <rFont val="Arial"/>
            <family val="2"/>
          </rPr>
          <t>sap-2026-q1-statement.pdf | Page 15 | 79</t>
        </r>
      </text>
    </comment>
    <comment ref="F87" authorId="0">
      <text>
        <r>
          <rPr>
            <sz val="9"/>
            <color rgb="FF000000"/>
            <rFont val="Arial"/>
            <family val="2"/>
          </rPr>
          <t>sap-2026-q2-statement.pdf | Page 20 | 26</t>
        </r>
      </text>
    </comment>
    <comment ref="G87" authorId="0">
      <text>
        <r>
          <rPr>
            <sz val="9"/>
            <color rgb="FF000000"/>
            <rFont val="Arial"/>
            <family val="2"/>
          </rPr>
          <t>sap-2025-q4-statement.pdf | Page 25 | 202</t>
        </r>
      </text>
    </comment>
    <comment ref="C98" authorId="0">
      <text>
        <r>
          <rPr>
            <sz val="9"/>
            <color rgb="FF000000"/>
            <rFont val="Arial"/>
            <family val="2"/>
          </rPr>
          <t>sap-2025-q3-statement.pdf | Page 23 | 83</t>
        </r>
      </text>
    </comment>
    <comment ref="D98" authorId="0">
      <text>
        <r>
          <rPr>
            <sz val="9"/>
            <color rgb="FF000000"/>
            <rFont val="Arial"/>
            <family val="2"/>
          </rPr>
          <t>sap-2025-q4-statement.pdf | Page 24 | 132</t>
        </r>
      </text>
    </comment>
    <comment ref="E98" authorId="0">
      <text>
        <r>
          <rPr>
            <sz val="9"/>
            <color rgb="FF000000"/>
            <rFont val="Arial"/>
            <family val="2"/>
          </rPr>
          <t>sap-2026-q1-statement.pdf | Page 15 | 133</t>
        </r>
      </text>
    </comment>
    <comment ref="F98" authorId="0">
      <text>
        <r>
          <rPr>
            <sz val="9"/>
            <color rgb="FF000000"/>
            <rFont val="Arial"/>
            <family val="2"/>
          </rPr>
          <t>sap-2026-q2-statement.pdf | Page 20 | 73</t>
        </r>
      </text>
    </comment>
    <comment ref="G98" authorId="0">
      <text>
        <r>
          <rPr>
            <sz val="9"/>
            <color rgb="FF000000"/>
            <rFont val="Arial"/>
            <family val="2"/>
          </rPr>
          <t>sap-2025-q4-statement.pdf | Page 25 | 252</t>
        </r>
      </text>
    </comment>
    <comment ref="C108" authorId="0">
      <text>
        <r>
          <rPr>
            <sz val="9"/>
            <color rgb="FF000000"/>
            <rFont val="Arial"/>
            <family val="2"/>
          </rPr>
          <t>sap-2025-q3-statement.pdf | Page 23 | 2,271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sap-2025-q4-statement.pdf | Page 24 | 2,410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sap-2026-q1-statement.pdf | Page 15 | 2,584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sap-2026-q2-statement.pdf | Page 20 | 2,737</t>
        </r>
      </text>
    </comment>
    <comment ref="J108" authorId="0">
      <text>
        <r>
          <rPr>
            <sz val="9"/>
            <color rgb="FF000000"/>
            <rFont val="Arial"/>
            <family val="2"/>
          </rPr>
          <t>sap-2025-q3-statement.pdf | Page 23 | 1,742</t>
        </r>
      </text>
    </comment>
    <comment ref="K108" authorId="0">
      <text>
        <r>
          <rPr>
            <sz val="9"/>
            <color rgb="FF000000"/>
            <rFont val="Arial"/>
            <family val="2"/>
          </rPr>
          <t>sap-2025-q4-statement.pdf | Page 24 | 1,920</t>
        </r>
      </text>
    </comment>
    <comment ref="L108" authorId="0">
      <text>
        <r>
          <rPr>
            <sz val="9"/>
            <color rgb="FF000000"/>
            <rFont val="Arial"/>
            <family val="2"/>
          </rPr>
          <t>sap-2026-q1-statement.pdf | Page 15 | 2,032</t>
        </r>
      </text>
    </comment>
    <comment ref="M108" authorId="0">
      <text>
        <r>
          <rPr>
            <sz val="9"/>
            <color rgb="FF000000"/>
            <rFont val="Arial"/>
            <family val="2"/>
          </rPr>
          <t>sap-2026-q2-statement.pdf | Page 20 | 2,163</t>
        </r>
      </text>
    </comment>
    <comment ref="N108" authorId="0">
      <text>
        <r>
          <rPr>
            <sz val="9"/>
            <color rgb="FF000000"/>
            <rFont val="Arial"/>
            <family val="2"/>
          </rPr>
          <t>sap-2025-q4-statement.pdf | Page 25 | 6,892</t>
        </r>
      </text>
    </comment>
    <comment ref="C113" authorId="0">
      <text>
        <r>
          <rPr>
            <sz val="9"/>
            <color rgb="FF000000"/>
            <rFont val="Arial"/>
            <family val="2"/>
          </rPr>
          <t>sap-2025-q3-statement.pdf | Page 23 | 24</t>
        </r>
      </text>
    </comment>
    <comment ref="D113" authorId="0">
      <text>
        <r>
          <rPr>
            <sz val="9"/>
            <color rgb="FF000000"/>
            <rFont val="Arial"/>
            <family val="2"/>
          </rPr>
          <t>sap-2025-q4-statement.pdf | Page 24 | 41</t>
        </r>
      </text>
    </comment>
    <comment ref="E113" authorId="0">
      <text>
        <r>
          <rPr>
            <sz val="9"/>
            <color rgb="FF000000"/>
            <rFont val="Arial"/>
            <family val="2"/>
          </rPr>
          <t>sap-2026-q1-statement.pdf | Page 15 | 41</t>
        </r>
      </text>
    </comment>
    <comment ref="F113" authorId="0">
      <text>
        <r>
          <rPr>
            <sz val="9"/>
            <color rgb="FF000000"/>
            <rFont val="Arial"/>
            <family val="2"/>
          </rPr>
          <t>sap-2026-q2-statement.pdf | Page 20 | 3</t>
        </r>
      </text>
    </comment>
    <comment ref="G113" authorId="0">
      <text>
        <r>
          <rPr>
            <sz val="9"/>
            <color rgb="FF000000"/>
            <rFont val="Arial"/>
            <family val="2"/>
          </rPr>
          <t>sap-2025-q4-statement.pdf | Page 25 | 62</t>
        </r>
      </text>
    </comment>
    <comment ref="C118" authorId="0">
      <text>
        <r>
          <rPr>
            <sz val="9"/>
            <color rgb="FF000000"/>
            <rFont val="Arial"/>
            <family val="2"/>
          </rPr>
          <t>sap-2025-q3-statement.pdf | Page 23 | 2,247</t>
        </r>
      </text>
    </comment>
    <comment ref="D118" authorId="0">
      <text>
        <r>
          <rPr>
            <sz val="9"/>
            <color rgb="FF000000"/>
            <rFont val="Arial"/>
            <family val="2"/>
          </rPr>
          <t>sap-2025-q4-statement.pdf | Page 24 | 2,383</t>
        </r>
      </text>
    </comment>
    <comment ref="E118" authorId="0">
      <text>
        <r>
          <rPr>
            <sz val="9"/>
            <color rgb="FF000000"/>
            <rFont val="Arial"/>
            <family val="2"/>
          </rPr>
          <t>sap-2026-q1-statement.pdf | Page 15 | 2,516</t>
        </r>
      </text>
    </comment>
    <comment ref="F118" authorId="0">
      <text>
        <r>
          <rPr>
            <sz val="9"/>
            <color rgb="FF000000"/>
            <rFont val="Arial"/>
            <family val="2"/>
          </rPr>
          <t>sap-2026-q2-statement.pdf | Page 20 | 2,631</t>
        </r>
      </text>
    </comment>
    <comment ref="J118" authorId="0">
      <text>
        <r>
          <rPr>
            <sz val="9"/>
            <color rgb="FF000000"/>
            <rFont val="Arial"/>
            <family val="2"/>
          </rPr>
          <t>sap-2025-q3-statement.pdf | Page 23 | 1,989</t>
        </r>
      </text>
    </comment>
    <comment ref="K118" authorId="0">
      <text>
        <r>
          <rPr>
            <sz val="9"/>
            <color rgb="FF000000"/>
            <rFont val="Arial"/>
            <family val="2"/>
          </rPr>
          <t>sap-2025-q4-statement.pdf | Page 24 | 2,121</t>
        </r>
      </text>
    </comment>
    <comment ref="L118" authorId="0">
      <text>
        <r>
          <rPr>
            <sz val="9"/>
            <color rgb="FF000000"/>
            <rFont val="Arial"/>
            <family val="2"/>
          </rPr>
          <t>sap-2026-q1-statement.pdf | Page 15 | 2,231</t>
        </r>
      </text>
    </comment>
    <comment ref="M118" authorId="0">
      <text>
        <r>
          <rPr>
            <sz val="9"/>
            <color rgb="FF000000"/>
            <rFont val="Arial"/>
            <family val="2"/>
          </rPr>
          <t>sap-2026-q2-statement.pdf | Page 20 | 2,215</t>
        </r>
      </text>
    </comment>
    <comment ref="N118" authorId="0">
      <text>
        <r>
          <rPr>
            <sz val="9"/>
            <color rgb="FF000000"/>
            <rFont val="Arial"/>
            <family val="2"/>
          </rPr>
          <t>sap-2025-q4-statement.pdf | Page 25 | 7,872</t>
        </r>
      </text>
    </comment>
    <comment ref="C123" authorId="0">
      <text>
        <r>
          <rPr>
            <sz val="9"/>
            <color rgb="FF000000"/>
            <rFont val="Arial"/>
            <family val="2"/>
          </rPr>
          <t>sap-2025-q3-statement.pdf | Page 23 | 140</t>
        </r>
      </text>
    </comment>
    <comment ref="D123" authorId="0">
      <text>
        <r>
          <rPr>
            <sz val="9"/>
            <color rgb="FF000000"/>
            <rFont val="Arial"/>
            <family val="2"/>
          </rPr>
          <t>sap-2025-q4-statement.pdf | Page 24 | 192</t>
        </r>
      </text>
    </comment>
    <comment ref="E123" authorId="0">
      <text>
        <r>
          <rPr>
            <sz val="9"/>
            <color rgb="FF000000"/>
            <rFont val="Arial"/>
            <family val="2"/>
          </rPr>
          <t>sap-2026-q1-statement.pdf | Page 15 | 238</t>
        </r>
      </text>
    </comment>
    <comment ref="F123" authorId="0">
      <text>
        <r>
          <rPr>
            <sz val="9"/>
            <color rgb="FF000000"/>
            <rFont val="Arial"/>
            <family val="2"/>
          </rPr>
          <t>sap-2026-q2-statement.pdf | Page 20 | 46</t>
        </r>
      </text>
    </comment>
    <comment ref="G123" authorId="0">
      <text>
        <r>
          <rPr>
            <sz val="9"/>
            <color rgb="FF000000"/>
            <rFont val="Arial"/>
            <family val="2"/>
          </rPr>
          <t>sap-2025-q4-statement.pdf | Page 25 | 422</t>
        </r>
      </text>
    </comment>
    <comment ref="C128" authorId="0">
      <text>
        <r>
          <rPr>
            <sz val="9"/>
            <color rgb="FF000000"/>
            <rFont val="Arial"/>
            <family val="2"/>
          </rPr>
          <t>sap-2025-q3-statement.pdf | Page 23 | 772</t>
        </r>
      </text>
    </comment>
    <comment ref="D128" authorId="0">
      <text>
        <r>
          <rPr>
            <sz val="9"/>
            <color rgb="FF000000"/>
            <rFont val="Arial"/>
            <family val="2"/>
          </rPr>
          <t>sap-2025-q4-statement.pdf | Page 24 | 817</t>
        </r>
      </text>
    </comment>
    <comment ref="E128" authorId="0">
      <text>
        <r>
          <rPr>
            <sz val="9"/>
            <color rgb="FF000000"/>
            <rFont val="Arial"/>
            <family val="2"/>
          </rPr>
          <t>sap-2026-q1-statement.pdf | Page 15 | 862</t>
        </r>
      </text>
    </comment>
    <comment ref="F128" authorId="0">
      <text>
        <r>
          <rPr>
            <sz val="9"/>
            <color rgb="FF000000"/>
            <rFont val="Arial"/>
            <family val="2"/>
          </rPr>
          <t>sap-2026-q2-statement.pdf | Page 20 | 913</t>
        </r>
      </text>
    </comment>
    <comment ref="J128" authorId="0">
      <text>
        <r>
          <rPr>
            <sz val="9"/>
            <color rgb="FF000000"/>
            <rFont val="Arial"/>
            <family val="2"/>
          </rPr>
          <t>sap-2025-q3-statement.pdf | Page 23 | 620</t>
        </r>
      </text>
    </comment>
    <comment ref="K128" authorId="0">
      <text>
        <r>
          <rPr>
            <sz val="9"/>
            <color rgb="FF000000"/>
            <rFont val="Arial"/>
            <family val="2"/>
          </rPr>
          <t>sap-2025-q4-statement.pdf | Page 24 | 667</t>
        </r>
      </text>
    </comment>
    <comment ref="L128" authorId="0">
      <text>
        <r>
          <rPr>
            <sz val="9"/>
            <color rgb="FF000000"/>
            <rFont val="Arial"/>
            <family val="2"/>
          </rPr>
          <t>sap-2026-q1-statement.pdf | Page 15 | 731</t>
        </r>
      </text>
    </comment>
    <comment ref="M128" authorId="0">
      <text>
        <r>
          <rPr>
            <sz val="9"/>
            <color rgb="FF000000"/>
            <rFont val="Arial"/>
            <family val="2"/>
          </rPr>
          <t>sap-2026-q2-statement.pdf | Page 20 | 753</t>
        </r>
      </text>
    </comment>
    <comment ref="N128" authorId="0">
      <text>
        <r>
          <rPr>
            <sz val="9"/>
            <color rgb="FF000000"/>
            <rFont val="Arial"/>
            <family val="2"/>
          </rPr>
          <t>sap-2025-q4-statement.pdf | Page 25 | 2,377</t>
        </r>
      </text>
    </comment>
    <comment ref="C133" authorId="0">
      <text>
        <r>
          <rPr>
            <sz val="9"/>
            <color rgb="FF000000"/>
            <rFont val="Arial"/>
            <family val="2"/>
          </rPr>
          <t>sap-2025-q3-statement.pdf | Page 23 | 51</t>
        </r>
      </text>
    </comment>
    <comment ref="D133" authorId="0">
      <text>
        <r>
          <rPr>
            <sz val="9"/>
            <color rgb="FF000000"/>
            <rFont val="Arial"/>
            <family val="2"/>
          </rPr>
          <t>sap-2025-q4-statement.pdf | Page 24 | 80</t>
        </r>
      </text>
    </comment>
    <comment ref="E133" authorId="0">
      <text>
        <r>
          <rPr>
            <sz val="9"/>
            <color rgb="FF000000"/>
            <rFont val="Arial"/>
            <family val="2"/>
          </rPr>
          <t>sap-2026-q1-statement.pdf | Page 15 | 85</t>
        </r>
      </text>
    </comment>
    <comment ref="F133" authorId="0">
      <text>
        <r>
          <rPr>
            <sz val="9"/>
            <color rgb="FF000000"/>
            <rFont val="Arial"/>
            <family val="2"/>
          </rPr>
          <t>sap-2026-q2-statement.pdf | Page 20 | 50</t>
        </r>
      </text>
    </comment>
    <comment ref="G133" authorId="0">
      <text>
        <r>
          <rPr>
            <sz val="9"/>
            <color rgb="FF000000"/>
            <rFont val="Arial"/>
            <family val="2"/>
          </rPr>
          <t>sap-2025-q4-statement.pdf | Page 25 | 153</t>
        </r>
      </text>
    </comment>
    <comment ref="C143" authorId="0">
      <text>
        <r>
          <rPr>
            <sz val="9"/>
            <color rgb="FF000000"/>
            <rFont val="Arial"/>
            <family val="2"/>
          </rPr>
          <t>sap-2025-q3-statement.pdf | Page 23 | 3,750</t>
        </r>
      </text>
    </comment>
    <comment ref="D143" authorId="0">
      <text>
        <r>
          <rPr>
            <sz val="9"/>
            <color rgb="FF000000"/>
            <rFont val="Arial"/>
            <family val="2"/>
          </rPr>
          <t>sap-2025-q4-statement.pdf | Page 24 | 4,055</t>
        </r>
      </text>
    </comment>
    <comment ref="E143" authorId="0">
      <text>
        <r>
          <rPr>
            <sz val="9"/>
            <color rgb="FF000000"/>
            <rFont val="Arial"/>
            <family val="2"/>
          </rPr>
          <t>sap-2026-q1-statement.pdf | Page 15 | 3,991</t>
        </r>
      </text>
    </comment>
    <comment ref="F143" authorId="0">
      <text>
        <r>
          <rPr>
            <sz val="9"/>
            <color rgb="FF000000"/>
            <rFont val="Arial"/>
            <family val="2"/>
          </rPr>
          <t>sap-2026-q2-statement.pdf | Page 20 | 4,128</t>
        </r>
      </text>
    </comment>
    <comment ref="J143" authorId="0">
      <text>
        <r>
          <rPr>
            <sz val="9"/>
            <color rgb="FF000000"/>
            <rFont val="Arial"/>
            <family val="2"/>
          </rPr>
          <t>sap-2025-q3-statement.pdf | Page 23 | 3,370</t>
        </r>
      </text>
    </comment>
    <comment ref="K143" authorId="0">
      <text>
        <r>
          <rPr>
            <sz val="9"/>
            <color rgb="FF000000"/>
            <rFont val="Arial"/>
            <family val="2"/>
          </rPr>
          <t>sap-2025-q4-statement.pdf | Page 24 | 3,840</t>
        </r>
      </text>
    </comment>
    <comment ref="L143" authorId="0">
      <text>
        <r>
          <rPr>
            <sz val="9"/>
            <color rgb="FF000000"/>
            <rFont val="Arial"/>
            <family val="2"/>
          </rPr>
          <t>sap-2026-q1-statement.pdf | Page 15 | 3,538</t>
        </r>
      </text>
    </comment>
    <comment ref="M143" authorId="0">
      <text>
        <r>
          <rPr>
            <sz val="9"/>
            <color rgb="FF000000"/>
            <rFont val="Arial"/>
            <family val="2"/>
          </rPr>
          <t>sap-2026-q2-statement.pdf | Page 20 | 3,669</t>
        </r>
      </text>
    </comment>
    <comment ref="N143" authorId="0">
      <text>
        <r>
          <rPr>
            <sz val="9"/>
            <color rgb="FF000000"/>
            <rFont val="Arial"/>
            <family val="2"/>
          </rPr>
          <t>sap-2025-q4-statement.pdf | Page 25 | 13,534</t>
        </r>
      </text>
    </comment>
    <comment ref="C148" authorId="0">
      <text>
        <r>
          <rPr>
            <sz val="9"/>
            <color rgb="FF000000"/>
            <rFont val="Arial"/>
            <family val="2"/>
          </rPr>
          <t>sap-2025-q3-statement.pdf | Page 23 | 27</t>
        </r>
      </text>
    </comment>
    <comment ref="D148" authorId="0">
      <text>
        <r>
          <rPr>
            <sz val="9"/>
            <color rgb="FF000000"/>
            <rFont val="Arial"/>
            <family val="2"/>
          </rPr>
          <t>sap-2025-q4-statement.pdf | Page 24 | 52</t>
        </r>
      </text>
    </comment>
    <comment ref="E148" authorId="0">
      <text>
        <r>
          <rPr>
            <sz val="9"/>
            <color rgb="FF000000"/>
            <rFont val="Arial"/>
            <family val="2"/>
          </rPr>
          <t>sap-2026-q1-statement.pdf | Page 15 | 45</t>
        </r>
      </text>
    </comment>
    <comment ref="F148" authorId="0">
      <text>
        <r>
          <rPr>
            <sz val="9"/>
            <color rgb="FF000000"/>
            <rFont val="Arial"/>
            <family val="2"/>
          </rPr>
          <t>sap-2026-q2-statement.pdf | Page 20 | 0</t>
        </r>
      </text>
    </comment>
    <comment ref="G148" authorId="0">
      <text>
        <r>
          <rPr>
            <sz val="9"/>
            <color rgb="FF000000"/>
            <rFont val="Arial"/>
            <family val="2"/>
          </rPr>
          <t>sap-2025-q4-statement.pdf | Page 25 | 75</t>
        </r>
      </text>
    </comment>
    <comment ref="C153" authorId="0">
      <text>
        <r>
          <rPr>
            <sz val="9"/>
            <color rgb="FF000000"/>
            <rFont val="Arial"/>
            <family val="2"/>
          </rPr>
          <t>sap-2025-q3-statement.pdf | Page 23 | 3,102</t>
        </r>
      </text>
    </comment>
    <comment ref="D153" authorId="0">
      <text>
        <r>
          <rPr>
            <sz val="9"/>
            <color rgb="FF000000"/>
            <rFont val="Arial"/>
            <family val="2"/>
          </rPr>
          <t>sap-2025-q4-statement.pdf | Page 24 | 3,327</t>
        </r>
      </text>
    </comment>
    <comment ref="E153" authorId="0">
      <text>
        <r>
          <rPr>
            <sz val="9"/>
            <color rgb="FF000000"/>
            <rFont val="Arial"/>
            <family val="2"/>
          </rPr>
          <t>sap-2026-q1-statement.pdf | Page 15 | 3,312</t>
        </r>
      </text>
    </comment>
    <comment ref="F153" authorId="0">
      <text>
        <r>
          <rPr>
            <sz val="9"/>
            <color rgb="FF000000"/>
            <rFont val="Arial"/>
            <family val="2"/>
          </rPr>
          <t>sap-2026-q2-statement.pdf | Page 20 | 3,453</t>
        </r>
      </text>
    </comment>
    <comment ref="J153" authorId="0">
      <text>
        <r>
          <rPr>
            <sz val="9"/>
            <color rgb="FF000000"/>
            <rFont val="Arial"/>
            <family val="2"/>
          </rPr>
          <t>sap-2025-q3-statement.pdf | Page 23 | 2,982</t>
        </r>
      </text>
    </comment>
    <comment ref="K153" authorId="0">
      <text>
        <r>
          <rPr>
            <sz val="9"/>
            <color rgb="FF000000"/>
            <rFont val="Arial"/>
            <family val="2"/>
          </rPr>
          <t>sap-2025-q4-statement.pdf | Page 24 | 3,230</t>
        </r>
      </text>
    </comment>
    <comment ref="L153" authorId="0">
      <text>
        <r>
          <rPr>
            <sz val="9"/>
            <color rgb="FF000000"/>
            <rFont val="Arial"/>
            <family val="2"/>
          </rPr>
          <t>sap-2026-q1-statement.pdf | Page 15 | 3,209</t>
        </r>
      </text>
    </comment>
    <comment ref="M153" authorId="0">
      <text>
        <r>
          <rPr>
            <sz val="9"/>
            <color rgb="FF000000"/>
            <rFont val="Arial"/>
            <family val="2"/>
          </rPr>
          <t>sap-2026-q2-statement.pdf | Page 20 | 3,106</t>
        </r>
      </text>
    </comment>
    <comment ref="N153" authorId="0">
      <text>
        <r>
          <rPr>
            <sz val="9"/>
            <color rgb="FF000000"/>
            <rFont val="Arial"/>
            <family val="2"/>
          </rPr>
          <t>sap-2025-q4-statement.pdf | Page 25 | 11,987</t>
        </r>
      </text>
    </comment>
    <comment ref="C158" authorId="0">
      <text>
        <r>
          <rPr>
            <sz val="9"/>
            <color rgb="FF000000"/>
            <rFont val="Arial"/>
            <family val="2"/>
          </rPr>
          <t>sap-2025-q3-statement.pdf | Page 23 | 195</t>
        </r>
      </text>
    </comment>
    <comment ref="D158" authorId="0">
      <text>
        <r>
          <rPr>
            <sz val="9"/>
            <color rgb="FF000000"/>
            <rFont val="Arial"/>
            <family val="2"/>
          </rPr>
          <t>sap-2025-q4-statement.pdf | Page 24 | 273</t>
        </r>
      </text>
    </comment>
    <comment ref="E158" authorId="0">
      <text>
        <r>
          <rPr>
            <sz val="9"/>
            <color rgb="FF000000"/>
            <rFont val="Arial"/>
            <family val="2"/>
          </rPr>
          <t>sap-2026-q1-statement.pdf | Page 15 | 318</t>
        </r>
      </text>
    </comment>
    <comment ref="F158" authorId="0">
      <text>
        <r>
          <rPr>
            <sz val="9"/>
            <color rgb="FF000000"/>
            <rFont val="Arial"/>
            <family val="2"/>
          </rPr>
          <t>sap-2026-q2-statement.pdf | Page 20 | 61</t>
        </r>
      </text>
    </comment>
    <comment ref="G158" authorId="0">
      <text>
        <r>
          <rPr>
            <sz val="9"/>
            <color rgb="FF000000"/>
            <rFont val="Arial"/>
            <family val="2"/>
          </rPr>
          <t>sap-2025-q4-statement.pdf | Page 25 | 592</t>
        </r>
      </text>
    </comment>
    <comment ref="C163" authorId="0">
      <text>
        <r>
          <rPr>
            <sz val="9"/>
            <color rgb="FF000000"/>
            <rFont val="Arial"/>
            <family val="2"/>
          </rPr>
          <t>sap-2025-q3-statement.pdf | Page 23 | 1,164</t>
        </r>
      </text>
    </comment>
    <comment ref="D163" authorId="0">
      <text>
        <r>
          <rPr>
            <sz val="9"/>
            <color rgb="FF000000"/>
            <rFont val="Arial"/>
            <family val="2"/>
          </rPr>
          <t>sap-2025-q4-statement.pdf | Page 24 | 1,236</t>
        </r>
      </text>
    </comment>
    <comment ref="E163" authorId="0">
      <text>
        <r>
          <rPr>
            <sz val="9"/>
            <color rgb="FF000000"/>
            <rFont val="Arial"/>
            <family val="2"/>
          </rPr>
          <t>sap-2026-q1-statement.pdf | Page 15 | 1,245</t>
        </r>
      </text>
    </comment>
    <comment ref="F163" authorId="0">
      <text>
        <r>
          <rPr>
            <sz val="9"/>
            <color rgb="FF000000"/>
            <rFont val="Arial"/>
            <family val="2"/>
          </rPr>
          <t>sap-2026-q2-statement.pdf | Page 20 | 1,270</t>
        </r>
      </text>
    </comment>
    <comment ref="J163" authorId="0">
      <text>
        <r>
          <rPr>
            <sz val="9"/>
            <color rgb="FF000000"/>
            <rFont val="Arial"/>
            <family val="2"/>
          </rPr>
          <t>sap-2025-q3-statement.pdf | Page 23 | 1,077</t>
        </r>
      </text>
    </comment>
    <comment ref="K163" authorId="0">
      <text>
        <r>
          <rPr>
            <sz val="9"/>
            <color rgb="FF000000"/>
            <rFont val="Arial"/>
            <family val="2"/>
          </rPr>
          <t>sap-2025-q4-statement.pdf | Page 24 | 1,197</t>
        </r>
      </text>
    </comment>
    <comment ref="L163" authorId="0">
      <text>
        <r>
          <rPr>
            <sz val="9"/>
            <color rgb="FF000000"/>
            <rFont val="Arial"/>
            <family val="2"/>
          </rPr>
          <t>sap-2026-q1-statement.pdf | Page 15 | 1,191</t>
        </r>
      </text>
    </comment>
    <comment ref="M163" authorId="0">
      <text>
        <r>
          <rPr>
            <sz val="9"/>
            <color rgb="FF000000"/>
            <rFont val="Arial"/>
            <family val="2"/>
          </rPr>
          <t>sap-2026-q2-statement.pdf | Page 20 | 1,191</t>
        </r>
      </text>
    </comment>
    <comment ref="N163" authorId="0">
      <text>
        <r>
          <rPr>
            <sz val="9"/>
            <color rgb="FF000000"/>
            <rFont val="Arial"/>
            <family val="2"/>
          </rPr>
          <t>sap-2025-q4-statement.pdf | Page 25 | 4,308</t>
        </r>
      </text>
    </comment>
    <comment ref="C168" authorId="0">
      <text>
        <r>
          <rPr>
            <sz val="9"/>
            <color rgb="FF000000"/>
            <rFont val="Arial"/>
            <family val="2"/>
          </rPr>
          <t>sap-2025-q3-statement.pdf | Page 23 | 75</t>
        </r>
      </text>
    </comment>
    <comment ref="D168" authorId="0">
      <text>
        <r>
          <rPr>
            <sz val="9"/>
            <color rgb="FF000000"/>
            <rFont val="Arial"/>
            <family val="2"/>
          </rPr>
          <t>sap-2025-q4-statement.pdf | Page 24 | 120</t>
        </r>
      </text>
    </comment>
    <comment ref="E168" authorId="0">
      <text>
        <r>
          <rPr>
            <sz val="9"/>
            <color rgb="FF000000"/>
            <rFont val="Arial"/>
            <family val="2"/>
          </rPr>
          <t>sap-2026-q1-statement.pdf | Page 15 | 123</t>
        </r>
      </text>
    </comment>
    <comment ref="F168" authorId="0">
      <text>
        <r>
          <rPr>
            <sz val="9"/>
            <color rgb="FF000000"/>
            <rFont val="Arial"/>
            <family val="2"/>
          </rPr>
          <t>sap-2026-q2-statement.pdf | Page 20 | 68</t>
        </r>
      </text>
    </comment>
    <comment ref="G168" authorId="0">
      <text>
        <r>
          <rPr>
            <sz val="9"/>
            <color rgb="FF000000"/>
            <rFont val="Arial"/>
            <family val="2"/>
          </rPr>
          <t>sap-2025-q4-statement.pdf | Page 25 | 229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D11" authorId="0">
      <text>
        <r>
          <rPr>
            <sz val="9"/>
            <color rgb="FF000000"/>
            <rFont val="Arial"/>
            <family val="2"/>
          </rPr>
          <t>sap-2025-annual-report-form-20f.pdf | Page 1 | 1,228,504,232 (as of December 31, 2025)</t>
        </r>
      </text>
    </comment>
    <comment ref="C12" authorId="0">
      <text>
        <r>
          <rPr>
            <sz val="9"/>
            <color rgb="FF000000"/>
            <rFont val="Arial"/>
            <family val="2"/>
          </rPr>
          <t>sap-2025-q3-statement.pdf | Page 10 | 1,164</t>
        </r>
      </text>
    </comment>
    <comment ref="D12" authorId="0">
      <text>
        <r>
          <rPr>
            <sz val="9"/>
            <color rgb="FF000000"/>
            <rFont val="Arial"/>
            <family val="2"/>
          </rPr>
          <t>sap-2025-q4-statement.pdf | Page 11 | 1,166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sap-2026-q1-statement.pdf | Page 7 | 1,163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sap-2026-q2-statement.pdf | Page 8 | 1,153</t>
        </r>
      </text>
    </comment>
    <comment ref="J12" authorId="0">
      <text>
        <r>
          <rPr>
            <sz val="9"/>
            <color rgb="FF000000"/>
            <rFont val="Arial"/>
            <family val="2"/>
          </rPr>
          <t>sap-2025-q3-statement.pdf | Page 10 | 1,166</t>
        </r>
      </text>
    </comment>
    <comment ref="K12" authorId="0">
      <text>
        <r>
          <rPr>
            <sz val="9"/>
            <color rgb="FF000000"/>
            <rFont val="Arial"/>
            <family val="2"/>
          </rPr>
          <t>sap-2025-q4-statement.pdf | Page 11 | 1,165</t>
        </r>
      </text>
    </comment>
    <comment ref="L12" authorId="0">
      <text>
        <r>
          <rPr>
            <sz val="9"/>
            <color rgb="FF000000"/>
            <rFont val="Arial"/>
            <family val="2"/>
          </rPr>
          <t>sap-2026-q1-statement.pdf | Page 7 | 1,167</t>
        </r>
      </text>
    </comment>
    <comment ref="M12" authorId="0">
      <text>
        <r>
          <rPr>
            <sz val="9"/>
            <color rgb="FF000000"/>
            <rFont val="Arial"/>
            <family val="2"/>
          </rPr>
          <t>sap-2026-q2-statement.pdf | Page 8 | 1,166</t>
        </r>
      </text>
    </comment>
    <comment ref="N12" authorId="0">
      <text>
        <r>
          <rPr>
            <sz val="9"/>
            <color rgb="FF000000"/>
            <rFont val="Arial"/>
            <family val="2"/>
          </rPr>
          <t>sap-2025-q4-statement.pdf | Page 12 | 1,166</t>
        </r>
      </text>
    </comment>
    <comment ref="G12" authorId="0">
      <text>
        <r>
          <rPr>
            <sz val="9"/>
            <color rgb="FF000000"/>
            <rFont val="Arial"/>
            <family val="2"/>
          </rPr>
          <t>sap-2025-q4-statement.pdf | Page 12 | 1,166 million</t>
        </r>
      </text>
    </comment>
    <comment ref="C16" authorId="0">
      <text>
        <r>
          <rPr>
            <sz val="9"/>
            <color rgb="FF000000"/>
            <rFont val="Arial"/>
            <family val="2"/>
          </rPr>
          <t>sap-2025-q3-statement.pdf | Page 10 | 1,172</t>
        </r>
      </text>
    </comment>
    <comment ref="D16" authorId="0">
      <text>
        <r>
          <rPr>
            <sz val="9"/>
            <color rgb="FF000000"/>
            <rFont val="Arial"/>
            <family val="2"/>
          </rPr>
          <t>sap-2025-q4-statement.pdf | Page 11 | 1,172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sap-2026-q1-statement.pdf | Page 7 | 1,168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sap-2026-q2-statement.pdf | Page 8 | 1,158</t>
        </r>
      </text>
    </comment>
    <comment ref="J16" authorId="0">
      <text>
        <r>
          <rPr>
            <sz val="9"/>
            <color rgb="FF000000"/>
            <rFont val="Arial"/>
            <family val="2"/>
          </rPr>
          <t>sap-2025-q3-statement.pdf | Page 10 | 1,178</t>
        </r>
      </text>
    </comment>
    <comment ref="K16" authorId="0">
      <text>
        <r>
          <rPr>
            <sz val="9"/>
            <color rgb="FF000000"/>
            <rFont val="Arial"/>
            <family val="2"/>
          </rPr>
          <t>sap-2025-q4-statement.pdf | Page 11 | 1,176</t>
        </r>
      </text>
    </comment>
    <comment ref="L16" authorId="0">
      <text>
        <r>
          <rPr>
            <sz val="9"/>
            <color rgb="FF000000"/>
            <rFont val="Arial"/>
            <family val="2"/>
          </rPr>
          <t>sap-2026-q1-statement.pdf | Page 7 | 1,177</t>
        </r>
      </text>
    </comment>
    <comment ref="M16" authorId="0">
      <text>
        <r>
          <rPr>
            <sz val="9"/>
            <color rgb="FF000000"/>
            <rFont val="Arial"/>
            <family val="2"/>
          </rPr>
          <t>sap-2026-q2-statement.pdf | Page 8 | 1,175</t>
        </r>
      </text>
    </comment>
    <comment ref="N16" authorId="0">
      <text>
        <r>
          <rPr>
            <sz val="9"/>
            <color rgb="FF000000"/>
            <rFont val="Arial"/>
            <family val="2"/>
          </rPr>
          <t>sap-2025-q4-statement.pdf | Page 12 | 1,180</t>
        </r>
      </text>
    </comment>
    <comment ref="G16" authorId="0">
      <text>
        <r>
          <rPr>
            <sz val="9"/>
            <color rgb="FF000000"/>
            <rFont val="Arial"/>
            <family val="2"/>
          </rPr>
          <t>sap-2025-q4-statement.pdf | Page 12 | diluted: 1,175 million</t>
        </r>
      </text>
    </comment>
    <comment ref="H21" authorId="0">
      <text>
        <r>
          <rPr>
            <sz val="9"/>
            <color rgb="FF000000"/>
            <rFont val="Arial"/>
            <family val="2"/>
          </rPr>
          <t>ad-hoc-news.de 9-Oct-2026 | Page 1 | 8,945,886 as of October 2</t>
        </r>
      </text>
    </comment>
    <comment ref="H22" authorId="0">
      <text>
        <r>
          <rPr>
            <sz val="9"/>
            <color rgb="FF000000"/>
            <rFont val="Arial"/>
            <family val="2"/>
          </rPr>
          <t>sap.com share-buy-back page | Page 1 | 171.53</t>
        </r>
      </text>
    </comment>
    <comment ref="F30" authorId="0">
      <text>
        <r>
          <rPr>
            <sz val="9"/>
            <color rgb="FF000000"/>
            <rFont val="Arial"/>
            <family val="2"/>
          </rPr>
          <t>sap-2026-q2-statement.pdf | Page 3 | 16,280,097 shares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E11" authorId="0">
      <text>
        <r>
          <rPr>
            <sz val="9"/>
            <color rgb="FF000000"/>
            <rFont val="Arial"/>
            <family val="2"/>
          </rPr>
          <t>sap-2025-q4-statement.pdf | Page 4 | 21.6</t>
        </r>
      </text>
    </comment>
    <comment ref="F11" authorId="0">
      <text>
        <r>
          <rPr>
            <sz val="9"/>
            <color rgb="FF000000"/>
            <rFont val="Arial"/>
            <family val="2"/>
          </rPr>
          <t>sap-2025-q4-statement.pdf | Page 4 | 21.9</t>
        </r>
      </text>
    </comment>
    <comment ref="E12" authorId="0">
      <text>
        <r>
          <rPr>
            <sz val="9"/>
            <color rgb="FF000000"/>
            <rFont val="Arial"/>
            <family val="2"/>
          </rPr>
          <t>sap-2025-q3-statement.pdf | Page 5 | 21.6</t>
        </r>
      </text>
    </comment>
    <comment ref="F12" authorId="0">
      <text>
        <r>
          <rPr>
            <sz val="9"/>
            <color rgb="FF000000"/>
            <rFont val="Arial"/>
            <family val="2"/>
          </rPr>
          <t>sap-2025-q3-statement.pdf | Page 5 | 21.9</t>
        </r>
      </text>
    </comment>
    <comment ref="E13" authorId="0">
      <text>
        <r>
          <rPr>
            <sz val="9"/>
            <color rgb="FF000000"/>
            <rFont val="Arial"/>
            <family val="2"/>
          </rPr>
          <t>sap-2025-q4-statement.pdf | Page 4 | 33.1</t>
        </r>
      </text>
    </comment>
    <comment ref="F13" authorId="0">
      <text>
        <r>
          <rPr>
            <sz val="9"/>
            <color rgb="FF000000"/>
            <rFont val="Arial"/>
            <family val="2"/>
          </rPr>
          <t>sap-2025-q4-statement.pdf | Page 4 | 33.6</t>
        </r>
      </text>
    </comment>
    <comment ref="E14" authorId="0">
      <text>
        <r>
          <rPr>
            <sz val="9"/>
            <color rgb="FF000000"/>
            <rFont val="Arial"/>
            <family val="2"/>
          </rPr>
          <t>sap-2025-q4-statement.pdf | Page 4 | 10.3</t>
        </r>
      </text>
    </comment>
    <comment ref="F14" authorId="0">
      <text>
        <r>
          <rPr>
            <sz val="9"/>
            <color rgb="FF000000"/>
            <rFont val="Arial"/>
            <family val="2"/>
          </rPr>
          <t>sap-2025-q4-statement.pdf | Page 4 | 10.6</t>
        </r>
      </text>
    </comment>
    <comment ref="H14" authorId="0">
      <text>
        <r>
          <rPr>
            <sz val="9"/>
            <color rgb="FF000000"/>
            <rFont val="Arial"/>
            <family val="2"/>
          </rPr>
          <t>sap-2025-q4-statement.pdf | Page 4 | 10.66</t>
        </r>
      </text>
    </comment>
    <comment ref="E15" authorId="0">
      <text>
        <r>
          <rPr>
            <sz val="9"/>
            <color rgb="FF000000"/>
            <rFont val="Arial"/>
            <family val="2"/>
          </rPr>
          <t>sap-2025-q3-statement.pdf | Page 5 | 10.3</t>
        </r>
      </text>
    </comment>
    <comment ref="F15" authorId="0">
      <text>
        <r>
          <rPr>
            <sz val="9"/>
            <color rgb="FF000000"/>
            <rFont val="Arial"/>
            <family val="2"/>
          </rPr>
          <t>sap-2025-q3-statement.pdf | Page 5 | 10.6</t>
        </r>
      </text>
    </comment>
    <comment ref="H15" authorId="0">
      <text>
        <r>
          <rPr>
            <sz val="9"/>
            <color rgb="FF000000"/>
            <rFont val="Arial"/>
            <family val="2"/>
          </rPr>
          <t>sap-2025-q4-statement.pdf | Page 4 | 10.66</t>
        </r>
      </text>
    </comment>
    <comment ref="E16" authorId="0">
      <text>
        <r>
          <rPr>
            <sz val="9"/>
            <color rgb="FF000000"/>
            <rFont val="Arial"/>
            <family val="2"/>
          </rPr>
          <t>sap-2025-q4-statement.pdf | Page 4 | 8</t>
        </r>
      </text>
    </comment>
    <comment ref="F16" authorId="0">
      <text>
        <r>
          <rPr>
            <sz val="9"/>
            <color rgb="FF000000"/>
            <rFont val="Arial"/>
            <family val="2"/>
          </rPr>
          <t>sap-2025-q4-statement.pdf | Page 4 | 8</t>
        </r>
      </text>
    </comment>
    <comment ref="E17" authorId="0">
      <text>
        <r>
          <rPr>
            <sz val="9"/>
            <color rgb="FF000000"/>
            <rFont val="Arial"/>
            <family val="2"/>
          </rPr>
          <t>sap-2025-q3-statement.pdf | Page 5 | 8</t>
        </r>
      </text>
    </comment>
    <comment ref="F17" authorId="0">
      <text>
        <r>
          <rPr>
            <sz val="9"/>
            <color rgb="FF000000"/>
            <rFont val="Arial"/>
            <family val="2"/>
          </rPr>
          <t>sap-2025-q3-statement.pdf | Page 5 | 8.20</t>
        </r>
      </text>
    </comment>
    <comment ref="E18" authorId="0">
      <text>
        <r>
          <rPr>
            <sz val="9"/>
            <color rgb="FF000000"/>
            <rFont val="Arial"/>
            <family val="2"/>
          </rPr>
          <t>sap-2025-q4-statement.pdf | Page 4 | 32.0%</t>
        </r>
      </text>
    </comment>
    <comment ref="F18" authorId="0">
      <text>
        <r>
          <rPr>
            <sz val="9"/>
            <color rgb="FF000000"/>
            <rFont val="Arial"/>
            <family val="2"/>
          </rPr>
          <t>sap-2025-q4-statement.pdf | Page 4 | 32.0%</t>
        </r>
      </text>
    </comment>
    <comment ref="E19" authorId="0">
      <text>
        <r>
          <rPr>
            <sz val="9"/>
            <color rgb="FF000000"/>
            <rFont val="Arial"/>
            <family val="2"/>
          </rPr>
          <t>sap-2026-q1-statement.pdf | Page 3 | 25.8</t>
        </r>
      </text>
    </comment>
    <comment ref="F19" authorId="0">
      <text>
        <r>
          <rPr>
            <sz val="9"/>
            <color rgb="FF000000"/>
            <rFont val="Arial"/>
            <family val="2"/>
          </rPr>
          <t>sap-2026-q1-statement.pdf | Page 3 | 26.2</t>
        </r>
      </text>
    </comment>
    <comment ref="E20" authorId="0">
      <text>
        <r>
          <rPr>
            <sz val="9"/>
            <color rgb="FF000000"/>
            <rFont val="Arial"/>
            <family val="2"/>
          </rPr>
          <t>sap-2026-q1-statement.pdf | Page 3 | 36.3</t>
        </r>
      </text>
    </comment>
    <comment ref="F20" authorId="0">
      <text>
        <r>
          <rPr>
            <sz val="9"/>
            <color rgb="FF000000"/>
            <rFont val="Arial"/>
            <family val="2"/>
          </rPr>
          <t>sap-2026-q1-statement.pdf | Page 3 | 36.8</t>
        </r>
      </text>
    </comment>
    <comment ref="E21" authorId="0">
      <text>
        <r>
          <rPr>
            <sz val="9"/>
            <color rgb="FF000000"/>
            <rFont val="Arial"/>
            <family val="2"/>
          </rPr>
          <t>sap-2026-q1-statement.pdf | Page 3 | 11.9</t>
        </r>
      </text>
    </comment>
    <comment ref="F21" authorId="0">
      <text>
        <r>
          <rPr>
            <sz val="9"/>
            <color rgb="FF000000"/>
            <rFont val="Arial"/>
            <family val="2"/>
          </rPr>
          <t>sap-2026-q1-statement.pdf | Page 3 | 12.3</t>
        </r>
      </text>
    </comment>
    <comment ref="E22" authorId="0">
      <text>
        <r>
          <rPr>
            <sz val="9"/>
            <color rgb="FF000000"/>
            <rFont val="Arial"/>
            <family val="2"/>
          </rPr>
          <t>sap-2026-q2-statement.pdf | Page 4 | 11.8</t>
        </r>
      </text>
    </comment>
    <comment ref="F22" authorId="0">
      <text>
        <r>
          <rPr>
            <sz val="9"/>
            <color rgb="FF000000"/>
            <rFont val="Arial"/>
            <family val="2"/>
          </rPr>
          <t>sap-2026-q2-statement.pdf | Page 4 | 12.2</t>
        </r>
      </text>
    </comment>
    <comment ref="E23" authorId="0">
      <text>
        <r>
          <rPr>
            <sz val="9"/>
            <color rgb="FF000000"/>
            <rFont val="Arial"/>
            <family val="2"/>
          </rPr>
          <t>sap-2026-q1-statement.pdf | Page 3 | 10</t>
        </r>
      </text>
    </comment>
    <comment ref="F23" authorId="0">
      <text>
        <r>
          <rPr>
            <sz val="9"/>
            <color rgb="FF000000"/>
            <rFont val="Arial"/>
            <family val="2"/>
          </rPr>
          <t>sap-2026-q1-statement.pdf | Page 3 | 10</t>
        </r>
      </text>
    </comment>
    <comment ref="E24" authorId="0">
      <text>
        <r>
          <rPr>
            <sz val="9"/>
            <color rgb="FF000000"/>
            <rFont val="Arial"/>
            <family val="2"/>
          </rPr>
          <t>sap-2026-q1-statement.pdf | Page 3 | 29.0%</t>
        </r>
      </text>
    </comment>
    <comment ref="F24" authorId="0">
      <text>
        <r>
          <rPr>
            <sz val="9"/>
            <color rgb="FF000000"/>
            <rFont val="Arial"/>
            <family val="2"/>
          </rPr>
          <t>sap-2026-q1-statement.pdf | Page 3 | 29.0%</t>
        </r>
      </text>
    </comment>
    <comment ref="E25" authorId="0">
      <text>
        <r>
          <rPr>
            <sz val="9"/>
            <color rgb="FF000000"/>
            <rFont val="Arial"/>
            <family val="2"/>
          </rPr>
          <t>sap-2026-q1-statement.pdf | Page 3 | 10.6%</t>
        </r>
      </text>
    </comment>
    <comment ref="F25" authorId="0">
      <text>
        <r>
          <rPr>
            <sz val="9"/>
            <color rgb="FF000000"/>
            <rFont val="Arial"/>
            <family val="2"/>
          </rPr>
          <t>sap-2026-q1-statement.pdf | Page 3 | 10.6%</t>
        </r>
      </text>
    </comment>
    <comment ref="E26" authorId="0">
      <text>
        <r>
          <rPr>
            <sz val="9"/>
            <color rgb="FF000000"/>
            <rFont val="Arial"/>
            <family val="2"/>
          </rPr>
          <t>sap-2026-q1-statement.pdf | Page 3 | 340</t>
        </r>
      </text>
    </comment>
    <comment ref="F26" authorId="0">
      <text>
        <r>
          <rPr>
            <sz val="9"/>
            <color rgb="FF000000"/>
            <rFont val="Arial"/>
            <family val="2"/>
          </rPr>
          <t>sap-2026-q1-statement.pdf | Page 3 | 420</t>
        </r>
      </text>
    </comment>
    <comment ref="E27" authorId="0">
      <text>
        <r>
          <rPr>
            <sz val="9"/>
            <color rgb="FF000000"/>
            <rFont val="Arial"/>
            <family val="2"/>
          </rPr>
          <t>sap-2026-q1-statement.pdf | Page 3 | 0</t>
        </r>
      </text>
    </comment>
    <comment ref="F27" authorId="0">
      <text>
        <r>
          <rPr>
            <sz val="9"/>
            <color rgb="FF000000"/>
            <rFont val="Arial"/>
            <family val="2"/>
          </rPr>
          <t>sap-2026-q1-statement.pdf | Page 3 | 20</t>
        </r>
      </text>
    </comment>
    <comment ref="E28" authorId="0">
      <text>
        <r>
          <rPr>
            <sz val="9"/>
            <color rgb="FF000000"/>
            <rFont val="Arial"/>
            <family val="2"/>
          </rPr>
          <t>sap-2026-q2-statement.pdf | Page 4 | 1.5%</t>
        </r>
      </text>
    </comment>
    <comment ref="F28" authorId="0">
      <text>
        <r>
          <rPr>
            <sz val="9"/>
            <color rgb="FF000000"/>
            <rFont val="Arial"/>
            <family val="2"/>
          </rPr>
          <t>sap-2026-q2-statement.pdf | Page 4 | 1.5%</t>
        </r>
      </text>
    </comment>
    <comment ref="E29" authorId="0">
      <text>
        <r>
          <rPr>
            <sz val="9"/>
            <color rgb="FF000000"/>
            <rFont val="Arial"/>
            <family val="2"/>
          </rPr>
          <t>sap-2026-q2-statement.pdf | Page 4 | 1.0%</t>
        </r>
      </text>
    </comment>
    <comment ref="F29" authorId="0">
      <text>
        <r>
          <rPr>
            <sz val="9"/>
            <color rgb="FF000000"/>
            <rFont val="Arial"/>
            <family val="2"/>
          </rPr>
          <t>sap-2026-q2-statement.pdf | Page 4 | 1.0%</t>
        </r>
      </text>
    </comment>
    <comment ref="E30" authorId="0">
      <text>
        <r>
          <rPr>
            <sz val="9"/>
            <color rgb="FF000000"/>
            <rFont val="Arial"/>
            <family val="2"/>
          </rPr>
          <t>sap-2026-q2-statement.pdf | Page 4 | 0.0%</t>
        </r>
      </text>
    </comment>
    <comment ref="F30" authorId="0">
      <text>
        <r>
          <rPr>
            <sz val="9"/>
            <color rgb="FF000000"/>
            <rFont val="Arial"/>
            <family val="2"/>
          </rPr>
          <t>sap-2026-q2-statement.pdf | Page 4 | 0.0%</t>
        </r>
      </text>
    </comment>
    <comment ref="H38" authorId="0">
      <text>
        <r>
          <rPr>
            <sz val="9"/>
            <color rgb="FF000000"/>
            <rFont val="Arial"/>
            <family val="2"/>
          </rPr>
          <t>sap-2026-q2-statement.pdf | Page 15 | 5,852</t>
        </r>
      </text>
    </comment>
    <comment ref="H40" authorId="0">
      <text>
        <r>
          <rPr>
            <sz val="9"/>
            <color rgb="FF000000"/>
            <rFont val="Arial"/>
            <family val="2"/>
          </rPr>
          <t>sap-2025-q3-statement.pdf | Page 3 | approximately €0.1 billion ... approximately €0.1 billion</t>
        </r>
      </text>
    </comment>
    <comment ref="H41" authorId="0">
      <text>
        <r>
          <rPr>
            <sz val="9"/>
            <color rgb="FF000000"/>
            <rFont val="Arial"/>
            <family val="2"/>
          </rPr>
          <t>sap-2025-q4-statement.pdf | Page 3 | approximately €0.1 billion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Shortcut</author>
  </authors>
  <commentList>
    <comment ref="C17" authorId="0">
      <text>
        <r>
          <rPr>
            <sz val="9"/>
            <color rgb="FF000000"/>
            <rFont val="Arial"/>
            <family val="2"/>
          </rPr>
          <t>SAP_consensus.json | Page 1 | 11</t>
        </r>
      </text>
    </comment>
    <comment ref="C18" authorId="0">
      <text>
        <r>
          <rPr>
            <sz val="9"/>
            <color rgb="FF000000"/>
            <rFont val="Arial"/>
            <family val="2"/>
          </rPr>
          <t>SAP_consensus.json | Page 1 | 1.83</t>
        </r>
      </text>
    </comment>
    <comment ref="C20" authorId="0">
      <text>
        <r>
          <rPr>
            <sz val="9"/>
            <color rgb="FF000000"/>
            <rFont val="Arial"/>
            <family val="2"/>
          </rPr>
          <t>SAP_consensus.json | Page 1 | 10094.87</t>
        </r>
      </text>
    </comment>
    <comment ref="C35" authorId="0">
      <text>
        <r>
          <rPr>
            <sz val="9"/>
            <color rgb="FF000000"/>
            <rFont val="Arial"/>
            <family val="2"/>
          </rPr>
          <t>SAP_consensus.json | Page 1 | 126475</t>
        </r>
      </text>
    </comment>
    <comment ref="C42" authorId="0">
      <text>
        <r>
          <rPr>
            <sz val="9"/>
            <color rgb="FF000000"/>
            <rFont val="Arial"/>
            <family val="2"/>
          </rPr>
          <t>SAP_consensus.json | Page 1 | 11</t>
        </r>
      </text>
    </comment>
    <comment ref="C43" authorId="0">
      <text>
        <r>
          <rPr>
            <sz val="9"/>
            <color rgb="FF000000"/>
            <rFont val="Arial"/>
            <family val="2"/>
          </rPr>
          <t>SAP_consensus.json | Page 1 | 12</t>
        </r>
      </text>
    </comment>
    <comment ref="C44" authorId="0">
      <text>
        <r>
          <rPr>
            <sz val="9"/>
            <color rgb="FF000000"/>
            <rFont val="Arial"/>
            <family val="2"/>
          </rPr>
          <t>SAP_consensus.json | Page 1 | 29</t>
        </r>
      </text>
    </comment>
    <comment ref="C45" authorId="0">
      <text>
        <r>
          <rPr>
            <sz val="9"/>
            <color rgb="FF000000"/>
            <rFont val="Arial"/>
            <family val="2"/>
          </rPr>
          <t>SAP_consensus.json | Page 1 | 1.83</t>
        </r>
      </text>
    </comment>
    <comment ref="C46" authorId="0">
      <text>
        <r>
          <rPr>
            <sz val="9"/>
            <color rgb="FF000000"/>
            <rFont val="Arial"/>
            <family val="2"/>
          </rPr>
          <t>SAP_consensus.json | Page 1 | 1.81</t>
        </r>
      </text>
    </comment>
    <comment ref="C47" authorId="0">
      <text>
        <r>
          <rPr>
            <sz val="9"/>
            <color rgb="FF000000"/>
            <rFont val="Arial"/>
            <family val="2"/>
          </rPr>
          <t>SAP_consensus.json | Page 1 | 2.12</t>
        </r>
      </text>
    </comment>
    <comment ref="C48" authorId="0">
      <text>
        <r>
          <rPr>
            <sz val="9"/>
            <color rgb="FF000000"/>
            <rFont val="Arial"/>
            <family val="2"/>
          </rPr>
          <t>SAP_consensus.json | Page 1 | 1.71</t>
        </r>
      </text>
    </comment>
    <comment ref="C49" authorId="0">
      <text>
        <r>
          <rPr>
            <sz val="9"/>
            <color rgb="FF000000"/>
            <rFont val="Arial"/>
            <family val="2"/>
          </rPr>
          <t>SAP_consensus.json | Page 1 | 0.1</t>
        </r>
      </text>
    </comment>
    <comment ref="C50" authorId="0">
      <text>
        <r>
          <rPr>
            <sz val="9"/>
            <color rgb="FF000000"/>
            <rFont val="Arial"/>
            <family val="2"/>
          </rPr>
          <t>SAP_consensus.json | Page 1 | 11</t>
        </r>
      </text>
    </comment>
    <comment ref="C54" authorId="0">
      <text>
        <r>
          <rPr>
            <sz val="9"/>
            <color rgb="FF000000"/>
            <rFont val="Arial"/>
            <family val="2"/>
          </rPr>
          <t>SAP_consensus.json | Page 1 | 1.75</t>
        </r>
      </text>
    </comment>
    <comment ref="C55" authorId="0">
      <text>
        <r>
          <rPr>
            <sz val="9"/>
            <color rgb="FF000000"/>
            <rFont val="Arial"/>
            <family val="2"/>
          </rPr>
          <t>SAP_consensus.json | Page 1 | 1.75</t>
        </r>
      </text>
    </comment>
    <comment ref="C56" authorId="0">
      <text>
        <r>
          <rPr>
            <sz val="9"/>
            <color rgb="FF000000"/>
            <rFont val="Arial"/>
            <family val="2"/>
          </rPr>
          <t>SAP_consensus.json | Page 1 | 1.87</t>
        </r>
      </text>
    </comment>
    <comment ref="C57" authorId="0">
      <text>
        <r>
          <rPr>
            <sz val="9"/>
            <color rgb="FF000000"/>
            <rFont val="Arial"/>
            <family val="2"/>
          </rPr>
          <t>SAP_consensus.json | Page 1 | 1.63</t>
        </r>
      </text>
    </comment>
    <comment ref="C58" authorId="0">
      <text>
        <r>
          <rPr>
            <sz val="9"/>
            <color rgb="FF000000"/>
            <rFont val="Arial"/>
            <family val="2"/>
          </rPr>
          <t>SAP_consensus.json | Page 1 | 0.07</t>
        </r>
      </text>
    </comment>
    <comment ref="C59" authorId="0">
      <text>
        <r>
          <rPr>
            <sz val="9"/>
            <color rgb="FF000000"/>
            <rFont val="Arial"/>
            <family val="2"/>
          </rPr>
          <t>SAP_consensus.json | Page 1 | 7</t>
        </r>
      </text>
    </comment>
    <comment ref="C63" authorId="0">
      <text>
        <r>
          <rPr>
            <sz val="9"/>
            <color rgb="FF000000"/>
            <rFont val="Arial"/>
            <family val="2"/>
          </rPr>
          <t>SAP_consensus.json | Page 1 | 10094.87</t>
        </r>
      </text>
    </comment>
    <comment ref="C64" authorId="0">
      <text>
        <r>
          <rPr>
            <sz val="9"/>
            <color rgb="FF000000"/>
            <rFont val="Arial"/>
            <family val="2"/>
          </rPr>
          <t>SAP_consensus.json | Page 1 | 10100.0</t>
        </r>
      </text>
    </comment>
    <comment ref="C65" authorId="0">
      <text>
        <r>
          <rPr>
            <sz val="9"/>
            <color rgb="FF000000"/>
            <rFont val="Arial"/>
            <family val="2"/>
          </rPr>
          <t>SAP_consensus.json | Page 1 | 10211.0</t>
        </r>
      </text>
    </comment>
    <comment ref="C66" authorId="0">
      <text>
        <r>
          <rPr>
            <sz val="9"/>
            <color rgb="FF000000"/>
            <rFont val="Arial"/>
            <family val="2"/>
          </rPr>
          <t>SAP_consensus.json | Page 1 | 9966.0</t>
        </r>
      </text>
    </comment>
    <comment ref="C67" authorId="0">
      <text>
        <r>
          <rPr>
            <sz val="9"/>
            <color rgb="FF000000"/>
            <rFont val="Arial"/>
            <family val="2"/>
          </rPr>
          <t>SAP_consensus.json | Page 1 | 64.59</t>
        </r>
      </text>
    </comment>
    <comment ref="C68" authorId="0">
      <text>
        <r>
          <rPr>
            <sz val="9"/>
            <color rgb="FF000000"/>
            <rFont val="Arial"/>
            <family val="2"/>
          </rPr>
          <t>SAP_consensus.json | Page 1 | 17</t>
        </r>
      </text>
    </comment>
    <comment ref="C72" authorId="0">
      <text>
        <r>
          <rPr>
            <sz val="9"/>
            <color rgb="FF000000"/>
            <rFont val="Arial"/>
            <family val="2"/>
          </rPr>
          <t>SAP_consensus.json | Page 1 | 3243.69</t>
        </r>
      </text>
    </comment>
    <comment ref="C73" authorId="0">
      <text>
        <r>
          <rPr>
            <sz val="9"/>
            <color rgb="FF000000"/>
            <rFont val="Arial"/>
            <family val="2"/>
          </rPr>
          <t>SAP_consensus.json | Page 1 | 2956.11</t>
        </r>
      </text>
    </comment>
    <comment ref="C74" authorId="0">
      <text>
        <r>
          <rPr>
            <sz val="9"/>
            <color rgb="FF000000"/>
            <rFont val="Arial"/>
            <family val="2"/>
          </rPr>
          <t>SAP_consensus.json | Page 1 | 2981.89</t>
        </r>
      </text>
    </comment>
    <comment ref="C75" authorId="0">
      <text>
        <r>
          <rPr>
            <sz val="9"/>
            <color rgb="FF000000"/>
            <rFont val="Arial"/>
            <family val="2"/>
          </rPr>
          <t>SAP_consensus.json | Page 1 | 2850.0</t>
        </r>
      </text>
    </comment>
    <comment ref="C76" authorId="0">
      <text>
        <r>
          <rPr>
            <sz val="9"/>
            <color rgb="FF000000"/>
            <rFont val="Arial"/>
            <family val="2"/>
          </rPr>
          <t>SAP_consensus.json | Page 1 | 2099.86</t>
        </r>
      </text>
    </comment>
    <comment ref="C77" authorId="0">
      <text>
        <r>
          <rPr>
            <sz val="9"/>
            <color rgb="FF000000"/>
            <rFont val="Arial"/>
            <family val="2"/>
          </rPr>
          <t>SAP_consensus.json | Page 1 | 2054.35</t>
        </r>
      </text>
    </comment>
    <comment ref="C80" authorId="0">
      <text>
        <r>
          <rPr>
            <sz val="9"/>
            <color rgb="FF000000"/>
            <rFont val="Arial"/>
            <family val="2"/>
          </rPr>
          <t>SAP_consensus.json | Page 1 | 314.2</t>
        </r>
      </text>
    </comment>
    <comment ref="C84" authorId="0">
      <text>
        <r>
          <rPr>
            <sz val="9"/>
            <color rgb="FF000000"/>
            <rFont val="Arial"/>
            <family val="2"/>
          </rPr>
          <t>SAP_consensus.json | Page 1 | -32.0</t>
        </r>
      </text>
    </comment>
    <comment ref="C85" authorId="0">
      <text>
        <r>
          <rPr>
            <sz val="9"/>
            <color rgb="FF000000"/>
            <rFont val="Arial"/>
            <family val="2"/>
          </rPr>
          <t>SAP_consensus.json | Page 1 | -1236.49</t>
        </r>
      </text>
    </comment>
    <comment ref="C88" authorId="0">
      <text>
        <r>
          <rPr>
            <sz val="9"/>
            <color rgb="FF000000"/>
            <rFont val="Arial"/>
            <family val="2"/>
          </rPr>
          <t>SAP_consensus.json | Page 1 | 213.62</t>
        </r>
      </text>
    </comment>
    <comment ref="C89" authorId="0">
      <text>
        <r>
          <rPr>
            <sz val="9"/>
            <color rgb="FF000000"/>
            <rFont val="Arial"/>
            <family val="2"/>
          </rPr>
          <t>SAP_consensus.json | Page 1 | 212.5</t>
        </r>
      </text>
    </comment>
    <comment ref="C90" authorId="0">
      <text>
        <r>
          <rPr>
            <sz val="9"/>
            <color rgb="FF000000"/>
            <rFont val="Arial"/>
            <family val="2"/>
          </rPr>
          <t>SAP_consensus.json | Page 1 | 290.0</t>
        </r>
      </text>
    </comment>
    <comment ref="C91" authorId="0">
      <text>
        <r>
          <rPr>
            <sz val="9"/>
            <color rgb="FF000000"/>
            <rFont val="Arial"/>
            <family val="2"/>
          </rPr>
          <t>SAP_consensus.json | Page 1 | 160.0</t>
        </r>
      </text>
    </comment>
    <comment ref="C92" authorId="0">
      <text>
        <r>
          <rPr>
            <sz val="9"/>
            <color rgb="FF000000"/>
            <rFont val="Arial"/>
            <family val="2"/>
          </rPr>
          <t>SAP_consensus.json | Page 1 | 29.43</t>
        </r>
      </text>
    </comment>
    <comment ref="C93" authorId="0">
      <text>
        <r>
          <rPr>
            <sz val="9"/>
            <color rgb="FF000000"/>
            <rFont val="Arial"/>
            <family val="2"/>
          </rPr>
          <t>SAP_consensus.json | Page 1 | 26</t>
        </r>
      </text>
    </comment>
    <comment ref="C95" authorId="0">
      <text>
        <r>
          <rPr>
            <sz val="9"/>
            <color rgb="FF000000"/>
            <rFont val="Arial"/>
            <family val="2"/>
          </rPr>
          <t>SAP_consensus.json | Page 1 | 1.39</t>
        </r>
      </text>
    </comment>
    <comment ref="C96" authorId="0">
      <text>
        <r>
          <rPr>
            <sz val="9"/>
            <color rgb="FF000000"/>
            <rFont val="Arial"/>
            <family val="2"/>
          </rPr>
          <t>SAP_consensus.json | Page 1 | 199.22</t>
        </r>
      </text>
    </comment>
    <comment ref="D103" authorId="0">
      <text>
        <r>
          <rPr>
            <sz val="9"/>
            <color rgb="FF000000"/>
            <rFont val="Arial"/>
            <family val="2"/>
          </rPr>
          <t>SAP_history.csv | Page 1 | 1.29</t>
        </r>
      </text>
    </comment>
    <comment ref="E103" authorId="0">
      <text>
        <r>
          <rPr>
            <sz val="9"/>
            <color rgb="FF000000"/>
            <rFont val="Arial"/>
            <family val="2"/>
          </rPr>
          <t>SAP_history.csv | Page 1 | 1.44</t>
        </r>
      </text>
    </comment>
    <comment ref="F103" authorId="0">
      <text>
        <r>
          <rPr>
            <sz val="9"/>
            <color rgb="FF000000"/>
            <rFont val="Arial"/>
            <family val="2"/>
          </rPr>
          <t>SAP_history.csv | Page 1 | 1.19</t>
        </r>
      </text>
    </comment>
    <comment ref="G103" authorId="0">
      <text>
        <r>
          <rPr>
            <sz val="9"/>
            <color rgb="FF000000"/>
            <rFont val="Arial"/>
            <family val="2"/>
          </rPr>
          <t>SAP_history.csv | Page 1 | 1.52</t>
        </r>
      </text>
    </comment>
    <comment ref="H103" authorId="0">
      <text>
        <r>
          <rPr>
            <sz val="9"/>
            <color rgb="FF000000"/>
            <rFont val="Arial"/>
            <family val="2"/>
          </rPr>
          <t>SAP_history.csv | Page 1 | 9073.72</t>
        </r>
      </text>
    </comment>
    <comment ref="I103" authorId="0">
      <text>
        <r>
          <rPr>
            <sz val="9"/>
            <color rgb="FF000000"/>
            <rFont val="Arial"/>
            <family val="2"/>
          </rPr>
          <t>SAP_history.csv | Page 1 | 9013.0</t>
        </r>
      </text>
    </comment>
    <comment ref="D104" authorId="0">
      <text>
        <r>
          <rPr>
            <sz val="9"/>
            <color rgb="FF000000"/>
            <rFont val="Arial"/>
            <family val="2"/>
          </rPr>
          <t>SAP_history.csv | Page 1 | 1.45</t>
        </r>
      </text>
    </comment>
    <comment ref="E104" authorId="0">
      <text>
        <r>
          <rPr>
            <sz val="9"/>
            <color rgb="FF000000"/>
            <rFont val="Arial"/>
            <family val="2"/>
          </rPr>
          <t>SAP_history.csv | Page 1 | 1.5</t>
        </r>
      </text>
    </comment>
    <comment ref="F104" authorId="0">
      <text>
        <r>
          <rPr>
            <sz val="9"/>
            <color rgb="FF000000"/>
            <rFont val="Arial"/>
            <family val="2"/>
          </rPr>
          <t>SAP_history.csv | Page 1 | 1.38</t>
        </r>
      </text>
    </comment>
    <comment ref="G104" authorId="0">
      <text>
        <r>
          <rPr>
            <sz val="9"/>
            <color rgb="FF000000"/>
            <rFont val="Arial"/>
            <family val="2"/>
          </rPr>
          <t>SAP_history.csv | Page 1 | 1.45</t>
        </r>
      </text>
    </comment>
    <comment ref="H104" authorId="0">
      <text>
        <r>
          <rPr>
            <sz val="9"/>
            <color rgb="FF000000"/>
            <rFont val="Arial"/>
            <family val="2"/>
          </rPr>
          <t>SAP_history.csv | Page 1 | 9085.05</t>
        </r>
      </text>
    </comment>
    <comment ref="I104" authorId="0">
      <text>
        <r>
          <rPr>
            <sz val="9"/>
            <color rgb="FF000000"/>
            <rFont val="Arial"/>
            <family val="2"/>
          </rPr>
          <t>SAP_history.csv | Page 1 | 9027.0</t>
        </r>
      </text>
    </comment>
    <comment ref="D105" authorId="0">
      <text>
        <r>
          <rPr>
            <sz val="9"/>
            <color rgb="FF000000"/>
            <rFont val="Arial"/>
            <family val="2"/>
          </rPr>
          <t>SAP_history.csv | Page 1 | 1.5</t>
        </r>
      </text>
    </comment>
    <comment ref="E105" authorId="0">
      <text>
        <r>
          <rPr>
            <sz val="9"/>
            <color rgb="FF000000"/>
            <rFont val="Arial"/>
            <family val="2"/>
          </rPr>
          <t>SAP_history.csv | Page 1 | 1.59</t>
        </r>
      </text>
    </comment>
    <comment ref="F105" authorId="0">
      <text>
        <r>
          <rPr>
            <sz val="9"/>
            <color rgb="FF000000"/>
            <rFont val="Arial"/>
            <family val="2"/>
          </rPr>
          <t>SAP_history.csv | Page 1 | 1.4</t>
        </r>
      </text>
    </comment>
    <comment ref="G105" authorId="0">
      <text>
        <r>
          <rPr>
            <sz val="9"/>
            <color rgb="FF000000"/>
            <rFont val="Arial"/>
            <family val="2"/>
          </rPr>
          <t>SAP_history.csv | Page 1 | 1.72</t>
        </r>
      </text>
    </comment>
    <comment ref="H105" authorId="0">
      <text>
        <r>
          <rPr>
            <sz val="9"/>
            <color rgb="FF000000"/>
            <rFont val="Arial"/>
            <family val="2"/>
          </rPr>
          <t>SAP_history.csv | Page 1 | 9086.54</t>
        </r>
      </text>
    </comment>
    <comment ref="I105" authorId="0">
      <text>
        <r>
          <rPr>
            <sz val="9"/>
            <color rgb="FF000000"/>
            <rFont val="Arial"/>
            <family val="2"/>
          </rPr>
          <t>SAP_history.csv | Page 1 | 9076.0</t>
        </r>
      </text>
    </comment>
    <comment ref="D106" authorId="0">
      <text>
        <r>
          <rPr>
            <sz val="9"/>
            <color rgb="FF000000"/>
            <rFont val="Arial"/>
            <family val="2"/>
          </rPr>
          <t>SAP_history.csv | Page 1 | 1.51</t>
        </r>
      </text>
    </comment>
    <comment ref="E106" authorId="0">
      <text>
        <r>
          <rPr>
            <sz val="9"/>
            <color rgb="FF000000"/>
            <rFont val="Arial"/>
            <family val="2"/>
          </rPr>
          <t>SAP_history.csv | Page 1 | 1.62</t>
        </r>
      </text>
    </comment>
    <comment ref="F106" authorId="0">
      <text>
        <r>
          <rPr>
            <sz val="9"/>
            <color rgb="FF000000"/>
            <rFont val="Arial"/>
            <family val="2"/>
          </rPr>
          <t>SAP_history.csv | Page 1 | 1.4</t>
        </r>
      </text>
    </comment>
    <comment ref="G106" authorId="0">
      <text>
        <r>
          <rPr>
            <sz val="9"/>
            <color rgb="FF000000"/>
            <rFont val="Arial"/>
            <family val="2"/>
          </rPr>
          <t>SAP_history.csv | Page 1 | 1.58</t>
        </r>
      </text>
    </comment>
    <comment ref="H106" authorId="0">
      <text>
        <r>
          <rPr>
            <sz val="9"/>
            <color rgb="FF000000"/>
            <rFont val="Arial"/>
            <family val="2"/>
          </rPr>
          <t>SAP_history.csv | Page 1 | 9755.65</t>
        </r>
      </text>
    </comment>
    <comment ref="I106" authorId="0">
      <text>
        <r>
          <rPr>
            <sz val="9"/>
            <color rgb="FF000000"/>
            <rFont val="Arial"/>
            <family val="2"/>
          </rPr>
          <t>SAP_history.csv | Page 1 | 9684.0</t>
        </r>
      </text>
    </comment>
    <comment ref="D107" authorId="0">
      <text>
        <r>
          <rPr>
            <sz val="9"/>
            <color rgb="FF000000"/>
            <rFont val="Arial"/>
            <family val="2"/>
          </rPr>
          <t>SAP_history.csv | Page 1 | 1.66</t>
        </r>
      </text>
    </comment>
    <comment ref="E107" authorId="0">
      <text>
        <r>
          <rPr>
            <sz val="9"/>
            <color rgb="FF000000"/>
            <rFont val="Arial"/>
            <family val="2"/>
          </rPr>
          <t>SAP_history.csv | Page 1 | 1.72</t>
        </r>
      </text>
    </comment>
    <comment ref="F107" authorId="0">
      <text>
        <r>
          <rPr>
            <sz val="9"/>
            <color rgb="FF000000"/>
            <rFont val="Arial"/>
            <family val="2"/>
          </rPr>
          <t>SAP_history.csv | Page 1 | 1.55</t>
        </r>
      </text>
    </comment>
    <comment ref="G107" authorId="0">
      <text>
        <r>
          <rPr>
            <sz val="9"/>
            <color rgb="FF000000"/>
            <rFont val="Arial"/>
            <family val="2"/>
          </rPr>
          <t>SAP_history.csv | Page 1 | 1.66</t>
        </r>
      </text>
    </comment>
    <comment ref="H107" authorId="0">
      <text>
        <r>
          <rPr>
            <sz val="9"/>
            <color rgb="FF000000"/>
            <rFont val="Arial"/>
            <family val="2"/>
          </rPr>
          <t>SAP_history.csv | Page 1 | 9554.56</t>
        </r>
      </text>
    </comment>
    <comment ref="I107" authorId="0">
      <text>
        <r>
          <rPr>
            <sz val="9"/>
            <color rgb="FF000000"/>
            <rFont val="Arial"/>
            <family val="2"/>
          </rPr>
          <t>SAP_history.csv | Page 1 | 9555.0</t>
        </r>
      </text>
    </comment>
    <comment ref="D108" authorId="0">
      <text>
        <r>
          <rPr>
            <sz val="9"/>
            <color rgb="FF000000"/>
            <rFont val="Arial"/>
            <family val="2"/>
          </rPr>
          <t>SAP_history.csv | Page 1 | 1.75</t>
        </r>
      </text>
    </comment>
    <comment ref="E108" authorId="0">
      <text>
        <r>
          <rPr>
            <sz val="9"/>
            <color rgb="FF000000"/>
            <rFont val="Arial"/>
            <family val="2"/>
          </rPr>
          <t>SAP_history.csv | Page 1 | 1.59</t>
        </r>
      </text>
    </comment>
    <comment ref="F108" authorId="0">
      <text>
        <r>
          <rPr>
            <sz val="9"/>
            <color rgb="FF000000"/>
            <rFont val="Arial"/>
            <family val="2"/>
          </rPr>
          <t>SAP_history.csv | Page 1 | 1.67</t>
        </r>
      </text>
    </comment>
    <comment ref="G108" authorId="0">
      <text>
        <r>
          <rPr>
            <sz val="9"/>
            <color rgb="FF000000"/>
            <rFont val="Arial"/>
            <family val="2"/>
          </rPr>
          <t>SAP_history.csv | Page 1 | 1.89</t>
        </r>
      </text>
    </comment>
    <comment ref="H108" authorId="0">
      <text>
        <r>
          <rPr>
            <sz val="9"/>
            <color rgb="FF000000"/>
            <rFont val="Arial"/>
            <family val="2"/>
          </rPr>
          <t>SAP_history.csv | Page 1 | 9879.4</t>
        </r>
      </text>
    </comment>
    <comment ref="I108" authorId="0">
      <text>
        <r>
          <rPr>
            <sz val="9"/>
            <color rgb="FF000000"/>
            <rFont val="Arial"/>
            <family val="2"/>
          </rPr>
          <t>SAP_history.csv | Page 1 | 9877.0</t>
        </r>
      </text>
    </comment>
    <comment ref="C113" authorId="0">
      <text>
        <r>
          <rPr>
            <sz val="9"/>
            <color rgb="FF000000"/>
            <rFont val="Arial"/>
            <family val="2"/>
          </rPr>
          <t>stockanalysis.com SAP market cap | Page 1 | $258.68 billion as of October 16, 2026</t>
        </r>
      </text>
    </comment>
    <comment ref="C130" authorId="0">
      <text>
        <r>
          <rPr>
            <sz val="9"/>
            <color rgb="FF000000"/>
            <rFont val="Arial"/>
            <family val="2"/>
          </rPr>
          <t>exchangerates.org.uk EUR-USD 2026 history | Page 1 | 1 EUR = 1.1239 USD</t>
        </r>
      </text>
    </comment>
    <comment ref="C131" authorId="0">
      <text>
        <r>
          <rPr>
            <sz val="9"/>
            <color rgb="FF000000"/>
            <rFont val="Arial"/>
            <family val="2"/>
          </rPr>
          <t>sap-2025-annual-report-form-20f.pdf | Page 1 | each representing one SAP ordinary share</t>
        </r>
      </text>
    </comment>
    <comment ref="C132" authorId="0">
      <text>
        <r>
          <rPr>
            <sz val="9"/>
            <color rgb="FF000000"/>
            <rFont val="Arial"/>
            <family val="2"/>
          </rPr>
          <t>sap.com investors consensus page | Page 1 | 10,119</t>
        </r>
      </text>
    </comment>
    <comment ref="C133" authorId="0">
      <text>
        <r>
          <rPr>
            <sz val="9"/>
            <color rgb="FF000000"/>
            <rFont val="Arial"/>
            <family val="2"/>
          </rPr>
          <t>sap.com investors consensus page | Page 1 | 2,942</t>
        </r>
      </text>
    </comment>
    <comment ref="C134" authorId="0">
      <text>
        <r>
          <rPr>
            <sz val="9"/>
            <color rgb="FF000000"/>
            <rFont val="Arial"/>
            <family val="2"/>
          </rPr>
          <t>sap.com investors consensus page | Page 1 | 1.80</t>
        </r>
      </text>
    </comment>
    <comment ref="C135" authorId="0">
      <text>
        <r>
          <rPr>
            <sz val="9"/>
            <color rgb="FF000000"/>
            <rFont val="Arial"/>
            <family val="2"/>
          </rPr>
          <t>sap.com investors consensus page | Page 1 | 6,594</t>
        </r>
      </text>
    </comment>
  </commentList>
</comments>
</file>

<file path=xl/sharedStrings.xml><?xml version="1.0" encoding="utf-8"?>
<sst xmlns="http://schemas.openxmlformats.org/spreadsheetml/2006/main" count="947" uniqueCount="947">
  <si>
    <t>SAP SE (XTRA:SAP)</t>
  </si>
  <si>
    <t>Cover</t>
  </si>
  <si>
    <t>EUR millions, except per share</t>
  </si>
  <si>
    <t>Period</t>
  </si>
  <si>
    <t>3Q25A</t>
  </si>
  <si>
    <t>4Q25A</t>
  </si>
  <si>
    <t>1Q26A</t>
  </si>
  <si>
    <t>2Q26A</t>
  </si>
  <si>
    <t>FY25A</t>
  </si>
  <si>
    <t>3Q26E</t>
  </si>
  <si>
    <t>Period end</t>
  </si>
  <si>
    <t>Days in period</t>
  </si>
  <si>
    <t>Company Model — built by Shortcut</t>
  </si>
  <si>
    <t>Author: Shortcut</t>
  </si>
  <si>
    <t>Company</t>
  </si>
  <si>
    <t>SAP SE</t>
  </si>
  <si>
    <t>Ticker</t>
  </si>
  <si>
    <t>SAP (XTRA:SAP); NYSE ADR: SAP, 1 ADR = 1 ordinary share</t>
  </si>
  <si>
    <t>Exchange</t>
  </si>
  <si>
    <t>Xetra / Frankfurt Stock Exchange (primary); NYSE (ADR)</t>
  </si>
  <si>
    <t>Fiscal year end</t>
  </si>
  <si>
    <t>31 December; FQ3 2026 = quarter ended 30-Sep-2026 (supplied label 2026-09-30 is the true quarter end)</t>
  </si>
  <si>
    <t>Currency</t>
  </si>
  <si>
    <t>EUR; amounts in EUR millions, EPS in EUR per ordinary share</t>
  </si>
  <si>
    <t>EPS basis</t>
  </si>
  <si>
    <t>Non-IFRS (normalized) EPS, basic weighted shares, as published by SAP = CapIQ normalized EPS actuals</t>
  </si>
  <si>
    <t>Information cutoff</t>
  </si>
  <si>
    <t>2026-10-18 21:34 UTC</t>
  </si>
  <si>
    <t>Expected report date</t>
  </si>
  <si>
    <t>2026-10-21, 22:05 CEST (16:05 New York), per SAP IR calendar</t>
  </si>
  <si>
    <t>3Q26E headline (EUR m; EPS in EUR)</t>
  </si>
  <si>
    <t>Shortcut estimate</t>
  </si>
  <si>
    <t>Consensus at cutoff (CapIQ)</t>
  </si>
  <si>
    <t>Variance</t>
  </si>
  <si>
    <t>Variance %</t>
  </si>
  <si>
    <t>Guidance midpoint (derived)</t>
  </si>
  <si>
    <t>Estimate vs guidance</t>
  </si>
  <si>
    <t>Total revenue</t>
  </si>
  <si>
    <t>Net income (non-IFRS, owners)</t>
  </si>
  <si>
    <t>Normalized EPS, non-IFRS basic (EUR)</t>
  </si>
  <si>
    <t>IFRS diluted EPS (EUR) - not like-for-like</t>
  </si>
  <si>
    <t>n/a</t>
  </si>
  <si>
    <t>Structural / linkage check (incl. identities)</t>
  </si>
  <si>
    <t>PASS</t>
  </si>
  <si>
    <t>Structural/linkage validation only, not independent forecast proof. Sums the same 14 check ranges incl. identities (bridge rounding residuals, residual Geo regions, CF/BS cash link, EPS x shares) plus the 3Q26E IFRS-to-non-IFRS bridge plugs IS H78/H83/H92 (each must be 0); threshold 0.001.</t>
  </si>
  <si>
    <t>P(beat consensus EPS)</t>
  </si>
  <si>
    <t>Confidence</t>
  </si>
  <si>
    <t>low</t>
  </si>
  <si>
    <t>Memo: other references</t>
  </si>
  <si>
    <t>Co. consensus EPS (VA, 13-Oct)</t>
  </si>
  <si>
    <t>Co. consensus OP / revenue</t>
  </si>
  <si>
    <t>Shortcut non-IFRS OP / margin</t>
  </si>
  <si>
    <t>CapIQ EPS median/high/low/n</t>
  </si>
  <si>
    <t>Normalized EPS in USD (per ADR)</t>
  </si>
  <si>
    <t>Starting P(beat): size prior + beat history</t>
  </si>
  <si>
    <t>Check: Cover estimates - statement cells</t>
  </si>
  <si>
    <t>Memo: IFRS basic EPS (EUR) vs CapIQ GAAP</t>
  </si>
  <si>
    <t>Basis warning: CapIQ GAAP EPS actuals (Inputs G103:G108) equal SAP IFRS basic EPS in 6 of 6 quarters, so row 26 (IFRS diluted vs CapIQ GAAP) is not like-for-like; row 39 is the basic-basis memo. Row 26 forecast unchanged.</t>
  </si>
  <si>
    <t>Revenue summary</t>
  </si>
  <si>
    <t>Memo: prior-year comparatives (reported) - for Y/Y and FY25 = sum of quarters</t>
  </si>
  <si>
    <t>3Q24A</t>
  </si>
  <si>
    <t>4Q24A</t>
  </si>
  <si>
    <t>1Q25A</t>
  </si>
  <si>
    <t>2Q25A</t>
  </si>
  <si>
    <t>FY24A</t>
  </si>
  <si>
    <t>Notes</t>
  </si>
  <si>
    <t>Revenue by reported segment</t>
  </si>
  <si>
    <t>Applications, Technology &amp; Support</t>
  </si>
  <si>
    <t>Applications, Technology &amp; Support (ATS)</t>
  </si>
  <si>
    <t>% Y/Y</t>
  </si>
  <si>
    <t>Q/Q change (EUR m)</t>
  </si>
  <si>
    <t>% Q/Q</t>
  </si>
  <si>
    <t>% of total revenue</t>
  </si>
  <si>
    <t>Currency impact (EUR m)</t>
  </si>
  <si>
    <t>Currency impact (EUR m; cc revenue less actual)</t>
  </si>
  <si>
    <t>Constant-currency growth</t>
  </si>
  <si>
    <t>FX impact</t>
  </si>
  <si>
    <t>M&amp;A / scope contribution</t>
  </si>
  <si>
    <t>Organic growth</t>
  </si>
  <si>
    <t>Core Services</t>
  </si>
  <si>
    <t>Rounding difference (as reported)</t>
  </si>
  <si>
    <t>Difference between the reported subtotal and the sum of reported (rounded) components; hardcoded so subtotals equal the published figure.</t>
  </si>
  <si>
    <t>Currency impact (EUR m; cc revenue less actual). Reported currency impact = constant-currency revenue minus actual-currency revenue. FY25 is the reported full-year figure.</t>
  </si>
  <si>
    <t>n/a = acquisition contribution not disclosed for this line/period (not assumed zero).</t>
  </si>
  <si>
    <t>Revenue by type</t>
  </si>
  <si>
    <t>Cloud</t>
  </si>
  <si>
    <t>Software licenses</t>
  </si>
  <si>
    <t>Software support</t>
  </si>
  <si>
    <t>Services in ATS (training)</t>
  </si>
  <si>
    <t>Services in Core Services</t>
  </si>
  <si>
    <t>Services</t>
  </si>
  <si>
    <t>Total revenue (by type)</t>
  </si>
  <si>
    <t>Check: by type - by segment</t>
  </si>
  <si>
    <t>Check: revenue by type - revenue by segment</t>
  </si>
  <si>
    <t>Check: segments - total revenue</t>
  </si>
  <si>
    <t>Check: ATS + Core Services + published rounding - total revenue</t>
  </si>
  <si>
    <t>Geography: revenue is disclosed for EMEA, Americas and APJ (with Germany, U.S. and Japan) - see Geo tab.</t>
  </si>
  <si>
    <t>Segment - Applications, Technology &amp; Support (ATS)</t>
  </si>
  <si>
    <t>Cloud backlog driver ladder (current cloud backlog, CCB)</t>
  </si>
  <si>
    <t>Opening CCB</t>
  </si>
  <si>
    <t>Gross cloud order entry added to CCB</t>
  </si>
  <si>
    <t>Not disclosed by SAP (only order-entry size mix is disclosed); shown as unavailable, not zero.</t>
  </si>
  <si>
    <t>Churn / terminations / burn-off</t>
  </si>
  <si>
    <t>Terminations / churn and revenue burn-off. Not disclosed by SAP; shown as unavailable, not zero.</t>
  </si>
  <si>
    <t>Net change in CCB (net adds)</t>
  </si>
  <si>
    <t>Net change in CCB (net additions, implied)</t>
  </si>
  <si>
    <t>Closing CCB (reported)</t>
  </si>
  <si>
    <t>3Q26E closing CCB = 3Q25 CCB x (1 + assumed reported growth). Street previews: ~24-25% cc (BofA 24.7%, consensus ~24.3%).</t>
  </si>
  <si>
    <t>Constant-currency growth (reported, rounded %)</t>
  </si>
  <si>
    <t>FX diagnostic convention (analyst judgment, not a coherently derived FX forecast): cloud 1.0% (ATS H77 = guided 1.5pp less 0.5pp trim), non-cloud lines 0.8% hardcode (ATS H87/H97/H129, CS H18), closing CCB 0% (ATS H20), Guidance H47 untrimmed guided 1.0pp. Drives currency-impact / cc / organic display rows only (e.g. Revenue summary H36:H40, segment and Geo cc rows); reported revenue and EPS do not use it. Unresolved; values retained.</t>
  </si>
  <si>
    <t>Average CCB</t>
  </si>
  <si>
    <t>Total cloud backlog (annual)</t>
  </si>
  <si>
    <t>Total cloud backlog (disclosed annually). SAP discloses total cloud backlog only at year end (EUR 77.29bn at 31-Dec-2025, Q4 2025 statement p.4).</t>
  </si>
  <si>
    <t>Cloud revenue / opening CCB</t>
  </si>
  <si>
    <t>Cloud revenue / opening CCB (conversion). 3Q26E driver: quarterly cloud revenue as % of opening CCB. 3Q25 29.3%, 4Q25 29.8%, 1Q26 28.3%, 2Q26 28.6%; 3Q26E 28.74% (cloud revenue in line with Street ~EUR 6.59bn).</t>
  </si>
  <si>
    <t>Q/Q change (bps)</t>
  </si>
  <si>
    <t>Y/Y change (bps)</t>
  </si>
  <si>
    <t>Prior-year conversion needs 2Q24 CCB, which is outside the memo block, so history is n/a.</t>
  </si>
  <si>
    <t>Cloud revenue build</t>
  </si>
  <si>
    <t>Cloud ERP Suite</t>
  </si>
  <si>
    <t>3Q26E = total cloud revenue (CCB-driven) less Extension Suite and IaaS (residual).</t>
  </si>
  <si>
    <t>Extension Suite</t>
  </si>
  <si>
    <t>SaaS / PaaS</t>
  </si>
  <si>
    <t>IaaS</t>
  </si>
  <si>
    <t>Cloud revenue</t>
  </si>
  <si>
    <t>3Q26E = opening CCB (30-Jun-2026) x conversion assumption.</t>
  </si>
  <si>
    <t>Acquired revenue (EUR m)</t>
  </si>
  <si>
    <t>Acquired revenue in period, disclosed (EUR m). 4Q25: SmartRecruiters ~EUR20m (only acquisition outside the base). 2Q26: Reltio ~EUR25m disclosed but SmartRecruiters not, so total unavailable. 3Q26E assumption: Reltio ~40 + SmartRecruiters stub ~15 + Dremio ~5.</t>
  </si>
  <si>
    <t>FX adj. vs guided cloud FX (pp)</t>
  </si>
  <si>
    <t>SAP guided +1.5pp cloud FX for 3Q26 at 30-Jun-2026 rates (EUR/USD 1.14; Guidance tab). 3Q26 average EUR/USD was ~1.151 (Banque de France Jul-Sep 1.1417/1.1593/1.1513), so the tailwind is trimmed by 0.5pp.</t>
  </si>
  <si>
    <t>3Q26E driver: support base erodes Q/Q as customers move to cloud (Q/Q: 3Q25 -2.9%, 1Q26 -3.4%, 2Q26 -1.2%); assumption -2.72% Q/Q (= -7.5% Y/Y).</t>
  </si>
  <si>
    <t>Software licenses and support</t>
  </si>
  <si>
    <t>Cloud and software revenue</t>
  </si>
  <si>
    <t>Services (training, within ATS)</t>
  </si>
  <si>
    <t>Total ATS segment revenue</t>
  </si>
  <si>
    <t>Segment cost build (non-IFRS, as reported in segment note)</t>
  </si>
  <si>
    <t>Cost of cloud</t>
  </si>
  <si>
    <t>Segment cloud gross margin</t>
  </si>
  <si>
    <t>Cost of software licenses and support</t>
  </si>
  <si>
    <t>Cost of SL&amp;S as % of SL&amp;S revenue</t>
  </si>
  <si>
    <t>Cost of cloud and software</t>
  </si>
  <si>
    <t>Cost of services</t>
  </si>
  <si>
    <t>Cost of services % of services rev.</t>
  </si>
  <si>
    <t>Cost of services as % of ATS services revenue</t>
  </si>
  <si>
    <t>Total segment cost of revenue</t>
  </si>
  <si>
    <t>Segment gross profit</t>
  </si>
  <si>
    <t>Segment gross margin</t>
  </si>
  <si>
    <t>Other segment expenses</t>
  </si>
  <si>
    <t>Other expenses % of revenue</t>
  </si>
  <si>
    <t>Other segment expenses as % of segment revenue</t>
  </si>
  <si>
    <t>ATS segment profit</t>
  </si>
  <si>
    <t>Segment margin</t>
  </si>
  <si>
    <t>Operating drivers (group cloud &amp; software delivery headcount)</t>
  </si>
  <si>
    <t>Cloud &amp; software FTE (closing)</t>
  </si>
  <si>
    <t>Cloud &amp; software FTE, period end (group functional area)</t>
  </si>
  <si>
    <t>Q/Q change (FTE)</t>
  </si>
  <si>
    <t>Cloud rev. per avg C&amp;S FTE (EUR k)</t>
  </si>
  <si>
    <t>Cloud revenue per average C&amp;S FTE (EUR k, quarterly)</t>
  </si>
  <si>
    <t>Y/Y change (EUR k)</t>
  </si>
  <si>
    <t>Prior-year averages need 2Q24 FTE, outside the memo block; history n/a.</t>
  </si>
  <si>
    <t>Q/Q change (EUR k)</t>
  </si>
  <si>
    <t>Segment - Core Services</t>
  </si>
  <si>
    <t>Revenue build</t>
  </si>
  <si>
    <t>Core Services segment revenue (services)</t>
  </si>
  <si>
    <t>3Q26E = average services FTE x revenue per average services FTE (consulting and premium support; consultants being reallocated to AI agent work per Q2 call).</t>
  </si>
  <si>
    <t>Share of group services revenue</t>
  </si>
  <si>
    <t>Operating drivers (group services headcount)</t>
  </si>
  <si>
    <t>Opening services FTE</t>
  </si>
  <si>
    <t>Gross hires / acquired FTE</t>
  </si>
  <si>
    <t>Not disclosed by SAP; unavailable, not zero.</t>
  </si>
  <si>
    <t>Attrition / transfers out</t>
  </si>
  <si>
    <t>Net change in services FTE</t>
  </si>
  <si>
    <t>Services FTE (closing)</t>
  </si>
  <si>
    <t>Services FTE, period end (group functional area)</t>
  </si>
  <si>
    <t>Average services FTE</t>
  </si>
  <si>
    <t>Revenue per avg services FTE (EUR k)</t>
  </si>
  <si>
    <t>Core Services revenue per average services FTE (EUR k, quarterly). 3Q26E EUR51.5k per average services FTE per quarter (3Q25 52.8, 4Q25 51.8, 1Q26 50.6, 2Q26 51.7).</t>
  </si>
  <si>
    <t>3Q26E assumption: EUR -63m, i.e. EUR 1m higher cost of cloud than 2Q26 (EUR -62m; H38 = -1.0), not flat. Segment memo only; does not feed the Income Statement or EPS.</t>
  </si>
  <si>
    <t>Cost of services % of revenue</t>
  </si>
  <si>
    <t>Cost of services as % of segment revenue</t>
  </si>
  <si>
    <t>Core Services segment profit</t>
  </si>
  <si>
    <t>Income Statement (IFRS as reported, IFRS to non-IFRS bridge, non-IFRS forecast engine)</t>
  </si>
  <si>
    <t>IFRS income statement (as reported)</t>
  </si>
  <si>
    <t>Cloud and software</t>
  </si>
  <si>
    <t>Total cost of revenue</t>
  </si>
  <si>
    <t>Gross profit</t>
  </si>
  <si>
    <t>Formula (revenue + cost of revenue); 4Q24 and FY24 memo differ from the published gross profit by EUR 1m rounding.</t>
  </si>
  <si>
    <t>Gross margin</t>
  </si>
  <si>
    <t>Research and development</t>
  </si>
  <si>
    <t>Sales and marketing</t>
  </si>
  <si>
    <t>General and administration</t>
  </si>
  <si>
    <t>Restructuring</t>
  </si>
  <si>
    <t>Other operating income/expense, net</t>
  </si>
  <si>
    <t>Total operating expenses</t>
  </si>
  <si>
    <t>Total operating expenses (incl. cost of revenue)</t>
  </si>
  <si>
    <t>Operating profit (IFRS)</t>
  </si>
  <si>
    <t>Operating margin (IFRS)</t>
  </si>
  <si>
    <t>Other non-operating income/expense, net</t>
  </si>
  <si>
    <t>3Q26E assumption: +EUR10m (last four quarters +46/+65/+24/-39; mainly FX-related items, EUR/USD stable through 3Q26).</t>
  </si>
  <si>
    <t>Finance income</t>
  </si>
  <si>
    <t>Finance costs</t>
  </si>
  <si>
    <t>Financial income, net</t>
  </si>
  <si>
    <t>Profit before tax (IFRS)</t>
  </si>
  <si>
    <t>Income tax expense</t>
  </si>
  <si>
    <t>Effective tax rate (IFRS)</t>
  </si>
  <si>
    <t>Profit after tax (IFRS)</t>
  </si>
  <si>
    <t>Attributable to NCI</t>
  </si>
  <si>
    <t>Attributable to non-controlling interests</t>
  </si>
  <si>
    <t>Net income to owners (IFRS)</t>
  </si>
  <si>
    <t>Profit attributable to owners of parent (IFRS net income)</t>
  </si>
  <si>
    <t>Net margin (IFRS, owners)</t>
  </si>
  <si>
    <t>Weighted average shares, basic (m)</t>
  </si>
  <si>
    <t>Weighted average shares, diluted (m)</t>
  </si>
  <si>
    <t>IFRS EPS, basic (EUR)</t>
  </si>
  <si>
    <t>IFRS EPS, diluted (EUR)</t>
  </si>
  <si>
    <t>Memo: IFRS EPS basic as published (EUR)</t>
  </si>
  <si>
    <t>Memo: IFRS diluted EPS published</t>
  </si>
  <si>
    <t>Memo: IFRS EPS diluted as published (EUR)</t>
  </si>
  <si>
    <t>Memo: diluted EPS vs published</t>
  </si>
  <si>
    <t>Memo: model diluted EPS less published (share-count rounding)</t>
  </si>
  <si>
    <t>IFRS to non-IFRS bridge (one row per adjustment)</t>
  </si>
  <si>
    <t>IFRS operating profit</t>
  </si>
  <si>
    <t>Add: acquisition-related charges</t>
  </si>
  <si>
    <t>3Q26E assumption EUR100m: FY26 outlook EUR340-420m, 1H26 EUR177m, plus amortisation from Dremio/Prior Labs (closed July).</t>
  </si>
  <si>
    <t>Add: restructuring</t>
  </si>
  <si>
    <t>FY26 outlook EUR0-20m; 1H26 already EUR19m.</t>
  </si>
  <si>
    <t>Add: Teradata litigation</t>
  </si>
  <si>
    <t>Settled Feb-2026; no further expense expected.</t>
  </si>
  <si>
    <t>Add: regulatory compliance matters</t>
  </si>
  <si>
    <t>Total operating adjustments</t>
  </si>
  <si>
    <t>Total operating adjustments (as itemised)</t>
  </si>
  <si>
    <t>Add: rounding (as published)</t>
  </si>
  <si>
    <t>Add: rounding (published non-IFRS less sum)</t>
  </si>
  <si>
    <t>Non-IFRS operating profit (bridge)</t>
  </si>
  <si>
    <t>IFRS profit before tax</t>
  </si>
  <si>
    <t>Add: operating adjustments</t>
  </si>
  <si>
    <t>Add: operating adjustments (incl. rounding)</t>
  </si>
  <si>
    <t>Add: equity-securities (gains)/losses</t>
  </si>
  <si>
    <t>Add: (gains)/losses from equity securities, net. Not forecast (SAP: cannot be estimated without unreasonable effort); 3Q26E assumes nil, so IFRS EPS excludes any venture-portfolio gains.</t>
  </si>
  <si>
    <t>Non-IFRS profit before tax (bridge)</t>
  </si>
  <si>
    <t>IFRS income tax expense</t>
  </si>
  <si>
    <t>Add: tax effect of adjustments</t>
  </si>
  <si>
    <t>Implied tax rate on adjustments</t>
  </si>
  <si>
    <t>3Q26E: 25% tax shield assumed on acquisition-related charges (historical implied rates are distorted by tax-exempt equity gains). Historical C87:G87 displayed as n.m. (formulas retained; mixed operating adjustments and equity gains make the ratio not meaningful).</t>
  </si>
  <si>
    <t>Non-IFRS income tax expense (bridge)</t>
  </si>
  <si>
    <t>IFRS profit after tax</t>
  </si>
  <si>
    <t>Add: pre-tax adjustments</t>
  </si>
  <si>
    <t>Add: pre-tax adjustments (incl. rounding)</t>
  </si>
  <si>
    <t>Non-IFRS profit after tax (bridge)</t>
  </si>
  <si>
    <t>IFRS non-controlling interests</t>
  </si>
  <si>
    <t>Less: NCI share of adjustments</t>
  </si>
  <si>
    <t>Equity-security gains in partly owned venture funds drive IFRS NCI; 3Q26E assumes none (consistent with zero equity gains).</t>
  </si>
  <si>
    <t>Non-IFRS NCI (bridge)</t>
  </si>
  <si>
    <t>Non-IFRS non-controlling interests (bridge)</t>
  </si>
  <si>
    <t>IFRS profit attributable to owners</t>
  </si>
  <si>
    <t>Add: owners share of adjustments</t>
  </si>
  <si>
    <t>Add: adjustments attributable to owners (after tax, incl. rounding)</t>
  </si>
  <si>
    <t>Non-IFRS NI to owners (bridge)</t>
  </si>
  <si>
    <t>Non-IFRS profit attributable to owners (bridge)</t>
  </si>
  <si>
    <t>Check: bridge NI - non-IFRS P&amp;L</t>
  </si>
  <si>
    <t>Check: bridge non-IFRS net income - non-IFRS P&amp;L</t>
  </si>
  <si>
    <t>Check: bridge OP - non-IFRS P&amp;L</t>
  </si>
  <si>
    <t>Check: bridge non-IFRS operating profit - non-IFRS P&amp;L</t>
  </si>
  <si>
    <t>Non-IFRS income statement (consensus basis; 3Q26E forecast engine)</t>
  </si>
  <si>
    <t>Non-IFRS cloud gross margin</t>
  </si>
  <si>
    <t>3Q26E 74.8%: 3Q25 75.1%, 1Q26 75.2%, 2Q26 74.6% (Q2 one-off test/sovereign environment costs per CFO not expected to recur).</t>
  </si>
  <si>
    <t>Cost of services as % of services revenue</t>
  </si>
  <si>
    <t>Total cost of revenue (non-IFRS)</t>
  </si>
  <si>
    <t>Gross profit (non-IFRS)</t>
  </si>
  <si>
    <t>Gross margin (non-IFRS)</t>
  </si>
  <si>
    <t>3Q26E assumption: EUR -15m (last four quarters -8/-21/-22/-14).</t>
  </si>
  <si>
    <t>Total operating expenses (non-IFRS, incl. cost of revenue)</t>
  </si>
  <si>
    <t>Non-IFRS operating profit</t>
  </si>
  <si>
    <t>Operating margin (non-IFRS)</t>
  </si>
  <si>
    <t>Non-IFRS OP before SBC</t>
  </si>
  <si>
    <t>Non-IFRS operating profit before share-based payments</t>
  </si>
  <si>
    <t>Margin before share-based payments</t>
  </si>
  <si>
    <t>Finance income (non-IFRS)</t>
  </si>
  <si>
    <t>3Q26E assumption EUR90m: 1Q26 90, 2Q26 101; lower average cash after EUR1.05bn Dremio/Prior Labs and EUR1.5bn buyback in Q3.</t>
  </si>
  <si>
    <t>Finance costs (non-IFRS)</t>
  </si>
  <si>
    <t>3Q26E assumption EUR-158m: 2Q26 -161 incl. one month of the EUR3.5bn June-2026 Eurobond; Q3 full quarter offset by lower other costs.</t>
  </si>
  <si>
    <t>Financial income, net (non-IFRS)</t>
  </si>
  <si>
    <t>Profit before tax (non-IFRS)</t>
  </si>
  <si>
    <t>Income tax expense (non-IFRS)</t>
  </si>
  <si>
    <t>Effective tax rate (non-IFRS)</t>
  </si>
  <si>
    <t>FY26 outlook ~29%; 1H26 30.0% implies ~28% in 2H26. 3Q26E 28.5% (3Q25 27.9%).</t>
  </si>
  <si>
    <t>Profit after tax (non-IFRS)</t>
  </si>
  <si>
    <t>Non-controlling interests (non-IFRS)</t>
  </si>
  <si>
    <t>3Q26E assumption EUR3m (last four quarters 6/8/1/-4).</t>
  </si>
  <si>
    <t>Non-IFRS net income to owners</t>
  </si>
  <si>
    <t>Non-IFRS profit attributable to owners (consensus-basis net income)</t>
  </si>
  <si>
    <t>Normalized EPS, basic (EUR)</t>
  </si>
  <si>
    <t>Normalized EPS - consensus basis (non-IFRS, basic, EUR). SAP reports non-IFRS EPS on basic weighted shares; CapIQ "normalized diluted EPS" actuals in SAP_history.csv equal these published basic figures for all six quarters.</t>
  </si>
  <si>
    <t>Q/Q change (EUR)</t>
  </si>
  <si>
    <t>Memo: non-IFRS EPS, diluted (EUR)</t>
  </si>
  <si>
    <t>Memo: non-IFRS EPS on diluted shares (EUR)</t>
  </si>
  <si>
    <t>Memo: non-IFRS EPS published</t>
  </si>
  <si>
    <t>Memo: non-IFRS EPS as published (basic, EUR)</t>
  </si>
  <si>
    <t>CapIQ normalized EPS actual (Inputs)</t>
  </si>
  <si>
    <t>CapIQ EPS consensus (Inputs)</t>
  </si>
  <si>
    <t>CapIQ normalized EPS consensus (Inputs; 3Q26E = frozen at cutoff)</t>
  </si>
  <si>
    <t>EPS surprise vs CapIQ (EUR)</t>
  </si>
  <si>
    <t>EPS surprise vs CapIQ consensus (EUR; 3Q26E = estimate less consensus)</t>
  </si>
  <si>
    <t>Check: model EPS (2dp) - CapIQ</t>
  </si>
  <si>
    <t>Check: model non-IFRS EPS (rounded to 2dp) - CapIQ actual</t>
  </si>
  <si>
    <t>Check: EPS x shares - net income</t>
  </si>
  <si>
    <t>Check: EPS x basic shares - non-IFRS net income (consensus basis)</t>
  </si>
  <si>
    <t>Check: IFRS dil. EPS x shares - NI</t>
  </si>
  <si>
    <t>Check: IFRS diluted EPS x diluted shares - IFRS net income</t>
  </si>
  <si>
    <t>Operating expense drivers (share-based payments and headcount)</t>
  </si>
  <si>
    <t>Share-based payments in cost of revenue</t>
  </si>
  <si>
    <t>MEDIUM, unresolved: SAP's Q2 2026 statement says share-based payment expenses are included in non-IFRS operating expenses, so the 3Q26E gross-margin ratios are treated as SBC-inclusive and this component estimate (H175) is not charged again. Allocation is unreconciled: if the margins did not absorb the +EUR12.8m increase vs 2Q26, EPS would be ~EUR0.008 lower. Not a confirmed omission; no driver changed.</t>
  </si>
  <si>
    <t>Share-based payments in R&amp;D</t>
  </si>
  <si>
    <t>Share-based payments in S&amp;M</t>
  </si>
  <si>
    <t>Share-based payments in G&amp;A</t>
  </si>
  <si>
    <t>SBC expense (in non-IFRS opex)</t>
  </si>
  <si>
    <t>Share-based payment expense (in non-IFRS opex)</t>
  </si>
  <si>
    <t>Share of SBC in RD</t>
  </si>
  <si>
    <t>Share of SBC in SM</t>
  </si>
  <si>
    <t>Share of SBC in GA</t>
  </si>
  <si>
    <t>SBC share: cost of revenue</t>
  </si>
  <si>
    <t>Share of SBC in cost of revenue (residual). Cost-of-revenue SBC is embedded in the gross-margin ratios used for 3Q26E; shown for completeness.</t>
  </si>
  <si>
    <t>SAP share price, close (EUR)</t>
  </si>
  <si>
    <t>SAP share price, period end (EUR, Xetra close). Observed Xetra closes (30-Dec-2025, 31-Mar-2026, 30-Jun-2026, 30-Sep-2026); 30-Sep-2025 close not retrieved (n/a).</t>
  </si>
  <si>
    <t>Change in share price in quarter (EUR)</t>
  </si>
  <si>
    <t>Equity-settled SBC run-rate</t>
  </si>
  <si>
    <t>Equity-settled SBC run-rate (assumption). 1H26 equity-settled SBC EUR706m (Half-Year Report 2026, Note B.3) = ~EUR353m/qtr; 9.1m equity-settled units granted in 1H26.</t>
  </si>
  <si>
    <t>Cash-settled SBC base accrual</t>
  </si>
  <si>
    <t>Cash-settled SBC accrual before remeasurement (assumption). 1H26 cash-settled SBC EUR47m with a ~EUR74 share-price fall; 1H25 EUR255m with ~+EUR22. Implies ~EUR80-105m/qtr base accrual.</t>
  </si>
  <si>
    <t>Cash-settled sensitivity (EUR m/EUR)</t>
  </si>
  <si>
    <t>Cash-settled remeasurement (EUR m per EUR 1 share-price change). Derived from 1H25 vs 1H26 cash-settled expense swing (EUR208m on ~EUR96 price swing = ~2.2) scaled down for shrinking cash-settled unit base.</t>
  </si>
  <si>
    <t>Cash-settled SBC (derived)</t>
  </si>
  <si>
    <t>MEDIUM, unresolved: H192 30-Sep-2026 close 185.66 comes from S14 (TickerLandia dynamic page retrieved 19-Oct-2026, after the cutoff; no archived pre-cutoff capture) and H196 sensitivity 1.7 is a judgmental scaling of ~2.2. Remeasurement 1.7 x 51.66 = EUR87.8m pre-tax = ~EUR0.0546 EPS after 28.5% tax on 1,149.582m shares (each +/-0.1 sensitivity ~ +/-EUR0.003). Values retained; no new research.</t>
  </si>
  <si>
    <t>FTE, period end - Cloud &amp; software</t>
  </si>
  <si>
    <t>FTE, period end - Services</t>
  </si>
  <si>
    <t>FTE (closing): R&amp;D</t>
  </si>
  <si>
    <t>FTE, period end - Research &amp; development. 3Q26E assumptions: hiring largely frozen (CEO, Q2 call: "nowhere near" planned hiring) plus ~400 acquired Dremio/Prior Labs staff.</t>
  </si>
  <si>
    <t>FTE, period end - Sales &amp; marketing</t>
  </si>
  <si>
    <t>FTE (closing): G&amp;A</t>
  </si>
  <si>
    <t>FTE, period end - General &amp; administration</t>
  </si>
  <si>
    <t>FTE, period end - Infrastructure</t>
  </si>
  <si>
    <t>FTE, period end - SAP Group</t>
  </si>
  <si>
    <t>Average R&amp;D FTE</t>
  </si>
  <si>
    <t>R&amp;D expense excl. SBC</t>
  </si>
  <si>
    <t>R&amp;D expense excl. share-based payments (non-IFRS)</t>
  </si>
  <si>
    <t>R&amp;D cost per avg FTE (EUR k)</t>
  </si>
  <si>
    <t>R&amp;D cost per average FTE excl. SBC (EUR k per quarter). 3Q26E EUR43.15k: 2Q26 43.0k (token costs, senior AI hires); management targets token optimisation, partly offset by Prior Labs/Dremio research cost.</t>
  </si>
  <si>
    <t>Average S&amp;M FTE</t>
  </si>
  <si>
    <t>S&amp;M expense excl. SBC</t>
  </si>
  <si>
    <t>S&amp;M expense excl. share-based payments (non-IFRS)</t>
  </si>
  <si>
    <t>S&amp;M cost per avg FTE (EUR k)</t>
  </si>
  <si>
    <t>S&amp;M cost per average FTE excl. SBC (EUR k per quarter). 3Q26E EUR75.2k: 2Q26 78.1k included Autonomous Enterprise launch marketing; 1Q26 74.1k, 3Q25 73.8k.</t>
  </si>
  <si>
    <t>Average G&amp;A FTE</t>
  </si>
  <si>
    <t>G&amp;A expense excl. SBC</t>
  </si>
  <si>
    <t>G&amp;A expense excl. share-based payments (non-IFRS)</t>
  </si>
  <si>
    <t>G&amp;A cost per avg FTE (EUR k)</t>
  </si>
  <si>
    <t>G&amp;A cost per average FTE excl. SBC (EUR k per quarter)</t>
  </si>
  <si>
    <t>Acq. charge split: cost of cloud</t>
  </si>
  <si>
    <t>Acquisition-charge allocation: cost of cloud. Allocation of 3Q26E acquisition-related charges to IFRS lines, based on 1H26 split (cost of cloud 45, S&amp;M 114, G&amp;A 17, R&amp;D 2 of EUR177m).</t>
  </si>
  <si>
    <t>Acquisition-charge allocation: S&amp;M</t>
  </si>
  <si>
    <t>Acquisition-charge allocation: G&amp;A</t>
  </si>
  <si>
    <t>Acquisition-charge allocation: R&amp;D</t>
  </si>
  <si>
    <t>Balance Sheet (IFRS, as reported)</t>
  </si>
  <si>
    <t>Assets</t>
  </si>
  <si>
    <t>Cash and cash equivalents</t>
  </si>
  <si>
    <t>3Q26E = cash-flow statement ending cash.</t>
  </si>
  <si>
    <t>Other financial assets</t>
  </si>
  <si>
    <t>Trade and other receivables</t>
  </si>
  <si>
    <t>Other non-financial assets</t>
  </si>
  <si>
    <t>Tax assets</t>
  </si>
  <si>
    <t>Published rounding difference; 3Q26E carries the 2Q26 difference forward because forecast lines roll from 2Q26 line items.</t>
  </si>
  <si>
    <t>Total current assets</t>
  </si>
  <si>
    <t>Goodwill</t>
  </si>
  <si>
    <t>Intangible assets</t>
  </si>
  <si>
    <t>Property, plant, and equipment</t>
  </si>
  <si>
    <t>Other financial assets (non-current)</t>
  </si>
  <si>
    <t>Trade receivables, NC</t>
  </si>
  <si>
    <t>Trade and other receivables (non-current)</t>
  </si>
  <si>
    <t>Other non-fin. assets, NC</t>
  </si>
  <si>
    <t>Other non-financial assets (non-current)</t>
  </si>
  <si>
    <t>Tax assets (non-current)</t>
  </si>
  <si>
    <t>Deferred tax assets</t>
  </si>
  <si>
    <t>Total non-current assets</t>
  </si>
  <si>
    <t>Total assets</t>
  </si>
  <si>
    <t>Liabilities</t>
  </si>
  <si>
    <t>Trade and other payables</t>
  </si>
  <si>
    <t>Tax liabilities</t>
  </si>
  <si>
    <t>Financial liabilities</t>
  </si>
  <si>
    <t>Other non-financial liabilities</t>
  </si>
  <si>
    <t>3Q26E: + change in payables/provisions/other liabilities (cash flow) + cash-settled SBC accrued - SBC paid.</t>
  </si>
  <si>
    <t>Provisions</t>
  </si>
  <si>
    <t>Contract liabilities</t>
  </si>
  <si>
    <t>Total current liabilities</t>
  </si>
  <si>
    <t>Trade and other payables (non-current)</t>
  </si>
  <si>
    <t>Tax liabilities (non-current)</t>
  </si>
  <si>
    <t>Financial liabilities (non-current)</t>
  </si>
  <si>
    <t>Other non-fin. liabilities, NC</t>
  </si>
  <si>
    <t>Other non-financial liabilities (non-current)</t>
  </si>
  <si>
    <t>Provisions (non-current)</t>
  </si>
  <si>
    <t>Deferred tax liabilities</t>
  </si>
  <si>
    <t>Contract liabilities (non-current)</t>
  </si>
  <si>
    <t>Total non-current liabilities</t>
  </si>
  <si>
    <t>Total liabilities</t>
  </si>
  <si>
    <t>Equity</t>
  </si>
  <si>
    <t>Issued capital</t>
  </si>
  <si>
    <t>Share premium</t>
  </si>
  <si>
    <t>3Q26E: + equity-settled share-based payment expense.</t>
  </si>
  <si>
    <t>Retained earnings</t>
  </si>
  <si>
    <t>Other components of equity</t>
  </si>
  <si>
    <t>3Q26E: currency translation not forecast beyond the cash FX effect (assumed nil).</t>
  </si>
  <si>
    <t>Treasury shares</t>
  </si>
  <si>
    <t>Equity attributable to owners of parent</t>
  </si>
  <si>
    <t>Non-controlling interests</t>
  </si>
  <si>
    <t>Total equity</t>
  </si>
  <si>
    <t>Total equity and liabilities</t>
  </si>
  <si>
    <t>Check: assets - liabilities - equity</t>
  </si>
  <si>
    <t>Check: total assets - total liabilities - total equity - published rounding. SAP's published balance sheets at 31-Dec-2025 (restated) and 31-Mar-2026 do not add by EUR1m because of rounding; that difference sits in the rounding row above total equity and liabilities.</t>
  </si>
  <si>
    <t>Balance-sheet ratios and forecast assumptions</t>
  </si>
  <si>
    <t>Net liquidity</t>
  </si>
  <si>
    <t>Net liquidity: cash + current other financial assets - financial liabilities</t>
  </si>
  <si>
    <t>Contract liabilities, total</t>
  </si>
  <si>
    <t>Contract liabilities, total (deferred revenue)</t>
  </si>
  <si>
    <t>Goodwill share of acquisitions</t>
  </si>
  <si>
    <t>Share of acquisition spend allocated to goodwill (assumption). 3Q26E purchase-price allocation for Dremio/Prior Labs assumed 80% goodwill / 20% intangibles (Reltio preliminary PPA was goodwill-heavy).</t>
  </si>
  <si>
    <t>Intangibles amortisation in D&amp;A</t>
  </si>
  <si>
    <t>Amortisation of intangibles within D&amp;A (assumption)</t>
  </si>
  <si>
    <t>Cash Flow Statement (IFRS, quarterly derived from reported year-to-date figures)</t>
  </si>
  <si>
    <t>Memo: reported year-to-date figures (quarters derived by difference)</t>
  </si>
  <si>
    <t>1H25A YTD</t>
  </si>
  <si>
    <t>9M25A YTD</t>
  </si>
  <si>
    <t>FY25A YTD</t>
  </si>
  <si>
    <t>1H26A YTD</t>
  </si>
  <si>
    <t>Operating activities</t>
  </si>
  <si>
    <t>Profit after tax</t>
  </si>
  <si>
    <t>Depreciation and amortization</t>
  </si>
  <si>
    <t>3Q26E assumption EUR330m (2Q26 316, 3Q25 318) incl. new acquisition amortisation.</t>
  </si>
  <si>
    <t>Share-based payment expense</t>
  </si>
  <si>
    <t>Change in receivable allowances</t>
  </si>
  <si>
    <t>Increase/decrease in allowances on trade receivables</t>
  </si>
  <si>
    <t>Other adjustments for non-cash items</t>
  </si>
  <si>
    <t>Change in trade receivables</t>
  </si>
  <si>
    <t>Increase/decrease in trade and other receivables. 3Q26E: seasonal Q3 collections (3Q25 +576).</t>
  </si>
  <si>
    <t>Increase/decrease in other assets</t>
  </si>
  <si>
    <t>3Q25 -211.</t>
  </si>
  <si>
    <t>Change in payables &amp; provisions</t>
  </si>
  <si>
    <t>Increase/decrease in trade payables, provisions, and other liabilities. 3Q25 +167.</t>
  </si>
  <si>
    <t>Change in contract liabilities</t>
  </si>
  <si>
    <t>Increase/decrease in contract liabilities. Seasonal Q3 unwind of annual billings (3Q25 -1,629).</t>
  </si>
  <si>
    <t>Cash-settled SBC payouts</t>
  </si>
  <si>
    <t>Share-based payments (cash-settled payouts). 3Q25 -313; cash-settled base is shrinking (1H26 -291 vs 1H25 -378).</t>
  </si>
  <si>
    <t>Income taxes paid, net of refunds</t>
  </si>
  <si>
    <t>3Q25 -369; 1H26 tax payments +51% Y/Y.</t>
  </si>
  <si>
    <t>Difference between the reported subtotal and the sum of reported (rounded) line items.</t>
  </si>
  <si>
    <t>Net cash flows from operating activities</t>
  </si>
  <si>
    <t>Investing activities</t>
  </si>
  <si>
    <t>Business combinations, net</t>
  </si>
  <si>
    <t>Business combinations, net of cash acquired. Dremio (~EUR0.5bn cash, closed 6-Jul-2026) and Prior Labs (&gt;US$500m upfront, closed 17-Jul-2026).</t>
  </si>
  <si>
    <t>Purchase of intangible assets and PP&amp;E</t>
  </si>
  <si>
    <t>3Q25 -201; 1H26 -354.</t>
  </si>
  <si>
    <t>Disposal proceeds (PP&amp;E)</t>
  </si>
  <si>
    <t>Proceeds from sales of intangible assets and PP&amp;E</t>
  </si>
  <si>
    <t>Purchase of financial instruments</t>
  </si>
  <si>
    <t>Purchase of equity or debt instruments of other entities. Treasury investment flows not forecast (net nil).</t>
  </si>
  <si>
    <t>Sale of financial instruments</t>
  </si>
  <si>
    <t>Proceeds from sales of equity or debt instruments of other entities</t>
  </si>
  <si>
    <t>Interest received</t>
  </si>
  <si>
    <t>2Q26 71, 1Q26 90.</t>
  </si>
  <si>
    <t>Net cash flows from investing activities</t>
  </si>
  <si>
    <t>Financing activities</t>
  </si>
  <si>
    <t>Dividends paid</t>
  </si>
  <si>
    <t>Annual dividend paid in Q2 only.</t>
  </si>
  <si>
    <t>Dividends paid to NCI</t>
  </si>
  <si>
    <t>Dividends paid on non-controlling interests</t>
  </si>
  <si>
    <t>Purchase of treasury shares</t>
  </si>
  <si>
    <t>Proceeds from borrowings</t>
  </si>
  <si>
    <t>Repayments of borrowings</t>
  </si>
  <si>
    <t>No Eurobond maturities between July and September 2026 (next: Feb-2027).</t>
  </si>
  <si>
    <t>Payments of lease liabilities</t>
  </si>
  <si>
    <t>Transactions with NCI</t>
  </si>
  <si>
    <t>Transactions with non-controlling interests</t>
  </si>
  <si>
    <t>Interest paid</t>
  </si>
  <si>
    <t>3Q26E set so that interest received less interest paid equals IFRS financial income, net (no accrual build in the forecast balance sheet).</t>
  </si>
  <si>
    <t>Net cash flows from financing activities</t>
  </si>
  <si>
    <t>FX effect on cash</t>
  </si>
  <si>
    <t>Effect of foreign currency rates on cash</t>
  </si>
  <si>
    <t>Net change in cash</t>
  </si>
  <si>
    <t>Net increase/(decrease) in cash and cash equivalents</t>
  </si>
  <si>
    <t>Cash at beginning of period</t>
  </si>
  <si>
    <t>Published ending cash exceeds beginning cash + published net change by EUR1m in 1H25 (so also 9M25 and FY25).</t>
  </si>
  <si>
    <t>Cash at end of period</t>
  </si>
  <si>
    <t>Check: CF end cash - BS cash</t>
  </si>
  <si>
    <t>Check: cash at end of period - balance-sheet cash</t>
  </si>
  <si>
    <t>Check: CF cash change - BS change</t>
  </si>
  <si>
    <t>Check: change in cash - change in balance-sheet cash</t>
  </si>
  <si>
    <t>Free cash flow (SAP definition)</t>
  </si>
  <si>
    <t>Free cash flow = OCF - capex + disposal proceeds - lease payments</t>
  </si>
  <si>
    <t>Memo: free cash flow as published</t>
  </si>
  <si>
    <t>Memo: computed less published</t>
  </si>
  <si>
    <t>Memo: computed less published (rounding)</t>
  </si>
  <si>
    <t>Net capex</t>
  </si>
  <si>
    <t>Net capital expenditure (capex less disposal proceeds)</t>
  </si>
  <si>
    <t>FCF / non-IFRS operating profit</t>
  </si>
  <si>
    <t>Geo - revenue by region</t>
  </si>
  <si>
    <t>Total revenue by region</t>
  </si>
  <si>
    <t>Germany</t>
  </si>
  <si>
    <t>Currency impact (EUR m; cc revenue less actual). 3Q26E: group currency impact allocated to regions in proportion to their 2Q26 reported currency impact, so regional FX sums to the group figure. Basis limit: 2Q26 regional impacts have mixed signs, so this proxy can flip regional FX signs (e.g. Japan cc growth -3.0%); 3Q26E regional cc growth is an unstable ancillary display, not an EPS driver.</t>
  </si>
  <si>
    <t>Rest of EMEA</t>
  </si>
  <si>
    <t>Total EMEA</t>
  </si>
  <si>
    <t>Acquisition contribution is not disclosed by region.</t>
  </si>
  <si>
    <t>Unavailable: M&amp;A contribution by region not disclosed.</t>
  </si>
  <si>
    <t>United States</t>
  </si>
  <si>
    <t>3Q26E: ~10% cc plus ~1.5pt USD translation tailwind (EUR/USD 3Q26 avg ~1.151 vs ~1.168 in 3Q25).</t>
  </si>
  <si>
    <t>Rest of Americas</t>
  </si>
  <si>
    <t>Total Americas</t>
  </si>
  <si>
    <t>Japan</t>
  </si>
  <si>
    <t>Rest of APJ</t>
  </si>
  <si>
    <t>3Q26E residual: total revenue (Revenue summary) less the other regions.</t>
  </si>
  <si>
    <t>Total APJ</t>
  </si>
  <si>
    <t>Total revenue (sum of regions)</t>
  </si>
  <si>
    <t>Check: regions - total revenue</t>
  </si>
  <si>
    <t>Check: sum of regions - total revenue (Revenue summary)</t>
  </si>
  <si>
    <t>Cloud revenue by region</t>
  </si>
  <si>
    <t>EMEA</t>
  </si>
  <si>
    <t>% of cloud revenue</t>
  </si>
  <si>
    <t>Currency impact (EUR m; cc revenue less actual). 3Q26E: group currency impact allocated to regions in proportion to their 2Q26 reported currency impact, so regional FX sums to the group figure. Basis limit: single-quarter 2Q26 weights (EMEA near zero) allocate little or no FX to EMEA; 3Q26E regional cc growth is an unstable ancillary display, not an EPS driver.</t>
  </si>
  <si>
    <t>Americas</t>
  </si>
  <si>
    <t>APJ</t>
  </si>
  <si>
    <t>3Q26E residual: cloud revenue (Segment - ATS) less EMEA and Americas.</t>
  </si>
  <si>
    <t>Cloud revenue (sum of regions)</t>
  </si>
  <si>
    <t>Check: regions - cloud revenue</t>
  </si>
  <si>
    <t>Check: sum of regions - cloud revenue (Segment - ATS)</t>
  </si>
  <si>
    <t>Cloud and software revenue by region</t>
  </si>
  <si>
    <t>% of cloud and software revenue</t>
  </si>
  <si>
    <t>3Q26E residual: cloud and software revenue (Segment - ATS) less EMEA and Americas.</t>
  </si>
  <si>
    <t>C&amp;S revenue (regions)</t>
  </si>
  <si>
    <t>Cloud and software revenue (sum of regions)</t>
  </si>
  <si>
    <t>Check: regions - C&amp;S revenue</t>
  </si>
  <si>
    <t>Check: sum of regions - cloud and software revenue (Segment - ATS)</t>
  </si>
  <si>
    <t>Share Count (millions of ordinary shares)</t>
  </si>
  <si>
    <t>Weighted average shares</t>
  </si>
  <si>
    <t>Issued ordinary shares (m), constant proxy</t>
  </si>
  <si>
    <t>Constant issued-capital proxy: every period (incl. 3Q25 C11 = D11) uses the 4Q25 issued count in D11; 3Q25 is not separately period-sourced. BS issued capital is EUR1,229m in all periods. Not used in any EPS denominator. Value unchanged.</t>
  </si>
  <si>
    <t>3Q26E = 2Q26 weighted basic (no repurchases after 1-Apr-2026 until 27-Jul-2026) less time-weighted 3Q26 repurchases plus reissuance.</t>
  </si>
  <si>
    <t>Q/Q change (m)</t>
  </si>
  <si>
    <t>Dilutive effect (m)</t>
  </si>
  <si>
    <t>Dilutive effect of equity-settled awards (m). 3Q26E assumption: 5m (1Q26 and 2Q26 both 5m).</t>
  </si>
  <si>
    <t>Buybacks and issuance</t>
  </si>
  <si>
    <t>Shares repurchased in quarter (m)</t>
  </si>
  <si>
    <t>4Q25: no treasury purchases (FY25 cash outflow equals 9M25). 1Q26/2Q26: 16.28m bought 5-Feb to 1-Apr-2026, quarterly split not disclosed. 3Q26E: tranche 2 count 8,945,886 by 2-Oct less ~25k bought 1-2 Oct.</t>
  </si>
  <si>
    <t>Average repurchase price (EUR)</t>
  </si>
  <si>
    <t>Buyback cash (EUR m)</t>
  </si>
  <si>
    <t>Buyback cash (EUR m; 3Q26E = shares x price)</t>
  </si>
  <si>
    <t>Time-weighting: repurchases</t>
  </si>
  <si>
    <t>Time-weighting factor for quarter repurchases. Purchases ran 27-Jul to late Sep-2026 and slowed late in the quarter (only 50k shares 28-Sep to 2-Oct); 40% of the quarter outstanding-days effect assumed.</t>
  </si>
  <si>
    <t>Wtd avg reduction (m)</t>
  </si>
  <si>
    <t>Weighted-average reduction from repurchases (m)</t>
  </si>
  <si>
    <t>Treasury shares reissued (m)</t>
  </si>
  <si>
    <t>Treasury shares reissued for share-based payments (m). 1H26: 3.0m reissued under Elevate SAP (Half-Year Report 2026); 3Q26E small top-up assumed.</t>
  </si>
  <si>
    <t>Time-weighting factor for reissuance</t>
  </si>
  <si>
    <t>Wtd avg addition (m)</t>
  </si>
  <si>
    <t>Weighted-average addition from reissuance (m)</t>
  </si>
  <si>
    <t>Period-end shares, est. (m)</t>
  </si>
  <si>
    <t>Estimated period-end shares outstanding (m)</t>
  </si>
  <si>
    <t>Programme repurchases, cum. (m)</t>
  </si>
  <si>
    <t>Cumulative shares repurchased under EUR10bn 2026-27 programme (m)</t>
  </si>
  <si>
    <t>Shares behind the 3Q26E EPS</t>
  </si>
  <si>
    <t>Shares for normalized EPS (m)</t>
  </si>
  <si>
    <t>Basic weighted shares used for consensus-basis EPS (m)</t>
  </si>
  <si>
    <t>Shares for IFRS diluted EPS (m)</t>
  </si>
  <si>
    <t>Diluted weighted shares used for IFRS diluted EPS (m)</t>
  </si>
  <si>
    <t>Share identity: 1 NYSE ADR = 1 SAP ordinary share; EPS here is per ordinary share in EUR.</t>
  </si>
  <si>
    <t>Guidance (SAP gives annual outlook only; no quarterly revenue or EPS guidance)</t>
  </si>
  <si>
    <t>Note: the period strip in rows 6-8 is house branding only; the table below is not organised by period columns.</t>
  </si>
  <si>
    <t>Metric (unit)</t>
  </si>
  <si>
    <t>Date issued</t>
  </si>
  <si>
    <t>Low</t>
  </si>
  <si>
    <t>High</t>
  </si>
  <si>
    <t>Midpoint</t>
  </si>
  <si>
    <t>Actual</t>
  </si>
  <si>
    <t>vs midpoint</t>
  </si>
  <si>
    <t>Basis</t>
  </si>
  <si>
    <t>Cloud revenue (EUR bn)</t>
  </si>
  <si>
    <t>FY25</t>
  </si>
  <si>
    <t>Miss</t>
  </si>
  <si>
    <t>cc</t>
  </si>
  <si>
    <t>Cloud revenue, revised (EUR bn)</t>
  </si>
  <si>
    <t>Cloud revenue - revised: towards lower end (EUR bn)</t>
  </si>
  <si>
    <t>Cloud and software revenue (EUR bn)</t>
  </si>
  <si>
    <t>Beat</t>
  </si>
  <si>
    <t>Non-IFRS operating profit (EUR bn)</t>
  </si>
  <si>
    <t>FY25 non-IFRS OP at constant currencies EUR10.66bn: S02 (Q4 2025 statement) outlook table p4 and E.6 reconciliation p18 (10,419 non-IFRS + 242 currency impact = 10,661). Page refs per cached extraction.</t>
  </si>
  <si>
    <t>Non-IFRS OP, revised (EUR bn)</t>
  </si>
  <si>
    <t>Non-IFRS operating profit - revised: towards upper end (EUR bn). Actual 10.66 cc: S02 p4/p18 (10,419 + 242 = 10,661).</t>
  </si>
  <si>
    <t>Free cash flow (EUR bn, approx.)</t>
  </si>
  <si>
    <t>actual fx</t>
  </si>
  <si>
    <t>Free cash flow - revised (EUR bn)</t>
  </si>
  <si>
    <t>Effective tax rate, non-IFRS (approx.)</t>
  </si>
  <si>
    <t>Beat (lower)</t>
  </si>
  <si>
    <t>non-IFRS</t>
  </si>
  <si>
    <t>FY26</t>
  </si>
  <si>
    <t>pending</t>
  </si>
  <si>
    <t>Pending</t>
  </si>
  <si>
    <t>cc; reiterated 23-Apr and 23-Jul-2026</t>
  </si>
  <si>
    <t>cc; reiterated 23-Apr-2026</t>
  </si>
  <si>
    <t>Non-IFRS OP, updated (EUR bn)</t>
  </si>
  <si>
    <t>Non-IFRS operating profit - updated for Dremio/Prior Labs dilution (EUR bn)</t>
  </si>
  <si>
    <t>actual fx; reiterated 23-Jul-2026</t>
  </si>
  <si>
    <t>Total revenue growth (cc)</t>
  </si>
  <si>
    <t>Total revenue growth: similar to 2025 (10.6%)</t>
  </si>
  <si>
    <t>Acquisition-related charges (EUR m)</t>
  </si>
  <si>
    <t>IFRS adjustment estimate</t>
  </si>
  <si>
    <t>Restructuring expenses (EUR m)</t>
  </si>
  <si>
    <t>FX impact: cloud growth</t>
  </si>
  <si>
    <t>3Q26</t>
  </si>
  <si>
    <t>at 30-Jun-2026 rates</t>
  </si>
  <si>
    <t>Currency impact on cloud revenue growth (pp)</t>
  </si>
  <si>
    <t>FX impact: C&amp;S growth</t>
  </si>
  <si>
    <t>Currency impact on cloud &amp; software revenue growth (pp)</t>
  </si>
  <si>
    <t>FX impact: non-IFRS OP growth</t>
  </si>
  <si>
    <t>Currency impact on non-IFRS operating profit growth (pp)</t>
  </si>
  <si>
    <t>CCB growth (cc), qualitative</t>
  </si>
  <si>
    <t>Miss (more than slight)</t>
  </si>
  <si>
    <t>qualitative; 2024: 29%</t>
  </si>
  <si>
    <t>Current cloud backlog growth (cc): "slightly decelerate" vs 2024 29%</t>
  </si>
  <si>
    <t>qualitative; 2Q26 26%</t>
  </si>
  <si>
    <t>Current cloud backlog growth (cc): "slightly decelerate" vs 2025 25%</t>
  </si>
  <si>
    <t>Quarterly revenue / EPS guidance</t>
  </si>
  <si>
    <t>SAP does not guide quarters</t>
  </si>
  <si>
    <t>FY25 record vs midpoint (guide items incl. revisions)</t>
  </si>
  <si>
    <t>6 of 8</t>
  </si>
  <si>
    <t>Guidance record: beats vs midpoint across 8 FY25 numeric guide items, counting original and revised versions of the same metric (cloud, non-IFRS OP, FCF) separately; not a count of distinct metrics.</t>
  </si>
  <si>
    <t>3Q26E implied by the FY26 outlook midpoint (derived by Shortcut; not issuer guidance)</t>
  </si>
  <si>
    <t>FY26 OP outlook midpoint (cc)</t>
  </si>
  <si>
    <t>FY26 non-IFRS operating profit outlook midpoint (cc, EUR m)</t>
  </si>
  <si>
    <t>1H26 non-IFRS OP (cc)</t>
  </si>
  <si>
    <t>1H26 non-IFRS operating profit at constant currencies (EUR m): S04 (Q2 2026 statement) E.6 YTD reconciliation p15 (5,609 non-IFRS + 242 currency impact = 5,852). Page ref per cached extraction.</t>
  </si>
  <si>
    <t>Implied 2H26 non-IFRS OP (cc)</t>
  </si>
  <si>
    <t>Implied 2H26 non-IFRS operating profit (cc)</t>
  </si>
  <si>
    <t>3Q25 one-offs in non-IFRS OP</t>
  </si>
  <si>
    <t>3Q25 one-off charges in non-IFRS OP (other-tax case law ~98 + workforce ~100)</t>
  </si>
  <si>
    <t>4Q25 one-offs in non-IFRS OP</t>
  </si>
  <si>
    <t>4Q25 one-off charges in non-IFRS OP (workforce transformation ~100)</t>
  </si>
  <si>
    <t>3Q share of 2H OP (2025, adj.)</t>
  </si>
  <si>
    <t>3Q share of 2H non-IFRS OP (2025, ex one-offs)</t>
  </si>
  <si>
    <t>Implied 3Q26 non-IFRS OP</t>
  </si>
  <si>
    <t>Implied 3Q26 non-IFRS operating profit (cc = reported; Q3 FX impact on OP 0.0pp)</t>
  </si>
  <si>
    <t>Implied non-IFRS PBT</t>
  </si>
  <si>
    <t>Implied non-IFRS PBT (model below-OP assumptions)</t>
  </si>
  <si>
    <t>Implied non-IFRS net income</t>
  </si>
  <si>
    <t>Implied non-IFRS net income to owners (model tax rate and NCI)</t>
  </si>
  <si>
    <t>Implied non-IFRS EPS, basic (EUR)</t>
  </si>
  <si>
    <t>Implied 3Q26 total revenue</t>
  </si>
  <si>
    <t>Implied 3Q26 total revenue (3Q25 x (1 + 10.6% cc) x (1 + C&amp;S FX impact)). Uses the untrimmed guided 1.0pp C&amp;S FX, unlike the trimmed segment FX diagnostics (ATS P77); judgment, unresolved.</t>
  </si>
  <si>
    <t>The derived figures above feed the Cover "guidance midpoint" column; they ignore the 3Q26 share-price-driven SBC increase.</t>
  </si>
  <si>
    <t>Sources</t>
  </si>
  <si>
    <t>Source</t>
  </si>
  <si>
    <t>ID</t>
  </si>
  <si>
    <t>Published</t>
  </si>
  <si>
    <t>Publisher</t>
  </si>
  <si>
    <t>Feeds</t>
  </si>
  <si>
    <t>Retrieved</t>
  </si>
  <si>
    <t>URL or file</t>
  </si>
  <si>
    <t>SAP Quarterly Statement Q3 2025</t>
  </si>
  <si>
    <t>S01</t>
  </si>
  <si>
    <t>RS ATS CS IS BS CF Geo</t>
  </si>
  <si>
    <t>https://www.sap.com/docs/download/investors/2025/sap-2025-q3-statement.pdf</t>
  </si>
  <si>
    <t>SAP Quarterly Statement Q4 2025 (FY25)</t>
  </si>
  <si>
    <t>S02</t>
  </si>
  <si>
    <t>RS ATS CS IS BS CF Geo Gd</t>
  </si>
  <si>
    <t>https://www.sap.com/docs/download/investors/2025/sap-2025-q4-statement.pdf</t>
  </si>
  <si>
    <t>SAP Quarterly Statement Q1 2026</t>
  </si>
  <si>
    <t>S03</t>
  </si>
  <si>
    <t>https://www.sap.com/docs/download/investors/2026/sap-2026-q1-statement.pdf</t>
  </si>
  <si>
    <t>SAP Quarterly Statement Q2 2026</t>
  </si>
  <si>
    <t>S04</t>
  </si>
  <si>
    <t>All statement tabs, Gd, SC</t>
  </si>
  <si>
    <t>https://www.sap.com/docs/download/investors/2026/sap-2026-q2-statement.pdf</t>
  </si>
  <si>
    <t>SAP Half-Year Report 2026 (Form 6-K Ex. 99.2)</t>
  </si>
  <si>
    <t>S05</t>
  </si>
  <si>
    <t>SAP SE / SEC</t>
  </si>
  <si>
    <t>IS (SBC), SC</t>
  </si>
  <si>
    <t>https://www.sec.gov/Archives/edgar/data/1000184/000110465926087251/tm2621275d1_ex99-2.htm</t>
  </si>
  <si>
    <t>SAP Q2 2026 earnings call transcript</t>
  </si>
  <si>
    <t>S06</t>
  </si>
  <si>
    <t>StockAnalysis</t>
  </si>
  <si>
    <t>IS assumptions</t>
  </si>
  <si>
    <t>https://stockanalysis.com/quote/etr/SAP/transcripts/546397-q2-2026/</t>
  </si>
  <si>
    <t>SAP company-compiled consensus (Visible Alpha)</t>
  </si>
  <si>
    <t>S07</t>
  </si>
  <si>
    <t>SAP SE IR</t>
  </si>
  <si>
    <t>Inputs E, Cover</t>
  </si>
  <si>
    <t>https://www.sap.com/investors/en/financial-documents-and-events/consensus.html</t>
  </si>
  <si>
    <t>S&amp;P Capital IQ history export</t>
  </si>
  <si>
    <t>S08</t>
  </si>
  <si>
    <t>S&amp;P Capital IQ</t>
  </si>
  <si>
    <t>Inputs C, IS</t>
  </si>
  <si>
    <t>SAP_history.csv (SHA256 3b7f9f8f...9850)</t>
  </si>
  <si>
    <t>S&amp;P Capital IQ consensus snapshot</t>
  </si>
  <si>
    <t>S09</t>
  </si>
  <si>
    <t>Inputs A-B, Cover</t>
  </si>
  <si>
    <t>SAP_consensus.json (SHA256 d0190120...9f69)</t>
  </si>
  <si>
    <t>SAP IR events calendar (3Q26: 21-Oct-2026 22:05 CET)</t>
  </si>
  <si>
    <t>S10</t>
  </si>
  <si>
    <t>https://www.sap.com/investors/en/financial-documents-and-events/events.html</t>
  </si>
  <si>
    <t>SAP buyback tranche 2 launch (EQS)</t>
  </si>
  <si>
    <t>S11</t>
  </si>
  <si>
    <t>EQS News</t>
  </si>
  <si>
    <t>SC</t>
  </si>
  <si>
    <t>https://www.eqs-news.com/news/other-capital-market-information/sap-se-release-of-a-capital-market-information/a629346b-b53e-484b-b0c9-b9446013bee2_en</t>
  </si>
  <si>
    <t>SAP share buy-back page (avg price EUR171.53)</t>
  </si>
  <si>
    <t>S12</t>
  </si>
  <si>
    <t>https://www.sap.com/investors/en/stock/share-buy-back.html</t>
  </si>
  <si>
    <t>Buyback count 8,945,886 shares by 2-Oct-2026</t>
  </si>
  <si>
    <t>S13</t>
  </si>
  <si>
    <t>ad-hoc-news.de</t>
  </si>
  <si>
    <t>https://www.ad-hoc-news.de/boerse/news/unternehmensnachrichten/sap-s-cloud-backlog-holds-the-key-as-buybacks-techwolf-deal-and-q3-print-converge/70283853</t>
  </si>
  <si>
    <t>SAP Xetra month-end closes (only closes to 30-Sep-2026 used)</t>
  </si>
  <si>
    <t>S14</t>
  </si>
  <si>
    <t>TickerLandia</t>
  </si>
  <si>
    <t>IS (SBC driver)</t>
  </si>
  <si>
    <t>https://tickerlandia.com/de/aktien/sap-sap-etr</t>
  </si>
  <si>
    <t>DAX close report: SAP EUR134.00 on 30-Jun-2026</t>
  </si>
  <si>
    <t>S15</t>
  </si>
  <si>
    <t>Investing.com</t>
  </si>
  <si>
    <t>https://uk.investing.com/news/stock-market-news/germany-shares-higher-at-close-of-trade-dax-up-143-4751096</t>
  </si>
  <si>
    <t>Monthly average exchange rates (EUR/USD Jul-Sep 2026)</t>
  </si>
  <si>
    <t>S16</t>
  </si>
  <si>
    <t>Banque de France</t>
  </si>
  <si>
    <t>ATS Geo FX</t>
  </si>
  <si>
    <t>https://www.banque-france.fr/en/statistics/rates-and-prices/exchange-rates-average-month-2026-09</t>
  </si>
  <si>
    <t>EUR/USD 16-Oct-2026 close 1.1239</t>
  </si>
  <si>
    <t>S17</t>
  </si>
  <si>
    <t>exchangerates.org.uk</t>
  </si>
  <si>
    <t>Inputs E</t>
  </si>
  <si>
    <t>https://www.exchangerates.org.uk/EUR-USD-spot-exchange-rates-history-2026.html</t>
  </si>
  <si>
    <t>SAP market capitalisation, 16-Oct-2026</t>
  </si>
  <si>
    <t>S18</t>
  </si>
  <si>
    <t>Inputs D</t>
  </si>
  <si>
    <t>https://stockanalysis.com/stocks/sap/market-cap/</t>
  </si>
  <si>
    <t>Q3 preview: consensus and EPS revisions</t>
  </si>
  <si>
    <t>S19</t>
  </si>
  <si>
    <t>Platow</t>
  </si>
  <si>
    <t>https://www.platow.de/deutsche-aktien/q3-preview-sap-steht-vor-einer-hoeheren-messlatte/</t>
  </si>
  <si>
    <t>BofA 3Q CCB preview (24.7%)</t>
  </si>
  <si>
    <t>S20</t>
  </si>
  <si>
    <t>MT Newswires</t>
  </si>
  <si>
    <t>ATS (CCB)</t>
  </si>
  <si>
    <t>https://www.webull.com/news/15733660142232576</t>
  </si>
  <si>
    <t>UBS downgrade: margin and token-cost concerns</t>
  </si>
  <si>
    <t>S21</t>
  </si>
  <si>
    <t>https://www.investing.com/news/stock-market-news/ubs-cuts-sap-to-neutral-on-lack-of-ai-catalysts-weak-investor-sentiment-4876395</t>
  </si>
  <si>
    <t>2Q26 review: EPS 1.59 vs 1.76, margin 27.8% vs 29.3% expected</t>
  </si>
  <si>
    <t>S22</t>
  </si>
  <si>
    <t>FSM Global</t>
  </si>
  <si>
    <t>https://fsm.global/sg/article/rcms387900/sap-2q26-stronger-cloud-orders-but-profit-recovery-is-the-next-test</t>
  </si>
  <si>
    <t>Dremio acquisition ~EUR0.5bn cash</t>
  </si>
  <si>
    <t>S23</t>
  </si>
  <si>
    <t>Boerse Express</t>
  </si>
  <si>
    <t>CF</t>
  </si>
  <si>
    <t>https://www.boerse-express.com/news/articles/sap-aktie-dremio-uebernahme-fuer-05-milliarden-euro-944112</t>
  </si>
  <si>
    <t>Prior Labs closing: &gt;US$500m paid in cash</t>
  </si>
  <si>
    <t>S24</t>
  </si>
  <si>
    <t>https://www.ad-hoc-news.de/boerse/news/ueberblick/sap-s-1-billion-ai-splurge-and-analyst-polarization-precede-a-pivotal-quarterly-report/69799814</t>
  </si>
  <si>
    <t>SAP outstanding bonds as of 30-Jun-2026</t>
  </si>
  <si>
    <t>S25</t>
  </si>
  <si>
    <t>https://www.sap.com/investors/en/stock/fixed-income.html</t>
  </si>
  <si>
    <t>SAP 2025 Annual Report on Form 20-F</t>
  </si>
  <si>
    <t>S26</t>
  </si>
  <si>
    <t>SC, Inputs E</t>
  </si>
  <si>
    <t>https://www.sap.com/docs/download/investors/2025/sap-2025-annual-report-form-20f.pdf</t>
  </si>
  <si>
    <t>Oracle Q1 FY27 results (cloud applications +10%)</t>
  </si>
  <si>
    <t>S27</t>
  </si>
  <si>
    <t>Oracle</t>
  </si>
  <si>
    <t>Peer context</t>
  </si>
  <si>
    <t>https://www.oracle.com/news/announcement/q1fy27-earnings-release-2026-09-10/</t>
  </si>
  <si>
    <t>S&amp;P 500 earnings season update (78% five-year beat rate)</t>
  </si>
  <si>
    <t>S28</t>
  </si>
  <si>
    <t>FactSet</t>
  </si>
  <si>
    <t>https://insight.factset.com/sp-500-earnings-season-update-july-31-2026</t>
  </si>
  <si>
    <t>Tabs omitted: none. Two operating segments (ATS, Core Services) and three regions are disclosed in S01-S04, so both segment tabs and Geo are included.</t>
  </si>
  <si>
    <t>Inputs tab: kept because the run instructions require the raw CapIQ summary row and six history rows to be embedded in "Inputs"; it is a raw-data appendix, not a consensus or checks tab.</t>
  </si>
  <si>
    <t>Target-quarter (3Q26) results: not released before the cutoff and not seen. S14 also displays a post-cutoff price (19-Oct-2026), which was not used.</t>
  </si>
  <si>
    <t>All publication dates precede the 18-Oct-2026 21:34 UTC information cutoff; retrieval date is the model build date.</t>
  </si>
  <si>
    <t>Dynamic pages (e.g. S12, S14, S18) were retrieved on 19-Oct-2026, after the cutoff; their content cannot be proven to be the pre-cutoff version (no archived snapshot timestamps available). Only data dated on or before the cutoff were used.</t>
  </si>
  <si>
    <t>Inputs - S&amp;P Capital IQ files (raw, unaltered) and prior calibration</t>
  </si>
  <si>
    <t>A. SAP_consensus.json - top-level fields (file: SAP_consensus.json)</t>
  </si>
  <si>
    <t>source</t>
  </si>
  <si>
    <t>ticker</t>
  </si>
  <si>
    <t>SAP</t>
  </si>
  <si>
    <t>company</t>
  </si>
  <si>
    <t>fiscal_period</t>
  </si>
  <si>
    <t>FQ3 2026 - Sep 2026</t>
  </si>
  <si>
    <t>period_end_date</t>
  </si>
  <si>
    <t>as_of_date</t>
  </si>
  <si>
    <t>analyst_count</t>
  </si>
  <si>
    <t>consensus_eps</t>
  </si>
  <si>
    <t>eps_basis</t>
  </si>
  <si>
    <t>Normalized diluted EPS per ordinary/common share, EUR; verify issuer adjustments and share identity</t>
  </si>
  <si>
    <t>Raw CapIQ label retained. Mapping: CapIQ normalized 'diluted' EPS actuals equal SAP published non-IFRS basic EPS in 6 of 6 history quarters (Income Statement row 170); the model forecasts on that basic basis (Income Statement H161).</t>
  </si>
  <si>
    <t>consensus_revenue_m</t>
  </si>
  <si>
    <t>currency</t>
  </si>
  <si>
    <t>EUR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</si>
  <si>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</si>
  <si>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</si>
  <si>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</si>
  <si>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</si>
  <si>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</si>
  <si>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EUR (EPS per share in EUR on the DB:SAP line; revenue and income in EUR millions, CapIQ Company Level EUR)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</si>
  <si>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</si>
  <si>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</si>
  <si>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</si>
  <si>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</si>
  <si>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</si>
  <si>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</si>
  <si>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</si>
  <si>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</si>
  <si>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B. summary_row - complete raw row (blank source values preserved as empty cells, flagged in column D)</t>
  </si>
  <si>
    <t>company_name</t>
  </si>
  <si>
    <t>exchange_ticker</t>
  </si>
  <si>
    <t>XTRA:SAP</t>
  </si>
  <si>
    <t>capiq_company_id</t>
  </si>
  <si>
    <t>currency_basis</t>
  </si>
  <si>
    <t>fiscal_year_end</t>
  </si>
  <si>
    <t>Dec-31</t>
  </si>
  <si>
    <t>fiscal_quarter</t>
  </si>
  <si>
    <t>quarter_end_date</t>
  </si>
  <si>
    <t>expected_report_date</t>
  </si>
  <si>
    <t>normalized diluted and GAAP diluted, as labelled</t>
  </si>
  <si>
    <t>eps_normalized_estimates</t>
  </si>
  <si>
    <t>eps_normalized_contributors</t>
  </si>
  <si>
    <t>detail_tab_total_contributors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</si>
  <si>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</si>
  <si>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</si>
  <si>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</si>
  <si>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</si>
  <si>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</si>
  <si>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</si>
  <si>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</si>
  <si>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blank in source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</si>
  <si>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</si>
  <si>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</si>
  <si>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</si>
  <si>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</si>
  <si>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</si>
  <si>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</si>
  <si>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</si>
  <si>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</si>
  <si>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</si>
  <si>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</si>
  <si>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</si>
  <si>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</si>
  <si>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</si>
  <si>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</si>
  <si>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</si>
  <si>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</si>
  <si>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</si>
  <si>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</si>
  <si>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</si>
  <si>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</si>
  <si>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</si>
  <si>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issuer_defined_ebitda: n/a - SAP does not publish an issuer-defined EBITDA (none identified in cached sources S01-S04); not forecast or relabelled. CapIQ EBITDA consensus retained for reference only.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</si>
  <si>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</si>
  <si>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</si>
  <si>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</si>
  <si>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</si>
  <si>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</si>
  <si>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</si>
  <si>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</si>
  <si>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</si>
  <si>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</si>
  <si>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</si>
  <si>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</si>
  <si>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</si>
  <si>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</si>
  <si>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</si>
  <si>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</si>
  <si>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</si>
  <si>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</si>
  <si>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</si>
  <si>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</si>
  <si>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</si>
  <si>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</si>
  <si>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</si>
  <si>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Buy</t>
  </si>
  <si>
    <t>recommendation_score</t>
  </si>
  <si>
    <t>last_close_price</t>
  </si>
  <si>
    <t>wk52_high_low</t>
  </si>
  <si>
    <t>244.30/127.50</t>
  </si>
  <si>
    <t>estimates_captured_at</t>
  </si>
  <si>
    <t>notes</t>
  </si>
  <si>
    <t>EUR throughout, not USD. Price and target price are XTRA:SAP in EUR; the NYSE:SAP ADR carries a separate recommendation of Outperform 1.63 and trades at 224.29 USD.</t>
  </si>
  <si>
    <t>C. SAP_history.csv - all six rows (raw)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</si>
  <si>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</si>
  <si>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</si>
  <si>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</si>
  <si>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</si>
  <si>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</si>
  <si>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</si>
  <si>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</si>
  <si>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Strict beat (normalized)</t>
  </si>
  <si>
    <t>Surprise (EUR)</t>
  </si>
  <si>
    <t>Model column</t>
  </si>
  <si>
    <t>1Q25A (memo)</t>
  </si>
  <si>
    <t>2Q25A (memo)</t>
  </si>
  <si>
    <t>2Q26 revenue_m_actual 9,877 is the raw CapIQ value; SAP's Q2 2026 statement (S04) reports total revenue 9,878 (IFRS and non-IFRS), which the model uses. EUR1m source discrepancy retained; no rounding entry inserted.</t>
  </si>
  <si>
    <t>Mean surprise, 6 qtrs (EUR)</t>
  </si>
  <si>
    <t>Mean surprise, six quarters (EUR per share)</t>
  </si>
  <si>
    <t>Std. dev. of surprise (EUR per share)</t>
  </si>
  <si>
    <t>D. Size-aware starting probability (playbook v2) and final P(beat)</t>
  </si>
  <si>
    <t>Market cap (USD bn, 16-Oct-26)</t>
  </si>
  <si>
    <t>Market capitalisation (USD bn, 16-Oct-2026). Value 258.88 matches the cached StatMuse search result (undated; 1,154,204,259 ADR-equivalent shares x USD224.29 = USD258.876bn). Sources S18 instead cites the StockAnalysis market-cap page, whose cached text shows USD258.68bn as of 16-Oct-2026. The inconsistent attribution is preserved and unresolved; either value is far above USD10bn, so the 'large' bucket holds independently. Blank in CapIQ export.</t>
  </si>
  <si>
    <t>Size bucket</t>
  </si>
  <si>
    <t>large</t>
  </si>
  <si>
    <t>S&amp;P 500 member</t>
  </si>
  <si>
    <t>No</t>
  </si>
  <si>
    <t>SAP SE is German-domiciled; S&amp;P 500 constituents must be U.S. domiciled. Rule-based inference; current index membership is not proved by a dated source. Does not affect the prior (large bucket already gives 0.78). Large-cap rule applies once.</t>
  </si>
  <si>
    <t>Cohort prior</t>
  </si>
  <si>
    <t>Cohort prior per forecasting playbook v2 (experimental): 0.60 small / 0.70 mid / 0.78 large or S&amp;P 500. Rounded heuristic hypotheses, not proven probabilities.</t>
  </si>
  <si>
    <t>Strict beats in six history rows (b)</t>
  </si>
  <si>
    <t>Valid pairs (n)</t>
  </si>
  <si>
    <t>Pseudo-observations</t>
  </si>
  <si>
    <t>Pseudo-observations k = 8: fixed experimental regularisation weight per playbook v2, not a fitted optimum.</t>
  </si>
  <si>
    <t>Starting probability</t>
  </si>
  <si>
    <t>Starting probability = (k x prior + b) / (k + n)</t>
  </si>
  <si>
    <t>Update: model gap to consensus</t>
  </si>
  <si>
    <t>Model gap: 3Q26E EPS EUR1.77 vs bar &gt;1.83 (needs ~+4% NI; model-only probability ~20%).</t>
  </si>
  <si>
    <t>Update: SBC headwind from rally</t>
  </si>
  <si>
    <t>Share-price rally +EUR52 in 3Q26 lifts cash-settled SBC (the beat streak came with SBC tailwinds).</t>
  </si>
  <si>
    <t>Update: 2Q26 miss, revisions</t>
  </si>
  <si>
    <t>2Q26 miss (EUR1.59 vs 1.75) and FY26 EPS consensus cut 7.22 to 7.09 since July.</t>
  </si>
  <si>
    <t>Update: easy base, 2H OP target</t>
  </si>
  <si>
    <t>Easy 3Q25 base (EUR~0.2bn one-offs) and CFO commitment to mid-teens 2H OP growth.</t>
  </si>
  <si>
    <t>Update: 2H tax-rate upside</t>
  </si>
  <si>
    <t>2H tax rate needs ~28% to meet the ~29% FY outlook (upside to the 28.5% assumption).</t>
  </si>
  <si>
    <t>Final P(beat consensus EPS)</t>
  </si>
  <si>
    <t>E. Currency and share-identity inputs</t>
  </si>
  <si>
    <t>EUR/USD (16-Oct-2026 close)</t>
  </si>
  <si>
    <t>EUR/USD (16-Oct-2026 close) for USD conversion of EPS</t>
  </si>
  <si>
    <t>Ordinary shares per NYSE ADR</t>
  </si>
  <si>
    <t>VA consensus: total revenue</t>
  </si>
  <si>
    <t>Company-compiled consensus (Visible Alpha, 13-Oct-2026): total revenue. Newer/alternative consensus recorded separately; the frozen CapIQ snapshot remains the scoring baseline.</t>
  </si>
  <si>
    <t>VA consensus: non-IFRS OP</t>
  </si>
  <si>
    <t>Company-compiled consensus: non-IFRS operating profit</t>
  </si>
  <si>
    <t>VA consensus: EPS basic (EUR)</t>
  </si>
  <si>
    <t>Company-compiled consensus: non-IFRS EPS basic (EUR, 6 estimates)</t>
  </si>
  <si>
    <t>VA consensus: cloud revenue</t>
  </si>
  <si>
    <t>Company-compiled consensus: cloud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</si>
</sst>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20705" formatCode="#,##0.0_);(#,##0.0);–_)"/>
    <numFmt numFmtId="20707" formatCode="0.0%_);(0.0%);–_)"/>
    <numFmt numFmtId="20708" formatCode="0.00_);(0.00);–_)"/>
    <numFmt numFmtId="20712" formatCode="yyyy-mm-dd"/>
    <numFmt numFmtId="20714" formatCode="#,##0_);(#,##0);–_)"/>
    <numFmt numFmtId="20717" formatCode="#,##0.00_);(#,##0.00);–_)"/>
    <numFmt numFmtId="20773" formatCode="&quot;n.m.&quot;;&quot;n.m.&quot;;&quot;n.m.&quot;"/>
  </numFmts>
  <fonts count="17">
    <font>
      <b val="0"/>
      <i val="0"/>
      <sz val="11"/>
      <color auto="1"/>
      <name val="Calibri"/>
    </font>
    <font>
      <b val="0"/>
      <i val="0"/>
      <sz val="10"/>
      <color rgb="FF006100"/>
      <name val="Arial"/>
    </font>
    <font>
      <b val="0"/>
      <i val="0"/>
      <sz val="10"/>
      <color rgb="FF000000"/>
      <name val="Arial"/>
    </font>
    <font>
      <b val="0"/>
      <i/>
      <sz val="10"/>
      <color rgb="FF006100"/>
      <name val="Arial"/>
    </font>
    <font>
      <b val="0"/>
      <i/>
      <sz val="10"/>
      <color rgb="FF000000"/>
      <name val="Arial"/>
    </font>
    <font>
      <b/>
      <i val="0"/>
      <sz val="10"/>
      <color rgb="FF000000"/>
      <name val="Arial"/>
    </font>
    <font>
      <b/>
      <i/>
      <sz val="10"/>
      <color rgb="FF000000"/>
      <name val="Arial"/>
    </font>
    <font>
      <b val="0"/>
      <i val="0"/>
      <sz val="10"/>
      <color rgb="FF0000FF"/>
      <name val="Arial"/>
    </font>
    <font>
      <b/>
      <i val="0"/>
      <sz val="12"/>
      <color rgb="FF000000"/>
      <name val="Arial"/>
    </font>
    <font>
      <b val="0"/>
      <i val="0"/>
      <sz val="11"/>
      <color rgb="FF000000"/>
      <name val="Calibri"/>
    </font>
    <font>
      <b val="0"/>
      <i/>
      <sz val="10"/>
      <color rgb="FF404040"/>
      <name val="Arial"/>
    </font>
    <font>
      <b/>
      <i val="0"/>
      <sz val="10"/>
      <color rgb="FF0000FF"/>
      <name val="Arial"/>
    </font>
    <font>
      <b/>
      <i val="0"/>
      <sz val="10"/>
      <color rgb="FF006100"/>
      <name val="Arial"/>
    </font>
    <font>
      <b val="0"/>
      <i/>
      <sz val="10"/>
      <color rgb="FF0000FF"/>
      <name val="Arial"/>
    </font>
    <font>
      <b/>
      <i/>
      <sz val="10"/>
      <color rgb="FF006100"/>
      <name val="Arial"/>
    </font>
    <font>
      <b/>
      <i val="0"/>
      <sz val="14"/>
      <color rgb="FF000000"/>
      <name val="Arial"/>
    </font>
    <font>
      <b/>
      <i/>
      <sz val="10"/>
      <color rgb="FF404040"/>
      <name val="Arial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CE6F1"/>
      </patternFill>
    </fill>
    <fill>
      <patternFill patternType="solid">
        <fgColor rgb="FFEEF3FA"/>
      </patternFill>
    </fill>
  </fills>
  <borders count="8">
    <border>
      <left/>
      <right/>
      <top/>
      <bottom/>
    </border>
    <border>
      <left/>
      <right/>
      <top/>
      <bottom/>
      <diagonal/>
    </border>
    <border>
      <bottom style="thin">
        <color rgb="FF808080"/>
      </bottom>
    </border>
    <border>
      <top style="thin">
        <color rgb="FF808080"/>
      </top>
      <bottom style="thin">
        <color rgb="FF808080"/>
      </bottom>
    </border>
    <border>
      <top style="thin">
        <color rgb="FF808080"/>
      </top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1"/>
  </cellStyleXfs>
  <cellXfs count="111">
    <xf numFmtId="0" fontId="0" fillId="0" borderId="1" xfId="0"/>
    <xf numFmtId="0" fontId="2" fillId="0" borderId="1" xfId="0"/>
    <xf numFmtId="0" fontId="8" fillId="0" borderId="1" xfId="0"/>
    <xf numFmtId="0" fontId="5" fillId="0" borderId="1" xfId="0"/>
    <xf numFmtId="0" fontId="4" fillId="0" borderId="1" xfId="0"/>
    <xf numFmtId="0" fontId="5" fillId="2" borderId="5" xfId="0">
      <alignment horizontal="left" vertical="bottom"/>
    </xf>
    <xf numFmtId="0" fontId="5" fillId="2" borderId="5" xfId="0">
      <alignment horizontal="right" vertical="bottom"/>
    </xf>
    <xf numFmtId="0" fontId="5" fillId="3" borderId="5" xfId="0">
      <alignment horizontal="right" vertical="bottom"/>
    </xf>
    <xf numFmtId="0" fontId="5" fillId="2" borderId="1" xfId="0">
      <alignment horizontal="left" vertical="bottom"/>
    </xf>
    <xf numFmtId="20712" fontId="2" fillId="2" borderId="1" xfId="0">
      <alignment horizontal="right" vertical="bottom"/>
    </xf>
    <xf numFmtId="20712" fontId="2" fillId="3" borderId="1" xfId="0">
      <alignment horizontal="right" vertical="bottom"/>
    </xf>
    <xf numFmtId="0" fontId="5" fillId="2" borderId="6" xfId="0">
      <alignment horizontal="left" vertical="bottom"/>
    </xf>
    <xf numFmtId="1" fontId="2" fillId="2" borderId="6" xfId="0">
      <alignment horizontal="right" vertical="bottom"/>
    </xf>
    <xf numFmtId="1" fontId="2" fillId="3" borderId="6" xfId="0">
      <alignment horizontal="right" vertical="bottom"/>
    </xf>
    <xf numFmtId="0" fontId="15" fillId="0" borderId="1" xfId="0">
      <alignment horizontal="left" vertical="bottom"/>
    </xf>
    <xf numFmtId="0" fontId="4" fillId="0" borderId="1" xfId="0">
      <alignment horizontal="left" vertical="bottom"/>
    </xf>
    <xf numFmtId="0" fontId="2" fillId="0" borderId="1" xfId="0">
      <alignment horizontal="left" vertical="bottom"/>
    </xf>
    <xf numFmtId="0" fontId="2" fillId="0" borderId="1" xfId="0">
      <alignment horizontal="right" vertical="bottom"/>
    </xf>
    <xf numFmtId="0" fontId="5" fillId="2" borderId="7" xfId="0">
      <alignment horizontal="left" vertical="bottom"/>
    </xf>
    <xf numFmtId="49" fontId="5" fillId="2" borderId="7" xfId="0">
      <alignment horizontal="right" vertical="bottom" wrapText="1"/>
    </xf>
    <xf numFmtId="20705" fontId="1" fillId="0" borderId="1" xfId="0">
      <alignment horizontal="right" vertical="bottom"/>
    </xf>
    <xf numFmtId="20705" fontId="2" fillId="0" borderId="1" xfId="0">
      <alignment horizontal="right" vertical="bottom"/>
    </xf>
    <xf numFmtId="20707" fontId="2" fillId="0" borderId="1" xfId="0">
      <alignment horizontal="right" vertical="bottom"/>
    </xf>
    <xf numFmtId="20708" fontId="1" fillId="0" borderId="1" xfId="0">
      <alignment horizontal="right" vertical="bottom"/>
    </xf>
    <xf numFmtId="20708" fontId="2" fillId="0" borderId="1" xfId="0">
      <alignment horizontal="right" vertical="bottom"/>
    </xf>
    <xf numFmtId="0" fontId="5" fillId="0" borderId="1" xfId="0">
      <alignment horizontal="left" vertical="bottom"/>
    </xf>
    <xf numFmtId="0" fontId="12" fillId="0" borderId="5" xfId="0">
      <alignment horizontal="right" vertical="bottom"/>
    </xf>
    <xf numFmtId="0" fontId="16" fillId="0" borderId="5" xfId="0">
      <alignment horizontal="left" vertical="bottom"/>
    </xf>
    <xf numFmtId="0" fontId="5" fillId="0" borderId="5" xfId="0">
      <alignment horizontal="right" vertical="bottom"/>
    </xf>
    <xf numFmtId="0" fontId="6" fillId="0" borderId="1" xfId="0">
      <alignment horizontal="left" vertical="bottom"/>
    </xf>
    <xf numFmtId="20707" fontId="14" fillId="0" borderId="5" xfId="0">
      <alignment horizontal="right" vertical="bottom"/>
    </xf>
    <xf numFmtId="20707" fontId="6" fillId="0" borderId="5" xfId="0">
      <alignment horizontal="right" vertical="bottom"/>
    </xf>
    <xf numFmtId="20707" fontId="1" fillId="0" borderId="1" xfId="0">
      <alignment horizontal="right" vertical="bottom"/>
    </xf>
    <xf numFmtId="20714" fontId="1" fillId="0" borderId="1" xfId="0">
      <alignment horizontal="right" vertical="bottom"/>
    </xf>
    <xf numFmtId="20707" fontId="3" fillId="0" borderId="1" xfId="0">
      <alignment horizontal="right" vertical="bottom"/>
    </xf>
    <xf numFmtId="20707" fontId="4" fillId="0" borderId="1" xfId="0">
      <alignment horizontal="right" vertical="bottom"/>
    </xf>
    <xf numFmtId="0" fontId="10" fillId="0" borderId="1" xfId="0">
      <alignment horizontal="left" vertical="bottom"/>
    </xf>
    <xf numFmtId="0" fontId="5" fillId="0" borderId="1" xfId="0">
      <alignment horizontal="right" vertical="bottom"/>
    </xf>
    <xf numFmtId="20712" fontId="2" fillId="0" borderId="1" xfId="0">
      <alignment horizontal="right" vertical="bottom"/>
    </xf>
    <xf numFmtId="1" fontId="2" fillId="0" borderId="1" xfId="0">
      <alignment horizontal="right" vertical="bottom"/>
    </xf>
    <xf numFmtId="0" fontId="2" fillId="4" borderId="1" xfId="0"/>
    <xf numFmtId="0" fontId="2" fillId="0" borderId="1" xfId="0">
      <alignment horizontal="left" vertical="bottom" indent="1"/>
    </xf>
    <xf numFmtId="20705" fontId="1" fillId="4" borderId="1" xfId="0">
      <alignment horizontal="right" vertical="bottom"/>
    </xf>
    <xf numFmtId="0" fontId="4" fillId="0" borderId="1" xfId="0">
      <alignment horizontal="left" vertical="bottom" indent="2"/>
    </xf>
    <xf numFmtId="20707" fontId="4" fillId="4" borderId="1" xfId="0">
      <alignment horizontal="right" vertical="bottom"/>
    </xf>
    <xf numFmtId="20705" fontId="4" fillId="0" borderId="1" xfId="0">
      <alignment horizontal="right" vertical="bottom"/>
    </xf>
    <xf numFmtId="20705" fontId="4" fillId="4" borderId="1" xfId="0">
      <alignment horizontal="right" vertical="bottom"/>
    </xf>
    <xf numFmtId="20705" fontId="3" fillId="0" borderId="1" xfId="0">
      <alignment horizontal="right" vertical="bottom"/>
    </xf>
    <xf numFmtId="20705" fontId="3" fillId="4" borderId="1" xfId="0">
      <alignment horizontal="right" vertical="bottom"/>
    </xf>
    <xf numFmtId="20707" fontId="3" fillId="4" borderId="1" xfId="0">
      <alignment horizontal="right" vertical="bottom"/>
    </xf>
    <xf numFmtId="20705" fontId="13" fillId="0" borderId="1" xfId="0">
      <alignment horizontal="right" vertical="bottom"/>
    </xf>
    <xf numFmtId="20705" fontId="5" fillId="0" borderId="5" xfId="0">
      <alignment horizontal="right" vertical="bottom"/>
    </xf>
    <xf numFmtId="20705" fontId="5" fillId="4" borderId="5" xfId="0">
      <alignment horizontal="right" vertical="bottom"/>
    </xf>
    <xf numFmtId="0" fontId="2" fillId="0" borderId="1" xfId="0">
      <alignment horizontal="left" vertical="bottom" indent="2"/>
    </xf>
    <xf numFmtId="0" fontId="4" fillId="0" borderId="1" xfId="0">
      <alignment horizontal="left" vertical="bottom" indent="3"/>
    </xf>
    <xf numFmtId="0" fontId="5" fillId="0" borderId="1" xfId="0">
      <alignment horizontal="left" vertical="bottom" indent="1"/>
    </xf>
    <xf numFmtId="20707" fontId="13" fillId="0" borderId="1" xfId="0">
      <alignment horizontal="right" vertical="bottom"/>
    </xf>
    <xf numFmtId="20707" fontId="13" fillId="4" borderId="1" xfId="0">
      <alignment horizontal="right" vertical="bottom"/>
    </xf>
    <xf numFmtId="0" fontId="4" fillId="0" borderId="1" xfId="0">
      <alignment horizontal="left" vertical="bottom" indent="1"/>
    </xf>
    <xf numFmtId="20705" fontId="2" fillId="4" borderId="1" xfId="0">
      <alignment horizontal="right" vertical="bottom"/>
    </xf>
    <xf numFmtId="20705" fontId="11" fillId="0" borderId="5" xfId="0">
      <alignment horizontal="right" vertical="bottom"/>
    </xf>
    <xf numFmtId="20705" fontId="7" fillId="0" borderId="1" xfId="0">
      <alignment horizontal="right" vertical="bottom"/>
    </xf>
    <xf numFmtId="20714" fontId="4" fillId="0" borderId="1" xfId="0">
      <alignment horizontal="right" vertical="bottom"/>
    </xf>
    <xf numFmtId="20714" fontId="4" fillId="4" borderId="1" xfId="0">
      <alignment horizontal="right" vertical="bottom"/>
    </xf>
    <xf numFmtId="20705" fontId="13" fillId="4" borderId="1" xfId="0">
      <alignment horizontal="right" vertical="bottom"/>
    </xf>
    <xf numFmtId="20714" fontId="1" fillId="4" borderId="1" xfId="0">
      <alignment horizontal="right" vertical="bottom"/>
    </xf>
    <xf numFmtId="20714" fontId="2" fillId="0" borderId="1" xfId="0">
      <alignment horizontal="right" vertical="bottom"/>
    </xf>
    <xf numFmtId="20714" fontId="2" fillId="4" borderId="1" xfId="0">
      <alignment horizontal="right" vertical="bottom"/>
    </xf>
    <xf numFmtId="20705" fontId="7" fillId="4" borderId="1" xfId="0">
      <alignment horizontal="right" vertical="bottom"/>
    </xf>
    <xf numFmtId="20705" fontId="12" fillId="0" borderId="5" xfId="0">
      <alignment horizontal="right" vertical="bottom"/>
    </xf>
    <xf numFmtId="20705" fontId="12" fillId="4" borderId="5" xfId="0">
      <alignment horizontal="right" vertical="bottom"/>
    </xf>
    <xf numFmtId="20708" fontId="5" fillId="0" borderId="5" xfId="0">
      <alignment horizontal="right" vertical="bottom"/>
    </xf>
    <xf numFmtId="20708" fontId="5" fillId="4" borderId="5" xfId="0">
      <alignment horizontal="right" vertical="bottom"/>
    </xf>
    <xf numFmtId="20708" fontId="7" fillId="0" borderId="1" xfId="0">
      <alignment horizontal="right" vertical="bottom"/>
    </xf>
    <xf numFmtId="20708" fontId="2" fillId="4" borderId="1" xfId="0">
      <alignment horizontal="right" vertical="bottom"/>
    </xf>
    <xf numFmtId="20773" fontId="4" fillId="0" borderId="1" xfId="0">
      <alignment horizontal="right" vertical="bottom"/>
    </xf>
    <xf numFmtId="20708" fontId="4" fillId="0" borderId="1" xfId="0">
      <alignment horizontal="right" vertical="bottom"/>
    </xf>
    <xf numFmtId="20708" fontId="4" fillId="4" borderId="1" xfId="0">
      <alignment horizontal="right" vertical="bottom"/>
    </xf>
    <xf numFmtId="20708" fontId="1" fillId="4" borderId="1" xfId="0">
      <alignment horizontal="right" vertical="bottom"/>
    </xf>
    <xf numFmtId="20717" fontId="2" fillId="0" borderId="1" xfId="0">
      <alignment horizontal="right" vertical="bottom"/>
    </xf>
    <xf numFmtId="20717" fontId="7" fillId="0" borderId="1" xfId="0">
      <alignment horizontal="right" vertical="bottom"/>
    </xf>
    <xf numFmtId="20717" fontId="7" fillId="4" borderId="1" xfId="0">
      <alignment horizontal="right" vertical="bottom"/>
    </xf>
    <xf numFmtId="20717" fontId="4" fillId="0" borderId="1" xfId="0">
      <alignment horizontal="right" vertical="bottom"/>
    </xf>
    <xf numFmtId="20717" fontId="4" fillId="4" borderId="1" xfId="0">
      <alignment horizontal="right" vertical="bottom"/>
    </xf>
    <xf numFmtId="20714" fontId="7" fillId="0" borderId="1" xfId="0">
      <alignment horizontal="right" vertical="bottom"/>
    </xf>
    <xf numFmtId="20714" fontId="7" fillId="4" borderId="1" xfId="0">
      <alignment horizontal="right" vertical="bottom"/>
    </xf>
    <xf numFmtId="20714" fontId="13" fillId="0" borderId="1" xfId="0">
      <alignment horizontal="right" vertical="bottom"/>
    </xf>
    <xf numFmtId="20714" fontId="5" fillId="0" borderId="5" xfId="0">
      <alignment horizontal="right" vertical="bottom"/>
    </xf>
    <xf numFmtId="20714" fontId="5" fillId="4" borderId="5" xfId="0">
      <alignment horizontal="right" vertical="bottom"/>
    </xf>
    <xf numFmtId="49" fontId="5" fillId="2" borderId="7" xfId="0">
      <alignment horizontal="left" vertical="bottom" wrapText="1"/>
    </xf>
    <xf numFmtId="20712" fontId="7" fillId="0" borderId="1" xfId="0">
      <alignment horizontal="right" vertical="bottom"/>
    </xf>
    <xf numFmtId="20717" fontId="1" fillId="0" borderId="1" xfId="0">
      <alignment horizontal="right" vertical="bottom"/>
    </xf>
    <xf numFmtId="20717" fontId="2" fillId="0" borderId="1" xfId="0">
      <alignment horizontal="left" vertical="bottom"/>
    </xf>
    <xf numFmtId="20712" fontId="13" fillId="0" borderId="1" xfId="0">
      <alignment horizontal="right" vertical="bottom"/>
    </xf>
    <xf numFmtId="20707" fontId="4" fillId="0" borderId="1" xfId="0">
      <alignment horizontal="left" vertical="bottom"/>
    </xf>
    <xf numFmtId="20705" fontId="2" fillId="0" borderId="1" xfId="0">
      <alignment horizontal="left" vertical="bottom"/>
    </xf>
    <xf numFmtId="20708" fontId="12" fillId="0" borderId="5" xfId="0">
      <alignment horizontal="right" vertical="bottom"/>
    </xf>
    <xf numFmtId="0" fontId="5" fillId="2" borderId="7" xfId="0">
      <alignment horizontal="left" vertical="top" wrapText="1"/>
    </xf>
    <xf numFmtId="49" fontId="5" fillId="2" borderId="7" xfId="0">
      <alignment horizontal="left" vertical="top" wrapText="1"/>
    </xf>
    <xf numFmtId="49" fontId="5" fillId="2" borderId="7" xfId="0">
      <alignment horizontal="right" vertical="top" wrapText="1"/>
    </xf>
    <xf numFmtId="0" fontId="2" fillId="0" borderId="1" xfId="0">
      <alignment horizontal="left" vertical="top" wrapText="1"/>
    </xf>
    <xf numFmtId="20712" fontId="7" fillId="0" borderId="1" xfId="0">
      <alignment horizontal="right" vertical="top" wrapText="1"/>
    </xf>
    <xf numFmtId="0" fontId="2" fillId="0" borderId="1" xfId="0">
      <alignment horizontal="left" vertical="top"/>
    </xf>
    <xf numFmtId="0" fontId="2" fillId="0" borderId="1" xfId="0">
      <alignment vertical="top" wrapText="1"/>
    </xf>
    <xf numFmtId="0" fontId="4" fillId="0" borderId="1" xfId="0">
      <alignment horizontal="left" vertical="top" wrapText="1"/>
    </xf>
    <xf numFmtId="0" fontId="4" fillId="0" borderId="1" xfId="0">
      <alignment horizontal="left" vertical="top"/>
    </xf>
    <xf numFmtId="0" fontId="9" fillId="0" borderId="1" xfId="0">
      <alignment horizontal="left" vertical="top"/>
    </xf>
    <xf numFmtId="0" fontId="7" fillId="0" borderId="1" xfId="0">
      <alignment horizontal="right" vertical="bottom"/>
    </xf>
    <xf numFmtId="0" fontId="2" fillId="0" borderId="1" xfId="0">
      <alignment horizontal="left" vertical="top" indent="1"/>
    </xf>
    <xf numFmtId="20712" fontId="2" fillId="0" borderId="1" xfId="0">
      <alignment horizontal="left" vertical="bottom"/>
    </xf>
    <xf numFmtId="0" fontId="6" fillId="0" borderId="1" xfId="0">
      <alignment horizontal="left" vertical="bottom" inden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28575</xdr:rowOff>
    </xdr:from>
    <xdr:to>
      <xdr:col>1</xdr:col>
      <xdr:colOff>476250</xdr:colOff>
      <xdr:row>0</xdr:row>
      <xdr:rowOff>600075</xdr:rowOff>
    </xdr:to>
    <xdr:pic>
      <xdr:nvPicPr>
        <xdr:cNvPr id="2" name="Shortcut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38100" y="28575"/>
          <a:ext cx="575733" cy="571500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9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2.xml"/><Relationship Id="rId2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D03AED8-BEFF-9738-3421-F61B7737D619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2.00390625" customWidth="1"/>
    <col min="10" max="10" width="70.00390625" customWidth="1"/>
  </cols>
  <sheetData>
    <row r="1" ht="49.5" customHeight="1">
      <c r="A1" s="1"/>
      <c r="B1" s="1"/>
      <c r="C1" s="1"/>
      <c r="D1" s="1"/>
      <c r="E1" s="1"/>
      <c r="F1" s="1"/>
      <c r="G1" s="1"/>
      <c r="H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</row>
    <row r="3" ht="15" customHeight="1">
      <c r="A3" s="1"/>
      <c r="B3" s="3" t="s">
        <v>1</v>
      </c>
      <c r="C3" s="1"/>
      <c r="D3" s="1"/>
      <c r="E3" s="1"/>
      <c r="F3" s="1"/>
      <c r="G3" s="1"/>
      <c r="H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</row>
    <row r="5" ht="15" customHeight="1">
      <c r="A5" s="1"/>
      <c r="B5" s="1"/>
      <c r="C5" s="1"/>
      <c r="D5" s="1"/>
      <c r="E5" s="1"/>
      <c r="F5" s="1"/>
      <c r="G5" s="1"/>
      <c r="H5" s="1"/>
    </row>
    <row r="6" ht="15" customHeight="1">
      <c r="A6" s="1"/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7" t="s">
        <v>9</v>
      </c>
    </row>
    <row r="7" ht="15" customHeight="1">
      <c r="A7" s="1"/>
      <c r="B7" s="8" t="s">
        <v>10</v>
      </c>
      <c r="C7" s="9">
        <v>45930</v>
      </c>
      <c r="D7" s="9">
        <v>46022</v>
      </c>
      <c r="E7" s="9">
        <v>46112</v>
      </c>
      <c r="F7" s="9">
        <v>46203</v>
      </c>
      <c r="G7" s="9">
        <v>46022</v>
      </c>
      <c r="H7" s="10">
        <v>46295</v>
      </c>
    </row>
    <row r="8" ht="15" customHeight="1">
      <c r="A8" s="1"/>
      <c r="B8" s="11" t="s">
        <v>11</v>
      </c>
      <c r="C8" s="12">
        <v>92</v>
      </c>
      <c r="D8" s="12">
        <v>92</v>
      </c>
      <c r="E8" s="12">
        <v>90</v>
      </c>
      <c r="F8" s="12">
        <v>91</v>
      </c>
      <c r="G8" s="12">
        <v>365</v>
      </c>
      <c r="H8" s="13">
        <v>92</v>
      </c>
    </row>
    <row r="9" ht="15" customHeight="1">
      <c r="A9" s="1"/>
      <c r="B9" s="1"/>
      <c r="C9" s="1"/>
      <c r="D9" s="1"/>
      <c r="E9" s="1"/>
      <c r="F9" s="1"/>
      <c r="G9" s="1"/>
      <c r="H9" s="1"/>
    </row>
    <row r="10" ht="15" customHeight="1">
      <c r="A10" s="1"/>
      <c r="B10" s="14" t="s">
        <v>12</v>
      </c>
      <c r="C10" s="1"/>
      <c r="D10" s="1"/>
      <c r="E10" s="1"/>
      <c r="F10" s="1"/>
      <c r="G10" s="1"/>
      <c r="H10" s="1"/>
    </row>
    <row r="11" ht="15" customHeight="1">
      <c r="A11" s="1"/>
      <c r="B11" s="15" t="s">
        <v>13</v>
      </c>
      <c r="C11" s="1"/>
      <c r="D11" s="1"/>
      <c r="E11" s="1"/>
      <c r="F11" s="1"/>
      <c r="G11" s="1"/>
      <c r="H11" s="1"/>
    </row>
    <row r="12" ht="15" customHeight="1">
      <c r="A12" s="1"/>
      <c r="B12" s="1"/>
      <c r="C12" s="1"/>
      <c r="D12" s="1"/>
      <c r="E12" s="1"/>
      <c r="F12" s="1"/>
      <c r="G12" s="1"/>
      <c r="H12" s="1"/>
    </row>
    <row r="13" ht="15" customHeight="1">
      <c r="A13" s="1"/>
      <c r="B13" s="16" t="s">
        <v>14</v>
      </c>
      <c r="C13" s="16" t="s">
        <v>15</v>
      </c>
      <c r="D13" s="17"/>
      <c r="E13" s="17"/>
      <c r="F13" s="17"/>
      <c r="G13" s="17"/>
      <c r="H13" s="17"/>
    </row>
    <row r="14" ht="15" customHeight="1">
      <c r="A14" s="1"/>
      <c r="B14" s="16" t="s">
        <v>16</v>
      </c>
      <c r="C14" s="16" t="s">
        <v>17</v>
      </c>
      <c r="D14" s="17"/>
      <c r="E14" s="17"/>
      <c r="F14" s="17"/>
      <c r="G14" s="17"/>
      <c r="H14" s="17"/>
    </row>
    <row r="15" ht="15" customHeight="1">
      <c r="A15" s="1"/>
      <c r="B15" s="16" t="s">
        <v>18</v>
      </c>
      <c r="C15" s="16" t="s">
        <v>19</v>
      </c>
      <c r="D15" s="17"/>
      <c r="E15" s="17"/>
      <c r="F15" s="17"/>
      <c r="G15" s="17"/>
      <c r="H15" s="17"/>
    </row>
    <row r="16" ht="15" customHeight="1">
      <c r="A16" s="1"/>
      <c r="B16" s="16" t="s">
        <v>20</v>
      </c>
      <c r="C16" s="16" t="s">
        <v>21</v>
      </c>
      <c r="D16" s="17"/>
      <c r="E16" s="17"/>
      <c r="F16" s="17"/>
      <c r="G16" s="17"/>
      <c r="H16" s="17"/>
    </row>
    <row r="17" ht="15" customHeight="1">
      <c r="A17" s="1"/>
      <c r="B17" s="16" t="s">
        <v>22</v>
      </c>
      <c r="C17" s="16" t="s">
        <v>23</v>
      </c>
      <c r="D17" s="17"/>
      <c r="E17" s="17"/>
      <c r="F17" s="17"/>
      <c r="G17" s="17"/>
      <c r="H17" s="17"/>
    </row>
    <row r="18" ht="15" customHeight="1">
      <c r="A18" s="1"/>
      <c r="B18" s="16" t="s">
        <v>24</v>
      </c>
      <c r="C18" s="16" t="s">
        <v>25</v>
      </c>
      <c r="D18" s="17"/>
      <c r="E18" s="17"/>
      <c r="F18" s="17"/>
      <c r="G18" s="17"/>
      <c r="H18" s="17"/>
    </row>
    <row r="19" ht="15" customHeight="1">
      <c r="A19" s="1"/>
      <c r="B19" s="16" t="s">
        <v>26</v>
      </c>
      <c r="C19" s="16" t="s">
        <v>27</v>
      </c>
      <c r="D19" s="17"/>
      <c r="E19" s="17"/>
      <c r="F19" s="17"/>
      <c r="G19" s="17"/>
      <c r="H19" s="17"/>
    </row>
    <row r="20" ht="15" customHeight="1">
      <c r="A20" s="1"/>
      <c r="B20" s="16" t="s">
        <v>28</v>
      </c>
      <c r="C20" s="16" t="s">
        <v>29</v>
      </c>
      <c r="D20" s="17"/>
      <c r="E20" s="17"/>
      <c r="F20" s="17"/>
      <c r="G20" s="17"/>
      <c r="H20" s="17"/>
    </row>
    <row r="21" ht="15" customHeight="1">
      <c r="A21" s="1"/>
      <c r="B21" s="1"/>
      <c r="C21" s="1"/>
      <c r="D21" s="1"/>
      <c r="E21" s="1"/>
      <c r="F21" s="1"/>
      <c r="G21" s="1"/>
      <c r="H21" s="1"/>
    </row>
    <row r="22" ht="15" customHeight="1">
      <c r="A22" s="1"/>
      <c r="B22" s="18" t="s">
        <v>30</v>
      </c>
      <c r="C22" s="19" t="s">
        <v>31</v>
      </c>
      <c r="D22" s="19" t="s">
        <v>32</v>
      </c>
      <c r="E22" s="19" t="s">
        <v>33</v>
      </c>
      <c r="F22" s="19" t="s">
        <v>34</v>
      </c>
      <c r="G22" s="19" t="s">
        <v>35</v>
      </c>
      <c r="H22" s="19" t="s">
        <v>36</v>
      </c>
    </row>
    <row r="23" ht="15" customHeight="1">
      <c r="A23" s="1"/>
      <c r="B23" s="16" t="s">
        <v>37</v>
      </c>
      <c r="C23" s="20">
        <f>'Income Statement'!H17</f>
        <v>10103.199550000001</v>
      </c>
      <c r="D23" s="20">
        <f>Inputs!C20</f>
        <v>10094.87</v>
      </c>
      <c r="E23" s="21">
        <f t="shared" si="0" ref="E23:E39">C23-D23</f>
        <v>8.329550000000381</v>
      </c>
      <c r="F23" s="22">
        <f t="shared" si="1" ref="F23:F39">_xlfn.IFERROR(C23/D23-1,"n/a")</f>
        <v>0.0008251270199617355</v>
      </c>
      <c r="G23" s="20">
        <f>Guidance!H47</f>
        <v>10138.43656</v>
      </c>
      <c r="H23" s="22">
        <f t="shared" si="2" ref="H23:H26">_xlfn.IFERROR(C23/G23-1,"n/a")</f>
        <v>-0.003475586180518464</v>
      </c>
    </row>
    <row r="24" ht="15" customHeight="1">
      <c r="A24" s="1"/>
      <c r="B24" s="16" t="s">
        <v>38</v>
      </c>
      <c r="C24" s="20">
        <f>'Income Statement'!H157</f>
        <v>2029.7070266360004</v>
      </c>
      <c r="D24" s="20">
        <f>Inputs!C76</f>
        <v>2099.86</v>
      </c>
      <c r="E24" s="21">
        <f t="shared" si="0"/>
        <v>-70.15297336399976</v>
      </c>
      <c r="F24" s="22">
        <f t="shared" si="1"/>
        <v>-0.03340840501938214</v>
      </c>
      <c r="G24" s="20">
        <f>Guidance!H45</f>
        <v>2089.738059019849</v>
      </c>
      <c r="H24" s="22">
        <f t="shared" si="2"/>
        <v>-0.028726582321999317</v>
      </c>
    </row>
    <row r="25" ht="15" customHeight="1">
      <c r="A25" s="1"/>
      <c r="B25" s="16" t="s">
        <v>39</v>
      </c>
      <c r="C25" s="23">
        <f>'Income Statement'!H161</f>
        <v>1.7656043906706962</v>
      </c>
      <c r="D25" s="23">
        <f>Inputs!C18</f>
        <v>1.83</v>
      </c>
      <c r="E25" s="24">
        <f t="shared" si="0"/>
        <v>-0.06439560932930388</v>
      </c>
      <c r="F25" s="22">
        <f t="shared" si="1"/>
        <v>-0.03518885755699663</v>
      </c>
      <c r="G25" s="23">
        <f>Guidance!H46</f>
        <v>1.8178242691864077</v>
      </c>
      <c r="H25" s="22">
        <f t="shared" si="2"/>
        <v>-0.028726582321999317</v>
      </c>
    </row>
    <row r="26" ht="15" customHeight="1">
      <c r="A26" s="1"/>
      <c r="B26" s="16" t="s">
        <v>40</v>
      </c>
      <c r="C26" s="23">
        <f>'Income Statement'!H65</f>
        <v>1.6929997407165538</v>
      </c>
      <c r="D26" s="23">
        <f>Inputs!C54</f>
        <v>1.75</v>
      </c>
      <c r="E26" s="24">
        <f t="shared" si="0"/>
        <v>-0.05700025928344621</v>
      </c>
      <c r="F26" s="22">
        <f t="shared" si="1"/>
        <v>-0.03257157673339783</v>
      </c>
      <c r="G26" s="24" t="s">
        <v>41</v>
      </c>
      <c r="H26" s="22" t="str">
        <f t="shared" si="2"/>
        <v>n/a</v>
      </c>
    </row>
    <row r="27" ht="15" customHeight="1">
      <c r="A27" s="1"/>
      <c r="B27" s="25" t="s">
        <v>42</v>
      </c>
      <c r="C27" s="26" t="str">
        <f>IF(SUM(ABS('Revenue summary'!C88),ABS('Revenue summary'!D88),ABS('Revenue summary'!E88),ABS('Revenue summary'!F88),ABS('Revenue summary'!G88),ABS('Revenue summary'!H88),ABS('Revenue summary'!I88),ABS('Revenue summary'!J88),ABS('Revenue summary'!K88),ABS('Revenue summary'!L88),ABS('Revenue summary'!M88),ABS('Revenue summary'!N88))+SUM(ABS('Revenue summary'!C89),ABS('Revenue summary'!D89),ABS('Revenue summary'!E89),ABS('Revenue summary'!F89),ABS('Revenue summary'!G89),ABS('Revenue summary'!H89),ABS('Revenue summary'!I89),ABS('Revenue summary'!J89),ABS('Revenue summary'!K89),ABS('Revenue summary'!L89),ABS('Revenue summary'!M89),ABS('Revenue summary'!N89))+SUM(ABS('Income Statement'!C100),ABS('Income Statement'!D100),ABS('Income Statement'!E100),ABS('Income Statement'!F100),ABS('Income Statement'!G100),ABS('Income Statement'!H100),ABS('Income Statement'!I100),ABS('Income Statement'!J100),ABS('Income Statement'!K100),ABS('Income Statement'!L100),ABS('Income Statement'!M100),ABS('Income Statement'!N100))+SUM(ABS('Income Statement'!C101),ABS('Income Statement'!D101),ABS('Income Statement'!E101),ABS('Income Statement'!F101),ABS('Income Statement'!G101),ABS('Income Statement'!H101),ABS('Income Statement'!I101),ABS('Income Statement'!J101),ABS('Income Statement'!K101),ABS('Income Statement'!L101),ABS('Income Statement'!M101),ABS('Income Statement'!N101))+SUM(ABS('Income Statement'!C170),ABS('Income Statement'!D170),ABS('Income Statement'!E170),ABS('Income Statement'!F170),ABS('Income Statement'!G170),ABS('Income Statement'!H170),ABS('Income Statement'!I170),ABS('Income Statement'!J170),ABS('Income Statement'!K170),ABS('Income Statement'!L170),ABS('Income Statement'!M170))+SUM(ABS('Income Statement'!C171),ABS('Income Statement'!D171),ABS('Income Statement'!E171),ABS('Income Statement'!F171),ABS('Income Statement'!G171),ABS('Income Statement'!H171))+SUM(ABS('Income Statement'!C172),ABS('Income Statement'!D172),ABS('Income Statement'!E172),ABS('Income Statement'!F172),ABS('Income Statement'!G172),ABS('Income Statement'!H172))+SUM(ABS('Balance Sheet'!C65),ABS('Balance Sheet'!D65),ABS('Balance Sheet'!E65),ABS('Balance Sheet'!F65),ABS('Balance Sheet'!G65),ABS('Balance Sheet'!H65))+SUM(ABS('Cash Flow Statement'!C53),ABS('Cash Flow Statement'!D53),ABS('Cash Flow Statement'!E53),ABS('Cash Flow Statement'!F53),ABS('Cash Flow Statement'!G53),ABS('Cash Flow Statement'!H53))+SUM(ABS('Cash Flow Statement'!C54),ABS('Cash Flow Statement'!D54),ABS('Cash Flow Statement'!E54),ABS('Cash Flow Statement'!F54),ABS('Cash Flow Statement'!G54),ABS('Cash Flow Statement'!H54))+SUM(ABS(Geo!C105),ABS(Geo!D105),ABS(Geo!E105),ABS(Geo!F105),ABS(Geo!G105),ABS(Geo!H105),ABS(Geo!I105),ABS(Geo!J105),ABS(Geo!K105),ABS(Geo!L105),ABS(Geo!M105),ABS(Geo!N105))+SUM(ABS(Geo!C140),ABS(Geo!D140),ABS(Geo!E140),ABS(Geo!F140),ABS(Geo!G140),ABS(Geo!H140),ABS(Geo!I140),ABS(Geo!J140),ABS(Geo!K140),ABS(Geo!L140),ABS(Geo!M140),ABS(Geo!N140))+SUM(ABS(Geo!C175),ABS(Geo!D175),ABS(Geo!E175),ABS(Geo!F175),ABS(Geo!G175),ABS(Geo!H175),ABS(Geo!I175),ABS(Geo!J175),ABS(Geo!K175),ABS(Geo!L175),ABS(Geo!M175),ABS(Geo!N175))+ABS(C38)+ABS('Income Statement'!H78)+ABS('Income Statement'!H83)+ABS('Income Statement'!H92)&lt;0.001,"PASS","FAIL")</f>
        <v>PASS</v>
      </c>
      <c r="D27" s="27" t="s">
        <v>44</v>
      </c>
      <c r="E27" s="28"/>
      <c r="F27" s="28"/>
      <c r="G27" s="28"/>
      <c r="H27" s="28"/>
    </row>
    <row r="28" ht="15" customHeight="1">
      <c r="A28" s="1"/>
      <c r="B28" s="29" t="s">
        <v>45</v>
      </c>
      <c r="C28" s="30">
        <f>Inputs!C126</f>
        <v>0.38285714285714284</v>
      </c>
      <c r="D28" s="31"/>
      <c r="E28" s="31"/>
      <c r="F28" s="31"/>
      <c r="G28" s="31"/>
      <c r="H28" s="31"/>
    </row>
    <row r="29" ht="15" customHeight="1">
      <c r="A29" s="1"/>
      <c r="B29" s="25" t="s">
        <v>46</v>
      </c>
      <c r="C29" s="26" t="str">
        <f>Inputs!C127</f>
        <v>low</v>
      </c>
      <c r="D29" s="28"/>
      <c r="E29" s="28"/>
      <c r="F29" s="28"/>
      <c r="G29" s="28"/>
      <c r="H29" s="28"/>
    </row>
    <row r="30" ht="15" customHeight="1">
      <c r="A30" s="1"/>
      <c r="B30" s="1"/>
      <c r="C30" s="1"/>
      <c r="D30" s="1"/>
      <c r="E30" s="1"/>
      <c r="F30" s="1"/>
      <c r="G30" s="1"/>
      <c r="H30" s="1"/>
    </row>
    <row r="31" ht="15" customHeight="1">
      <c r="A31" s="1"/>
      <c r="B31" s="25" t="s">
        <v>48</v>
      </c>
      <c r="C31" s="1"/>
      <c r="D31" s="1"/>
      <c r="E31" s="1"/>
      <c r="F31" s="1"/>
      <c r="G31" s="1"/>
      <c r="H31" s="1"/>
    </row>
    <row r="32" ht="15" customHeight="1">
      <c r="A32" s="1"/>
      <c r="B32" s="16" t="s">
        <v>49</v>
      </c>
      <c r="C32" s="23">
        <f>Inputs!C134</f>
        <v>1.8</v>
      </c>
      <c r="D32" s="24"/>
      <c r="E32" s="24"/>
      <c r="F32" s="24"/>
      <c r="G32" s="24"/>
      <c r="H32" s="24"/>
    </row>
    <row r="33" ht="15" customHeight="1">
      <c r="A33" s="1"/>
      <c r="B33" s="16" t="s">
        <v>50</v>
      </c>
      <c r="C33" s="20">
        <f>Inputs!C133</f>
        <v>2942</v>
      </c>
      <c r="D33" s="20">
        <f>Inputs!C132</f>
        <v>10119</v>
      </c>
      <c r="E33" s="21"/>
      <c r="F33" s="21"/>
      <c r="G33" s="21"/>
      <c r="H33" s="21"/>
    </row>
    <row r="34" ht="15" customHeight="1">
      <c r="A34" s="1"/>
      <c r="B34" s="16" t="s">
        <v>51</v>
      </c>
      <c r="C34" s="20">
        <f>'Income Statement'!H135</f>
        <v>2900.9468904000005</v>
      </c>
      <c r="D34" s="32">
        <f>'Income Statement'!H139</f>
        <v>0.2871315048310612</v>
      </c>
      <c r="E34" s="21"/>
      <c r="F34" s="21"/>
      <c r="G34" s="21"/>
      <c r="H34" s="21"/>
    </row>
    <row r="35" ht="15" customHeight="1">
      <c r="A35" s="1"/>
      <c r="B35" s="16" t="s">
        <v>52</v>
      </c>
      <c r="C35" s="23">
        <f>Inputs!C46</f>
        <v>1.81</v>
      </c>
      <c r="D35" s="23">
        <f>Inputs!C47</f>
        <v>2.12</v>
      </c>
      <c r="E35" s="23">
        <f>Inputs!C48</f>
        <v>1.71</v>
      </c>
      <c r="F35" s="33">
        <f>Inputs!C50</f>
        <v>11</v>
      </c>
      <c r="G35" s="24"/>
      <c r="H35" s="24"/>
    </row>
    <row r="36" ht="15" customHeight="1">
      <c r="A36" s="1"/>
      <c r="B36" s="16" t="s">
        <v>53</v>
      </c>
      <c r="C36" s="23">
        <f>C25*Inputs!C130*Inputs!C131</f>
        <v>1.9843627746747952</v>
      </c>
      <c r="D36" s="24"/>
      <c r="E36" s="24"/>
      <c r="F36" s="24"/>
      <c r="G36" s="24"/>
      <c r="H36" s="24"/>
    </row>
    <row r="37" ht="15" customHeight="1">
      <c r="A37" s="1"/>
      <c r="B37" s="15" t="s">
        <v>54</v>
      </c>
      <c r="C37" s="34">
        <f>Inputs!C120</f>
        <v>0.8028571428571428</v>
      </c>
      <c r="D37" s="35"/>
      <c r="E37" s="35"/>
      <c r="F37" s="35"/>
      <c r="G37" s="35"/>
      <c r="H37" s="35"/>
    </row>
    <row r="38" ht="15" customHeight="1">
      <c r="A38" s="1"/>
      <c r="B38" s="15" t="s">
        <v>55</v>
      </c>
      <c r="C38" s="20">
        <f>ROUND(ABS(C23-'Income Statement'!H17)+ABS(C24-'Income Statement'!H157)+ABS(C25-'Income Statement'!H161)+ABS(C26-'Income Statement'!H65),6)</f>
        <v>0</v>
      </c>
      <c r="D38" s="21"/>
      <c r="E38" s="21"/>
      <c r="F38" s="21"/>
      <c r="G38" s="21"/>
      <c r="H38" s="21"/>
    </row>
    <row r="39" ht="15" customHeight="1">
      <c r="B39" s="15" t="s">
        <v>56</v>
      </c>
      <c r="C39" s="23">
        <f>'Income Statement'!H64</f>
        <v>1.7003632856429556</v>
      </c>
      <c r="D39" s="23">
        <f>Inputs!C54</f>
        <v>1.75</v>
      </c>
      <c r="E39" s="24">
        <f t="shared" si="0"/>
        <v>-0.04963671435704442</v>
      </c>
      <c r="F39" s="22">
        <f t="shared" si="1"/>
        <v>-0.028363836775453954</v>
      </c>
    </row>
    <row r="40" ht="15" customHeight="1">
      <c r="B40" s="36" t="s">
        <v>57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F5D01B4-CFA8-5F38-EDFB-3294B3C595BE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2.00390625" customWidth="1"/>
    <col min="10" max="14" width="12.00390625" customWidth="1"/>
    <col min="15" max="15" width="2.00390625" customWidth="1"/>
    <col min="16" max="16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15" customHeight="1">
      <c r="A3" s="1"/>
      <c r="B3" s="3" t="s">
        <v>58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4" t="s">
        <v>59</v>
      </c>
      <c r="K5" s="1"/>
      <c r="L5" s="1"/>
      <c r="M5" s="1"/>
      <c r="N5" s="1"/>
      <c r="O5" s="1"/>
      <c r="P5" s="1"/>
    </row>
    <row r="6" ht="15" customHeight="1">
      <c r="A6" s="1"/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7" t="s">
        <v>9</v>
      </c>
      <c r="I6" s="37"/>
      <c r="J6" s="6" t="s">
        <v>60</v>
      </c>
      <c r="K6" s="6" t="s">
        <v>61</v>
      </c>
      <c r="L6" s="6" t="s">
        <v>62</v>
      </c>
      <c r="M6" s="6" t="s">
        <v>63</v>
      </c>
      <c r="N6" s="6" t="s">
        <v>64</v>
      </c>
      <c r="O6" s="1"/>
      <c r="P6" s="3" t="s">
        <v>65</v>
      </c>
    </row>
    <row r="7" ht="15" customHeight="1">
      <c r="A7" s="1"/>
      <c r="B7" s="8" t="s">
        <v>10</v>
      </c>
      <c r="C7" s="9">
        <v>45930</v>
      </c>
      <c r="D7" s="9">
        <v>46022</v>
      </c>
      <c r="E7" s="9">
        <v>46112</v>
      </c>
      <c r="F7" s="9">
        <v>46203</v>
      </c>
      <c r="G7" s="9">
        <v>46022</v>
      </c>
      <c r="H7" s="10">
        <v>46295</v>
      </c>
      <c r="I7" s="38"/>
      <c r="J7" s="9">
        <v>45565</v>
      </c>
      <c r="K7" s="9">
        <v>45657</v>
      </c>
      <c r="L7" s="9">
        <v>45747</v>
      </c>
      <c r="M7" s="9">
        <v>45838</v>
      </c>
      <c r="N7" s="9">
        <v>45657</v>
      </c>
      <c r="O7" s="1"/>
      <c r="P7" s="1"/>
    </row>
    <row r="8" ht="15" customHeight="1">
      <c r="A8" s="1"/>
      <c r="B8" s="11" t="s">
        <v>11</v>
      </c>
      <c r="C8" s="12">
        <v>92</v>
      </c>
      <c r="D8" s="12">
        <v>92</v>
      </c>
      <c r="E8" s="12">
        <v>90</v>
      </c>
      <c r="F8" s="12">
        <v>91</v>
      </c>
      <c r="G8" s="12">
        <v>365</v>
      </c>
      <c r="H8" s="13">
        <v>92</v>
      </c>
      <c r="I8" s="39"/>
      <c r="J8" s="12">
        <v>92</v>
      </c>
      <c r="K8" s="12">
        <v>92</v>
      </c>
      <c r="L8" s="12">
        <v>90</v>
      </c>
      <c r="M8" s="12">
        <v>91</v>
      </c>
      <c r="N8" s="12">
        <v>366</v>
      </c>
      <c r="O8" s="1"/>
      <c r="P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36"/>
    </row>
    <row r="10" ht="15" customHeight="1">
      <c r="A10" s="1"/>
      <c r="B10" s="25" t="s">
        <v>66</v>
      </c>
      <c r="C10" s="1"/>
      <c r="D10" s="1"/>
      <c r="E10" s="1"/>
      <c r="F10" s="1"/>
      <c r="G10" s="1"/>
      <c r="H10" s="40"/>
      <c r="I10" s="1"/>
      <c r="J10" s="1"/>
      <c r="K10" s="1"/>
      <c r="L10" s="1"/>
      <c r="M10" s="1"/>
      <c r="N10" s="1"/>
      <c r="O10" s="1"/>
      <c r="P10" s="36"/>
    </row>
    <row r="11" ht="15" customHeight="1">
      <c r="A11" s="1"/>
      <c r="B11" s="41" t="s">
        <v>67</v>
      </c>
      <c r="C11" s="20">
        <f>'Segment - ATS'!C133</f>
        <v>8082</v>
      </c>
      <c r="D11" s="20">
        <f>'Segment - ATS'!D133</f>
        <v>8711</v>
      </c>
      <c r="E11" s="20">
        <f>'Segment - ATS'!E133</f>
        <v>8610</v>
      </c>
      <c r="F11" s="20">
        <f>'Segment - ATS'!F133</f>
        <v>8912</v>
      </c>
      <c r="G11" s="20">
        <f>'Segment - ATS'!G133</f>
        <v>32844</v>
      </c>
      <c r="H11" s="42">
        <f>'Segment - ATS'!H133</f>
        <v>9139.0938</v>
      </c>
      <c r="I11" s="21"/>
      <c r="J11" s="20">
        <f>'Segment - ATS'!J133</f>
        <v>7524</v>
      </c>
      <c r="K11" s="20">
        <f>'Segment - ATS'!K133</f>
        <v>8381</v>
      </c>
      <c r="L11" s="20">
        <f>'Segment - ATS'!L133</f>
        <v>8017</v>
      </c>
      <c r="M11" s="20">
        <f>'Segment - ATS'!M133</f>
        <v>8034</v>
      </c>
      <c r="N11" s="20">
        <f>'Segment - ATS'!N133</f>
        <v>30248</v>
      </c>
      <c r="O11" s="1"/>
      <c r="P11" s="36" t="s">
        <v>68</v>
      </c>
    </row>
    <row r="12" ht="15" customHeight="1">
      <c r="A12" s="1"/>
      <c r="B12" s="43" t="s">
        <v>69</v>
      </c>
      <c r="C12" s="35">
        <f t="shared" si="0" ref="C12:G77">_xlfn.IFERROR(C11/J11-1,"n/a")</f>
        <v>0.07416267942583743</v>
      </c>
      <c r="D12" s="35">
        <f t="shared" si="0"/>
        <v>0.039374776279680335</v>
      </c>
      <c r="E12" s="35">
        <f t="shared" si="0"/>
        <v>0.0739678183859298</v>
      </c>
      <c r="F12" s="35">
        <f t="shared" si="0"/>
        <v>0.1092855364700025</v>
      </c>
      <c r="G12" s="35">
        <f t="shared" si="0"/>
        <v>0.08582385612271892</v>
      </c>
      <c r="H12" s="44">
        <f t="shared" si="4" ref="H12:H77">_xlfn.IFERROR(H11/C11-1,"n/a")</f>
        <v>0.13079606533036392</v>
      </c>
      <c r="I12" s="35"/>
      <c r="J12" s="35"/>
      <c r="K12" s="35"/>
      <c r="L12" s="35"/>
      <c r="M12" s="35"/>
      <c r="N12" s="35"/>
      <c r="O12" s="1"/>
      <c r="P12" s="36"/>
    </row>
    <row r="13" ht="15" customHeight="1">
      <c r="A13" s="1"/>
      <c r="B13" s="43" t="s">
        <v>70</v>
      </c>
      <c r="C13" s="45">
        <f t="shared" si="5" ref="C13:C78">C11-M11</f>
        <v>48</v>
      </c>
      <c r="D13" s="45">
        <f t="shared" si="1" ref="D13:F78">D11-C11</f>
        <v>629</v>
      </c>
      <c r="E13" s="45">
        <f t="shared" si="1"/>
        <v>-101</v>
      </c>
      <c r="F13" s="45">
        <f t="shared" si="1"/>
        <v>302</v>
      </c>
      <c r="G13" s="45"/>
      <c r="H13" s="46">
        <f t="shared" si="6" ref="H13:H78">H11-F11</f>
        <v>227.09380000000056</v>
      </c>
      <c r="I13" s="45"/>
      <c r="J13" s="45"/>
      <c r="K13" s="45"/>
      <c r="L13" s="45"/>
      <c r="M13" s="45"/>
      <c r="N13" s="45"/>
      <c r="O13" s="1"/>
      <c r="P13" s="36"/>
    </row>
    <row r="14" ht="15" customHeight="1">
      <c r="A14" s="1"/>
      <c r="B14" s="43" t="s">
        <v>71</v>
      </c>
      <c r="C14" s="35">
        <f t="shared" si="7" ref="C14:C79">_xlfn.IFERROR(C11/M11-1,"n/a")</f>
        <v>0.005974607916355401</v>
      </c>
      <c r="D14" s="35">
        <f t="shared" si="2" ref="D14:F79">_xlfn.IFERROR(D11/C11-1,"n/a")</f>
        <v>0.07782727047760463</v>
      </c>
      <c r="E14" s="35">
        <f t="shared" si="2"/>
        <v>-0.011594535644587345</v>
      </c>
      <c r="F14" s="35">
        <f t="shared" si="2"/>
        <v>0.035075493612078956</v>
      </c>
      <c r="G14" s="35"/>
      <c r="H14" s="44">
        <f t="shared" si="8" ref="H14:H79">_xlfn.IFERROR(H11/F11-1,"n/a")</f>
        <v>0.025481799820466833</v>
      </c>
      <c r="I14" s="35"/>
      <c r="J14" s="35"/>
      <c r="K14" s="35"/>
      <c r="L14" s="35"/>
      <c r="M14" s="35"/>
      <c r="N14" s="35"/>
      <c r="O14" s="1"/>
      <c r="P14" s="36"/>
    </row>
    <row r="15" ht="15" customHeight="1">
      <c r="A15" s="1"/>
      <c r="B15" s="43" t="s">
        <v>72</v>
      </c>
      <c r="C15" s="35">
        <f t="shared" si="3" ref="C15:H15">_xlfn.IFERROR(C11/C32,"n/a")</f>
        <v>0.8904803878360511</v>
      </c>
      <c r="D15" s="35">
        <f t="shared" si="3"/>
        <v>0.8995249896736885</v>
      </c>
      <c r="E15" s="35">
        <f t="shared" si="3"/>
        <v>0.9010989010989011</v>
      </c>
      <c r="F15" s="35">
        <f t="shared" si="3"/>
        <v>0.9022069244786394</v>
      </c>
      <c r="G15" s="35">
        <f t="shared" si="3"/>
        <v>0.8925</v>
      </c>
      <c r="H15" s="44">
        <f t="shared" si="3"/>
        <v>0.9045742148090107</v>
      </c>
      <c r="I15" s="35"/>
      <c r="J15" s="35"/>
      <c r="K15" s="35"/>
      <c r="L15" s="35"/>
      <c r="M15" s="35"/>
      <c r="N15" s="35"/>
      <c r="O15" s="1"/>
      <c r="P15" s="36"/>
    </row>
    <row r="16" ht="15" customHeight="1">
      <c r="A16" s="1"/>
      <c r="B16" s="43" t="s">
        <v>73</v>
      </c>
      <c r="C16" s="47">
        <f>'Segment - ATS'!C138</f>
        <v>298</v>
      </c>
      <c r="D16" s="47">
        <f>'Segment - ATS'!D138</f>
        <v>449</v>
      </c>
      <c r="E16" s="47">
        <f>'Segment - ATS'!E138</f>
        <v>489</v>
      </c>
      <c r="F16" s="47">
        <f>'Segment - ATS'!F138</f>
        <v>129</v>
      </c>
      <c r="G16" s="47">
        <f>'Segment - ATS'!G138</f>
        <v>904</v>
      </c>
      <c r="H16" s="48">
        <f>'Segment - ATS'!H138</f>
        <v>-85.47802442244242</v>
      </c>
      <c r="I16" s="45"/>
      <c r="J16" s="45"/>
      <c r="K16" s="45"/>
      <c r="L16" s="45"/>
      <c r="M16" s="45"/>
      <c r="N16" s="45"/>
      <c r="O16" s="1"/>
      <c r="P16" s="36" t="s">
        <v>74</v>
      </c>
    </row>
    <row r="17" ht="15" customHeight="1">
      <c r="A17" s="1"/>
      <c r="B17" s="43" t="s">
        <v>75</v>
      </c>
      <c r="C17" s="34">
        <f>'Segment - ATS'!C139</f>
        <v>0.11376927166400841</v>
      </c>
      <c r="D17" s="34">
        <f>'Segment - ATS'!D139</f>
        <v>0.09294833552082093</v>
      </c>
      <c r="E17" s="34">
        <f>'Segment - ATS'!E139</f>
        <v>0.13496320319321442</v>
      </c>
      <c r="F17" s="34">
        <f>'Segment - ATS'!F139</f>
        <v>0.1253422952452079</v>
      </c>
      <c r="G17" s="34">
        <f>'Segment - ATS'!G139</f>
        <v>0.1157101295953451</v>
      </c>
      <c r="H17" s="49">
        <f>'Segment - ATS'!H139</f>
        <v>0.12021971981904955</v>
      </c>
      <c r="I17" s="35"/>
      <c r="J17" s="35"/>
      <c r="K17" s="35"/>
      <c r="L17" s="35"/>
      <c r="M17" s="35"/>
      <c r="N17" s="35"/>
      <c r="O17" s="1"/>
      <c r="P17" s="36"/>
    </row>
    <row r="18" ht="15" customHeight="1">
      <c r="A18" s="1"/>
      <c r="B18" s="43" t="s">
        <v>76</v>
      </c>
      <c r="C18" s="34">
        <f>'Segment - ATS'!C140</f>
        <v>-0.035560859188544014</v>
      </c>
      <c r="D18" s="34">
        <f>'Segment - ATS'!D140</f>
        <v>-0.04901746724890821</v>
      </c>
      <c r="E18" s="34">
        <f>'Segment - ATS'!E140</f>
        <v>-0.05374216946917254</v>
      </c>
      <c r="F18" s="34">
        <f>'Segment - ATS'!F140</f>
        <v>-0.01426833314898801</v>
      </c>
      <c r="G18" s="34">
        <f>'Segment - ATS'!G140</f>
        <v>-0.02678677254948436</v>
      </c>
      <c r="H18" s="49">
        <f>'Segment - ATS'!H140</f>
        <v>0.00944131345324184</v>
      </c>
      <c r="I18" s="35"/>
      <c r="J18" s="35"/>
      <c r="K18" s="35"/>
      <c r="L18" s="35"/>
      <c r="M18" s="35"/>
      <c r="N18" s="35"/>
      <c r="O18" s="1"/>
      <c r="P18" s="36"/>
    </row>
    <row r="19" ht="15" customHeight="1">
      <c r="A19" s="1"/>
      <c r="B19" s="43" t="s">
        <v>77</v>
      </c>
      <c r="C19" s="34" t="str">
        <f>'Segment - ATS'!C141</f>
        <v>n/a</v>
      </c>
      <c r="D19" s="34">
        <f>'Segment - ATS'!D141</f>
        <v>0.0023863500775563773</v>
      </c>
      <c r="E19" s="34" t="str">
        <f>'Segment - ATS'!E141</f>
        <v>n/a</v>
      </c>
      <c r="F19" s="34" t="str">
        <f>'Segment - ATS'!F141</f>
        <v>n/a</v>
      </c>
      <c r="G19" s="34" t="str">
        <f>'Segment - ATS'!G141</f>
        <v>n/a</v>
      </c>
      <c r="H19" s="49">
        <f>'Segment - ATS'!H141</f>
        <v>0.007423904974016332</v>
      </c>
      <c r="I19" s="35"/>
      <c r="J19" s="35"/>
      <c r="K19" s="35"/>
      <c r="L19" s="35"/>
      <c r="M19" s="35"/>
      <c r="N19" s="35"/>
      <c r="O19" s="1"/>
      <c r="P19" s="36"/>
    </row>
    <row r="20" ht="15" customHeight="1">
      <c r="A20" s="1"/>
      <c r="B20" s="43" t="s">
        <v>78</v>
      </c>
      <c r="C20" s="34" t="str">
        <f>'Segment - ATS'!C142</f>
        <v>n/a</v>
      </c>
      <c r="D20" s="34">
        <f>'Segment - ATS'!D142</f>
        <v>0.09034638733484113</v>
      </c>
      <c r="E20" s="34" t="str">
        <f>'Segment - ATS'!E142</f>
        <v>n/a</v>
      </c>
      <c r="F20" s="34" t="str">
        <f>'Segment - ATS'!F142</f>
        <v>n/a</v>
      </c>
      <c r="G20" s="34" t="str">
        <f>'Segment - ATS'!G142</f>
        <v>n/a</v>
      </c>
      <c r="H20" s="49">
        <f>'Segment - ATS'!H142</f>
        <v>0.1119646002920116</v>
      </c>
      <c r="I20" s="35"/>
      <c r="J20" s="35"/>
      <c r="K20" s="35"/>
      <c r="L20" s="35"/>
      <c r="M20" s="35"/>
      <c r="N20" s="35"/>
      <c r="O20" s="1"/>
      <c r="P20" s="36"/>
    </row>
    <row r="21" ht="15" customHeight="1">
      <c r="A21" s="1"/>
      <c r="B21" s="41" t="s">
        <v>79</v>
      </c>
      <c r="C21" s="20">
        <f>'Segment - Core Services'!C11</f>
        <v>994</v>
      </c>
      <c r="D21" s="20">
        <f>'Segment - Core Services'!D11</f>
        <v>973</v>
      </c>
      <c r="E21" s="20">
        <f>'Segment - Core Services'!E11</f>
        <v>945</v>
      </c>
      <c r="F21" s="20">
        <f>'Segment - Core Services'!F11</f>
        <v>966</v>
      </c>
      <c r="G21" s="20">
        <f>'Segment - Core Services'!G11</f>
        <v>3955</v>
      </c>
      <c r="H21" s="42">
        <f>'Segment - Core Services'!H11</f>
        <v>964.10575</v>
      </c>
      <c r="I21" s="21"/>
      <c r="J21" s="20">
        <f>'Segment - Core Services'!J11</f>
        <v>945</v>
      </c>
      <c r="K21" s="20">
        <f>'Segment - Core Services'!K11</f>
        <v>996</v>
      </c>
      <c r="L21" s="20">
        <f>'Segment - Core Services'!L11</f>
        <v>996</v>
      </c>
      <c r="M21" s="20">
        <f>'Segment - Core Services'!M11</f>
        <v>992</v>
      </c>
      <c r="N21" s="20">
        <f>'Segment - Core Services'!N11</f>
        <v>3927</v>
      </c>
      <c r="O21" s="1"/>
      <c r="P21" s="36"/>
    </row>
    <row r="22" ht="15" customHeight="1">
      <c r="A22" s="1"/>
      <c r="B22" s="43" t="s">
        <v>69</v>
      </c>
      <c r="C22" s="35">
        <f t="shared" si="0"/>
        <v>0.051851851851851816</v>
      </c>
      <c r="D22" s="35">
        <f t="shared" si="0"/>
        <v>-0.0230923694779116</v>
      </c>
      <c r="E22" s="35">
        <f t="shared" si="0"/>
        <v>-0.051204819277108404</v>
      </c>
      <c r="F22" s="35">
        <f t="shared" si="0"/>
        <v>-0.02620967741935487</v>
      </c>
      <c r="G22" s="35">
        <f t="shared" si="0"/>
        <v>0.007130124777183555</v>
      </c>
      <c r="H22" s="44">
        <f t="shared" si="4"/>
        <v>-0.030074698189134885</v>
      </c>
      <c r="I22" s="35"/>
      <c r="J22" s="35"/>
      <c r="K22" s="35"/>
      <c r="L22" s="35"/>
      <c r="M22" s="35"/>
      <c r="N22" s="35"/>
      <c r="O22" s="1"/>
      <c r="P22" s="36"/>
    </row>
    <row r="23" ht="15" customHeight="1">
      <c r="A23" s="1"/>
      <c r="B23" s="43" t="s">
        <v>70</v>
      </c>
      <c r="C23" s="45">
        <f t="shared" si="5"/>
        <v>2</v>
      </c>
      <c r="D23" s="45">
        <f t="shared" si="1"/>
        <v>-21</v>
      </c>
      <c r="E23" s="45">
        <f t="shared" si="1"/>
        <v>-28</v>
      </c>
      <c r="F23" s="45">
        <f t="shared" si="1"/>
        <v>21</v>
      </c>
      <c r="G23" s="45"/>
      <c r="H23" s="46">
        <f t="shared" si="6"/>
        <v>-1.8942500000000564</v>
      </c>
      <c r="I23" s="45"/>
      <c r="J23" s="45"/>
      <c r="K23" s="45"/>
      <c r="L23" s="45"/>
      <c r="M23" s="45"/>
      <c r="N23" s="45"/>
      <c r="O23" s="1"/>
      <c r="P23" s="36"/>
    </row>
    <row r="24" ht="15" customHeight="1">
      <c r="A24" s="1"/>
      <c r="B24" s="43" t="s">
        <v>71</v>
      </c>
      <c r="C24" s="35">
        <f t="shared" si="7"/>
        <v>0.002016129032258007</v>
      </c>
      <c r="D24" s="35">
        <f t="shared" si="2"/>
        <v>-0.021126760563380254</v>
      </c>
      <c r="E24" s="35">
        <f t="shared" si="2"/>
        <v>-0.02877697841726623</v>
      </c>
      <c r="F24" s="35">
        <f t="shared" si="2"/>
        <v>0.022222222222222143</v>
      </c>
      <c r="G24" s="35"/>
      <c r="H24" s="44">
        <f t="shared" si="8"/>
        <v>-0.0019609213250517676</v>
      </c>
      <c r="I24" s="35"/>
      <c r="J24" s="35"/>
      <c r="K24" s="35"/>
      <c r="L24" s="35"/>
      <c r="M24" s="35"/>
      <c r="N24" s="35"/>
      <c r="O24" s="1"/>
      <c r="P24" s="36"/>
    </row>
    <row r="25" ht="15" customHeight="1">
      <c r="A25" s="1"/>
      <c r="B25" s="43" t="s">
        <v>72</v>
      </c>
      <c r="C25" s="35">
        <f t="shared" si="9" ref="C25:H25">_xlfn.IFERROR(C21/C32,"n/a")</f>
        <v>0.10951961216394887</v>
      </c>
      <c r="D25" s="35">
        <f t="shared" si="9"/>
        <v>0.10047501032631144</v>
      </c>
      <c r="E25" s="35">
        <f t="shared" si="9"/>
        <v>0.0989010989010989</v>
      </c>
      <c r="F25" s="35">
        <f t="shared" si="9"/>
        <v>0.0977930755213606</v>
      </c>
      <c r="G25" s="35">
        <f t="shared" si="9"/>
        <v>0.10747282608695652</v>
      </c>
      <c r="H25" s="44">
        <f t="shared" si="9"/>
        <v>0.0954257851909893</v>
      </c>
      <c r="I25" s="35"/>
      <c r="J25" s="35"/>
      <c r="K25" s="35"/>
      <c r="L25" s="35"/>
      <c r="M25" s="35"/>
      <c r="N25" s="35"/>
      <c r="O25" s="1"/>
      <c r="P25" s="36"/>
    </row>
    <row r="26" ht="15" customHeight="1">
      <c r="A26" s="1"/>
      <c r="B26" s="43" t="s">
        <v>73</v>
      </c>
      <c r="C26" s="47">
        <f>'Segment - Core Services'!C16</f>
        <v>38</v>
      </c>
      <c r="D26" s="47">
        <f>'Segment - Core Services'!D16</f>
        <v>46</v>
      </c>
      <c r="E26" s="47">
        <f>'Segment - Core Services'!E16</f>
        <v>52</v>
      </c>
      <c r="F26" s="47">
        <f>'Segment - Core Services'!F16</f>
        <v>11</v>
      </c>
      <c r="G26" s="47">
        <f>'Segment - Core Services'!G16</f>
        <v>100</v>
      </c>
      <c r="H26" s="48">
        <f>'Segment - Core Services'!H16</f>
        <v>-7.6516329365078946</v>
      </c>
      <c r="I26" s="45"/>
      <c r="J26" s="45"/>
      <c r="K26" s="45"/>
      <c r="L26" s="45"/>
      <c r="M26" s="45"/>
      <c r="N26" s="45"/>
      <c r="O26" s="1"/>
      <c r="P26" s="36" t="s">
        <v>74</v>
      </c>
    </row>
    <row r="27" ht="15" customHeight="1">
      <c r="A27" s="1"/>
      <c r="B27" s="43" t="s">
        <v>75</v>
      </c>
      <c r="C27" s="34">
        <f>'Segment - Core Services'!C17</f>
        <v>0.09206349206349196</v>
      </c>
      <c r="D27" s="34">
        <f>'Segment - Core Services'!D17</f>
        <v>0.02309236947791171</v>
      </c>
      <c r="E27" s="34">
        <f>'Segment - Core Services'!E17</f>
        <v>0.0010040160642570406</v>
      </c>
      <c r="F27" s="34">
        <f>'Segment - Core Services'!F17</f>
        <v>-0.015120967741935498</v>
      </c>
      <c r="G27" s="34">
        <f>'Segment - Core Services'!G17</f>
        <v>0.032594856124267935</v>
      </c>
      <c r="H27" s="49">
        <f>'Segment - Core Services'!H17</f>
        <v>-0.03777251804477666</v>
      </c>
      <c r="I27" s="35"/>
      <c r="J27" s="35"/>
      <c r="K27" s="35"/>
      <c r="L27" s="35"/>
      <c r="M27" s="35"/>
      <c r="N27" s="35"/>
      <c r="O27" s="1"/>
      <c r="P27" s="36"/>
    </row>
    <row r="28" ht="15" customHeight="1">
      <c r="A28" s="1"/>
      <c r="B28" s="43" t="s">
        <v>76</v>
      </c>
      <c r="C28" s="34">
        <f>'Segment - Core Services'!C18</f>
        <v>-0.036821705426356544</v>
      </c>
      <c r="D28" s="34">
        <f>'Segment - Core Services'!D18</f>
        <v>-0.045142296368989254</v>
      </c>
      <c r="E28" s="34">
        <f>'Segment - Core Services'!E18</f>
        <v>-0.052156469408224604</v>
      </c>
      <c r="F28" s="34">
        <f>'Segment - Core Services'!F18</f>
        <v>-0.011258955987717534</v>
      </c>
      <c r="G28" s="34">
        <f>'Segment - Core Services'!G18</f>
        <v>-0.024660912453760897</v>
      </c>
      <c r="H28" s="49">
        <f>'Segment - Core Services'!H18</f>
        <v>0.008</v>
      </c>
      <c r="I28" s="35"/>
      <c r="J28" s="35"/>
      <c r="K28" s="35"/>
      <c r="L28" s="35"/>
      <c r="M28" s="35"/>
      <c r="N28" s="35"/>
      <c r="O28" s="1"/>
      <c r="P28" s="36"/>
    </row>
    <row r="29" ht="15" customHeight="1">
      <c r="A29" s="1"/>
      <c r="B29" s="43" t="s">
        <v>77</v>
      </c>
      <c r="C29" s="34" t="str">
        <f>'Segment - Core Services'!C19</f>
        <v>n/a</v>
      </c>
      <c r="D29" s="34">
        <f>'Segment - Core Services'!D19</f>
        <v>0</v>
      </c>
      <c r="E29" s="34" t="str">
        <f>'Segment - Core Services'!E19</f>
        <v>n/a</v>
      </c>
      <c r="F29" s="34" t="str">
        <f>'Segment - Core Services'!F19</f>
        <v>n/a</v>
      </c>
      <c r="G29" s="34" t="str">
        <f>'Segment - Core Services'!G19</f>
        <v>n/a</v>
      </c>
      <c r="H29" s="49">
        <f>'Segment - Core Services'!H19</f>
        <v>0</v>
      </c>
      <c r="I29" s="35"/>
      <c r="J29" s="35"/>
      <c r="K29" s="35"/>
      <c r="L29" s="35"/>
      <c r="M29" s="35"/>
      <c r="N29" s="35"/>
      <c r="O29" s="1"/>
      <c r="P29" s="36"/>
    </row>
    <row r="30" ht="15" customHeight="1">
      <c r="A30" s="1"/>
      <c r="B30" s="43" t="s">
        <v>78</v>
      </c>
      <c r="C30" s="34" t="str">
        <f>'Segment - Core Services'!C20</f>
        <v>n/a</v>
      </c>
      <c r="D30" s="34">
        <f>'Segment - Core Services'!D20</f>
        <v>0.02309236947791171</v>
      </c>
      <c r="E30" s="34" t="str">
        <f>'Segment - Core Services'!E20</f>
        <v>n/a</v>
      </c>
      <c r="F30" s="34" t="str">
        <f>'Segment - Core Services'!F20</f>
        <v>n/a</v>
      </c>
      <c r="G30" s="34" t="str">
        <f>'Segment - Core Services'!G20</f>
        <v>n/a</v>
      </c>
      <c r="H30" s="49">
        <f>'Segment - Core Services'!H20</f>
        <v>-0.03777251804477666</v>
      </c>
      <c r="I30" s="35"/>
      <c r="J30" s="35"/>
      <c r="K30" s="35"/>
      <c r="L30" s="35"/>
      <c r="M30" s="35"/>
      <c r="N30" s="35"/>
      <c r="O30" s="1"/>
      <c r="P30" s="36"/>
    </row>
    <row r="31" ht="15" customHeight="1">
      <c r="A31" s="1"/>
      <c r="B31" s="43" t="s">
        <v>80</v>
      </c>
      <c r="C31" s="45"/>
      <c r="D31" s="45"/>
      <c r="E31" s="45"/>
      <c r="F31" s="45"/>
      <c r="G31" s="45">
        <f t="shared" si="17" ref="G31:G86">L31+M31+C31+D31</f>
        <v>1</v>
      </c>
      <c r="H31" s="46"/>
      <c r="I31" s="45"/>
      <c r="J31" s="50">
        <v>1</v>
      </c>
      <c r="K31" s="45"/>
      <c r="L31" s="45"/>
      <c r="M31" s="50">
        <v>1</v>
      </c>
      <c r="N31" s="50">
        <v>1</v>
      </c>
      <c r="O31" s="1"/>
      <c r="P31" s="36" t="s">
        <v>81</v>
      </c>
    </row>
    <row r="32" ht="15" customHeight="1">
      <c r="A32" s="1"/>
      <c r="B32" s="25" t="s">
        <v>37</v>
      </c>
      <c r="C32" s="51">
        <f t="shared" si="10" ref="C32:N32">C11+C21+C31</f>
        <v>9076</v>
      </c>
      <c r="D32" s="51">
        <f t="shared" si="10"/>
        <v>9684</v>
      </c>
      <c r="E32" s="51">
        <f t="shared" si="10"/>
        <v>9555</v>
      </c>
      <c r="F32" s="51">
        <f t="shared" si="10"/>
        <v>9878</v>
      </c>
      <c r="G32" s="51">
        <f t="shared" si="10"/>
        <v>36800</v>
      </c>
      <c r="H32" s="52">
        <f t="shared" si="10"/>
        <v>10103.199550000001</v>
      </c>
      <c r="I32" s="51"/>
      <c r="J32" s="51">
        <f t="shared" si="10"/>
        <v>8470</v>
      </c>
      <c r="K32" s="51">
        <f t="shared" si="10"/>
        <v>9377</v>
      </c>
      <c r="L32" s="51">
        <f t="shared" si="10"/>
        <v>9013</v>
      </c>
      <c r="M32" s="51">
        <f t="shared" si="10"/>
        <v>9027</v>
      </c>
      <c r="N32" s="51">
        <f t="shared" si="10"/>
        <v>34176</v>
      </c>
      <c r="O32" s="1"/>
      <c r="P32" s="36"/>
    </row>
    <row r="33" ht="15" customHeight="1">
      <c r="A33" s="1"/>
      <c r="B33" s="43" t="s">
        <v>69</v>
      </c>
      <c r="C33" s="35">
        <f t="shared" si="0"/>
        <v>0.07154663518299875</v>
      </c>
      <c r="D33" s="35">
        <f t="shared" si="0"/>
        <v>0.03273968220113033</v>
      </c>
      <c r="E33" s="35">
        <f t="shared" si="0"/>
        <v>0.06013536003550435</v>
      </c>
      <c r="F33" s="35">
        <f t="shared" si="0"/>
        <v>0.09427273734352504</v>
      </c>
      <c r="G33" s="35">
        <f t="shared" si="0"/>
        <v>0.07677902621722854</v>
      </c>
      <c r="H33" s="44">
        <f t="shared" si="4"/>
        <v>0.11317756170119009</v>
      </c>
      <c r="I33" s="35"/>
      <c r="J33" s="35"/>
      <c r="K33" s="35"/>
      <c r="L33" s="35"/>
      <c r="M33" s="35"/>
      <c r="N33" s="35"/>
      <c r="O33" s="1"/>
      <c r="P33" s="36"/>
    </row>
    <row r="34" ht="15" customHeight="1">
      <c r="A34" s="1"/>
      <c r="B34" s="43" t="s">
        <v>70</v>
      </c>
      <c r="C34" s="45">
        <f t="shared" si="5"/>
        <v>49</v>
      </c>
      <c r="D34" s="45">
        <f t="shared" si="1"/>
        <v>608</v>
      </c>
      <c r="E34" s="45">
        <f t="shared" si="1"/>
        <v>-129</v>
      </c>
      <c r="F34" s="45">
        <f t="shared" si="1"/>
        <v>323</v>
      </c>
      <c r="G34" s="45"/>
      <c r="H34" s="46">
        <f t="shared" si="6"/>
        <v>225.19955000000118</v>
      </c>
      <c r="I34" s="45"/>
      <c r="J34" s="45"/>
      <c r="K34" s="45"/>
      <c r="L34" s="45"/>
      <c r="M34" s="45"/>
      <c r="N34" s="45"/>
      <c r="O34" s="1"/>
      <c r="P34" s="36"/>
    </row>
    <row r="35" ht="15" customHeight="1">
      <c r="A35" s="1"/>
      <c r="B35" s="43" t="s">
        <v>71</v>
      </c>
      <c r="C35" s="35">
        <f t="shared" si="7"/>
        <v>0.005428159964550705</v>
      </c>
      <c r="D35" s="35">
        <f t="shared" si="2"/>
        <v>0.06698986337593649</v>
      </c>
      <c r="E35" s="35">
        <f t="shared" si="2"/>
        <v>-0.013320941759603522</v>
      </c>
      <c r="F35" s="35">
        <f t="shared" si="2"/>
        <v>0.0338042909471481</v>
      </c>
      <c r="G35" s="35"/>
      <c r="H35" s="44">
        <f t="shared" si="8"/>
        <v>0.022798091718971625</v>
      </c>
      <c r="I35" s="35"/>
      <c r="J35" s="35"/>
      <c r="K35" s="35"/>
      <c r="L35" s="35"/>
      <c r="M35" s="35"/>
      <c r="N35" s="35"/>
      <c r="O35" s="1"/>
      <c r="P35" s="36"/>
    </row>
    <row r="36" ht="15" customHeight="1">
      <c r="A36" s="1"/>
      <c r="B36" s="43" t="s">
        <v>73</v>
      </c>
      <c r="C36" s="50">
        <v>336</v>
      </c>
      <c r="D36" s="50">
        <v>495</v>
      </c>
      <c r="E36" s="50">
        <v>541</v>
      </c>
      <c r="F36" s="50">
        <v>140</v>
      </c>
      <c r="G36" s="50">
        <v>1004</v>
      </c>
      <c r="H36" s="48">
        <f>'Segment - ATS'!H138+'Segment - Core Services'!H16</f>
        <v>-93.12965735895031</v>
      </c>
      <c r="I36" s="45"/>
      <c r="J36" s="45"/>
      <c r="K36" s="45"/>
      <c r="L36" s="45"/>
      <c r="M36" s="45"/>
      <c r="N36" s="45"/>
      <c r="O36" s="1"/>
      <c r="P36" s="36" t="s">
        <v>82</v>
      </c>
    </row>
    <row r="37" ht="15" customHeight="1">
      <c r="A37" s="1"/>
      <c r="B37" s="43" t="s">
        <v>75</v>
      </c>
      <c r="C37" s="35">
        <f t="shared" si="11" ref="C37:G37">_xlfn.IFERROR((C32+C36)/J32-1,"n/a")</f>
        <v>0.11121605667060219</v>
      </c>
      <c r="D37" s="35">
        <f t="shared" si="11"/>
        <v>0.08552842060360466</v>
      </c>
      <c r="E37" s="35">
        <f t="shared" si="11"/>
        <v>0.12015976922223448</v>
      </c>
      <c r="F37" s="35">
        <f t="shared" si="11"/>
        <v>0.10978176581367016</v>
      </c>
      <c r="G37" s="35">
        <f t="shared" si="11"/>
        <v>0.10615636704119846</v>
      </c>
      <c r="H37" s="44">
        <f>_xlfn.IFERROR((H32+H36)/C32-1,"n/a")</f>
        <v>0.10291647120328906</v>
      </c>
      <c r="I37" s="35"/>
      <c r="J37" s="35"/>
      <c r="K37" s="35"/>
      <c r="L37" s="35"/>
      <c r="M37" s="35"/>
      <c r="N37" s="35"/>
      <c r="O37" s="1"/>
      <c r="P37" s="36"/>
    </row>
    <row r="38" ht="15" customHeight="1">
      <c r="A38" s="1"/>
      <c r="B38" s="43" t="s">
        <v>76</v>
      </c>
      <c r="C38" s="35">
        <f t="shared" si="12" ref="C38:H38">_xlfn.IFERROR((1+C33)/(1+C37)-1,"n/a")</f>
        <v>-0.03569910752231209</v>
      </c>
      <c r="D38" s="35">
        <f t="shared" si="12"/>
        <v>-0.04862953138815229</v>
      </c>
      <c r="E38" s="35">
        <f t="shared" si="12"/>
        <v>-0.05358557844690959</v>
      </c>
      <c r="F38" s="35">
        <f t="shared" si="12"/>
        <v>-0.013974845278498682</v>
      </c>
      <c r="G38" s="35">
        <f t="shared" si="12"/>
        <v>-0.02655803618664676</v>
      </c>
      <c r="H38" s="44">
        <f t="shared" si="12"/>
        <v>0.009303597113484052</v>
      </c>
      <c r="I38" s="35"/>
      <c r="J38" s="35"/>
      <c r="K38" s="35"/>
      <c r="L38" s="35"/>
      <c r="M38" s="35"/>
      <c r="N38" s="35"/>
      <c r="O38" s="1"/>
      <c r="P38" s="36"/>
    </row>
    <row r="39" ht="15" customHeight="1">
      <c r="A39" s="1"/>
      <c r="B39" s="43" t="s">
        <v>77</v>
      </c>
      <c r="C39" s="35" t="s">
        <v>41</v>
      </c>
      <c r="D39" s="34">
        <f>'Segment - ATS'!D73/K32</f>
        <v>0.0021328783192918845</v>
      </c>
      <c r="E39" s="35" t="s">
        <v>41</v>
      </c>
      <c r="F39" s="35" t="s">
        <v>41</v>
      </c>
      <c r="G39" s="35" t="s">
        <v>41</v>
      </c>
      <c r="H39" s="49">
        <f>'Segment - ATS'!H73/C32</f>
        <v>0.006610841780520053</v>
      </c>
      <c r="I39" s="35"/>
      <c r="J39" s="35"/>
      <c r="K39" s="35"/>
      <c r="L39" s="35"/>
      <c r="M39" s="35"/>
      <c r="N39" s="35"/>
      <c r="O39" s="1"/>
      <c r="P39" s="36" t="s">
        <v>83</v>
      </c>
    </row>
    <row r="40" ht="15" customHeight="1">
      <c r="A40" s="1"/>
      <c r="B40" s="43" t="s">
        <v>78</v>
      </c>
      <c r="C40" s="35" t="str">
        <f t="shared" si="13" ref="C40:H40">IF(AND(ISNUMBER(C39),ISNUMBER(C38),ISNUMBER(C33)),(1+C33)/((1+C39)*(1+C38))-1,"n/a")</f>
        <v>n/a</v>
      </c>
      <c r="D40" s="35">
        <f t="shared" si="13"/>
        <v>0.0832180483132916</v>
      </c>
      <c r="E40" s="35" t="str">
        <f t="shared" si="13"/>
        <v>n/a</v>
      </c>
      <c r="F40" s="35" t="str">
        <f t="shared" si="13"/>
        <v>n/a</v>
      </c>
      <c r="G40" s="35" t="str">
        <f t="shared" si="13"/>
        <v>n/a</v>
      </c>
      <c r="H40" s="44">
        <f t="shared" si="13"/>
        <v>0.09567314936964255</v>
      </c>
      <c r="I40" s="35"/>
      <c r="J40" s="35"/>
      <c r="K40" s="35"/>
      <c r="L40" s="35"/>
      <c r="M40" s="35"/>
      <c r="N40" s="35"/>
      <c r="O40" s="1"/>
      <c r="P40" s="36"/>
    </row>
    <row r="41" ht="15" customHeight="1">
      <c r="A41" s="1"/>
      <c r="B41" s="1"/>
      <c r="C41" s="1"/>
      <c r="D41" s="1"/>
      <c r="E41" s="1"/>
      <c r="F41" s="1"/>
      <c r="G41" s="1"/>
      <c r="H41" s="40"/>
      <c r="I41" s="1"/>
      <c r="J41" s="1"/>
      <c r="K41" s="1"/>
      <c r="L41" s="1"/>
      <c r="M41" s="1"/>
      <c r="N41" s="1"/>
      <c r="O41" s="1"/>
      <c r="P41" s="36"/>
    </row>
    <row r="42" ht="15" customHeight="1">
      <c r="A42" s="1"/>
      <c r="B42" s="25" t="s">
        <v>84</v>
      </c>
      <c r="C42" s="1"/>
      <c r="D42" s="1"/>
      <c r="E42" s="1"/>
      <c r="F42" s="1"/>
      <c r="G42" s="1"/>
      <c r="H42" s="40"/>
      <c r="I42" s="1"/>
      <c r="J42" s="1"/>
      <c r="K42" s="1"/>
      <c r="L42" s="1"/>
      <c r="M42" s="1"/>
      <c r="N42" s="1"/>
      <c r="O42" s="1"/>
      <c r="P42" s="36"/>
    </row>
    <row r="43" ht="15" customHeight="1">
      <c r="A43" s="1"/>
      <c r="B43" s="41" t="s">
        <v>85</v>
      </c>
      <c r="C43" s="20">
        <f>'Segment - ATS'!C68</f>
        <v>5290</v>
      </c>
      <c r="D43" s="20">
        <f>'Segment - ATS'!D68</f>
        <v>5610</v>
      </c>
      <c r="E43" s="20">
        <f>'Segment - ATS'!E68</f>
        <v>5962</v>
      </c>
      <c r="F43" s="20">
        <f>'Segment - ATS'!F68</f>
        <v>6281</v>
      </c>
      <c r="G43" s="20">
        <f>'Segment - ATS'!G68</f>
        <v>21023</v>
      </c>
      <c r="H43" s="42">
        <f>'Segment - ATS'!H68</f>
        <v>6589.7946</v>
      </c>
      <c r="I43" s="21"/>
      <c r="J43" s="20">
        <f>'Segment - ATS'!J68</f>
        <v>4351</v>
      </c>
      <c r="K43" s="20">
        <f>'Segment - ATS'!K68</f>
        <v>4708</v>
      </c>
      <c r="L43" s="20">
        <f>'Segment - ATS'!L68</f>
        <v>4993</v>
      </c>
      <c r="M43" s="20">
        <f>'Segment - ATS'!M68</f>
        <v>5130</v>
      </c>
      <c r="N43" s="20">
        <f>'Segment - ATS'!N68</f>
        <v>17141</v>
      </c>
      <c r="O43" s="1"/>
      <c r="P43" s="36"/>
    </row>
    <row r="44" ht="15" customHeight="1">
      <c r="A44" s="1"/>
      <c r="B44" s="43" t="s">
        <v>69</v>
      </c>
      <c r="C44" s="35">
        <f t="shared" si="0"/>
        <v>0.21581245690645834</v>
      </c>
      <c r="D44" s="35">
        <f t="shared" si="0"/>
        <v>0.19158878504672905</v>
      </c>
      <c r="E44" s="35">
        <f t="shared" si="0"/>
        <v>0.19407170038053279</v>
      </c>
      <c r="F44" s="35">
        <f t="shared" si="0"/>
        <v>0.22436647173489277</v>
      </c>
      <c r="G44" s="35">
        <f t="shared" si="0"/>
        <v>0.22647453474126356</v>
      </c>
      <c r="H44" s="44">
        <f t="shared" si="4"/>
        <v>0.2457078638941399</v>
      </c>
      <c r="I44" s="35"/>
      <c r="J44" s="35"/>
      <c r="K44" s="35"/>
      <c r="L44" s="35"/>
      <c r="M44" s="35"/>
      <c r="N44" s="35"/>
      <c r="O44" s="1"/>
      <c r="P44" s="36"/>
    </row>
    <row r="45" ht="15" customHeight="1">
      <c r="A45" s="1"/>
      <c r="B45" s="43" t="s">
        <v>70</v>
      </c>
      <c r="C45" s="45">
        <f t="shared" si="5"/>
        <v>160</v>
      </c>
      <c r="D45" s="45">
        <f t="shared" si="1"/>
        <v>320</v>
      </c>
      <c r="E45" s="45">
        <f t="shared" si="1"/>
        <v>352</v>
      </c>
      <c r="F45" s="45">
        <f t="shared" si="1"/>
        <v>319</v>
      </c>
      <c r="G45" s="45"/>
      <c r="H45" s="46">
        <f t="shared" si="6"/>
        <v>308.7946000000002</v>
      </c>
      <c r="I45" s="45"/>
      <c r="J45" s="45"/>
      <c r="K45" s="45"/>
      <c r="L45" s="45"/>
      <c r="M45" s="45"/>
      <c r="N45" s="45"/>
      <c r="O45" s="1"/>
      <c r="P45" s="36"/>
    </row>
    <row r="46" ht="15" customHeight="1">
      <c r="A46" s="1"/>
      <c r="B46" s="43" t="s">
        <v>71</v>
      </c>
      <c r="C46" s="35">
        <f t="shared" si="7"/>
        <v>0.031189083820662766</v>
      </c>
      <c r="D46" s="35">
        <f t="shared" si="2"/>
        <v>0.06049149338374282</v>
      </c>
      <c r="E46" s="35">
        <f t="shared" si="2"/>
        <v>0.06274509803921569</v>
      </c>
      <c r="F46" s="35">
        <f t="shared" si="2"/>
        <v>0.053505535055350606</v>
      </c>
      <c r="G46" s="35"/>
      <c r="H46" s="44">
        <f t="shared" si="8"/>
        <v>0.04916328610093945</v>
      </c>
      <c r="I46" s="35"/>
      <c r="J46" s="35"/>
      <c r="K46" s="35"/>
      <c r="L46" s="35"/>
      <c r="M46" s="35"/>
      <c r="N46" s="35"/>
      <c r="O46" s="1"/>
      <c r="P46" s="36"/>
    </row>
    <row r="47" ht="15" customHeight="1">
      <c r="A47" s="1"/>
      <c r="B47" s="43" t="s">
        <v>72</v>
      </c>
      <c r="C47" s="35">
        <f t="shared" si="14" ref="C47:H47">_xlfn.IFERROR(C43/C32,"n/a")</f>
        <v>0.5828558836491846</v>
      </c>
      <c r="D47" s="35">
        <f t="shared" si="14"/>
        <v>0.5793060718711276</v>
      </c>
      <c r="E47" s="35">
        <f t="shared" si="14"/>
        <v>0.6239665096807954</v>
      </c>
      <c r="F47" s="35">
        <f t="shared" si="14"/>
        <v>0.6358574610244989</v>
      </c>
      <c r="G47" s="35">
        <f t="shared" si="14"/>
        <v>0.5712771739130434</v>
      </c>
      <c r="H47" s="44">
        <f t="shared" si="14"/>
        <v>0.6522482870290333</v>
      </c>
      <c r="I47" s="35"/>
      <c r="J47" s="35"/>
      <c r="K47" s="35"/>
      <c r="L47" s="35"/>
      <c r="M47" s="35"/>
      <c r="N47" s="35"/>
      <c r="O47" s="1"/>
      <c r="P47" s="36"/>
    </row>
    <row r="48" ht="15" customHeight="1">
      <c r="A48" s="1"/>
      <c r="B48" s="43" t="s">
        <v>73</v>
      </c>
      <c r="C48" s="47">
        <f>'Segment - ATS'!C75</f>
        <v>214</v>
      </c>
      <c r="D48" s="47">
        <f>'Segment - ATS'!D75</f>
        <v>313</v>
      </c>
      <c r="E48" s="47">
        <f>'Segment - ATS'!E75</f>
        <v>364</v>
      </c>
      <c r="F48" s="47">
        <f>'Segment - ATS'!F75</f>
        <v>100</v>
      </c>
      <c r="G48" s="47">
        <f>'Segment - ATS'!G75</f>
        <v>637</v>
      </c>
      <c r="H48" s="48">
        <f>'Segment - ATS'!H75</f>
        <v>-65.24549108910924</v>
      </c>
      <c r="I48" s="45"/>
      <c r="J48" s="45"/>
      <c r="K48" s="45"/>
      <c r="L48" s="45"/>
      <c r="M48" s="45"/>
      <c r="N48" s="45"/>
      <c r="O48" s="1"/>
      <c r="P48" s="36" t="s">
        <v>74</v>
      </c>
    </row>
    <row r="49" ht="15" customHeight="1">
      <c r="A49" s="1"/>
      <c r="B49" s="43" t="s">
        <v>75</v>
      </c>
      <c r="C49" s="34">
        <f>'Segment - ATS'!C76</f>
        <v>0.2649965525166629</v>
      </c>
      <c r="D49" s="34">
        <f>'Segment - ATS'!D76</f>
        <v>0.25807136788445195</v>
      </c>
      <c r="E49" s="34">
        <f>'Segment - ATS'!E76</f>
        <v>0.266973763268576</v>
      </c>
      <c r="F49" s="34">
        <f>'Segment - ATS'!F76</f>
        <v>0.2438596491228071</v>
      </c>
      <c r="G49" s="34">
        <f>'Segment - ATS'!G76</f>
        <v>0.26363689399684964</v>
      </c>
      <c r="H49" s="49">
        <f>'Segment - ATS'!H76</f>
        <v>0.23337412266746527</v>
      </c>
      <c r="I49" s="35"/>
      <c r="J49" s="35"/>
      <c r="K49" s="35"/>
      <c r="L49" s="35"/>
      <c r="M49" s="35"/>
      <c r="N49" s="35"/>
      <c r="O49" s="1"/>
      <c r="P49" s="36"/>
    </row>
    <row r="50" ht="15" customHeight="1">
      <c r="A50" s="1"/>
      <c r="B50" s="43" t="s">
        <v>76</v>
      </c>
      <c r="C50" s="34">
        <f>'Segment - ATS'!C77</f>
        <v>-0.03888081395348841</v>
      </c>
      <c r="D50" s="34">
        <f>'Segment - ATS'!D77</f>
        <v>-0.05284484214080698</v>
      </c>
      <c r="E50" s="34">
        <f>'Segment - ATS'!E77</f>
        <v>-0.05754030983243752</v>
      </c>
      <c r="F50" s="34">
        <f>'Segment - ATS'!F77</f>
        <v>-0.015671524839366957</v>
      </c>
      <c r="G50" s="34">
        <f>'Segment - ATS'!G77</f>
        <v>-0.029409048938134896</v>
      </c>
      <c r="H50" s="49">
        <f>'Segment - ATS'!H77</f>
        <v>0.009999999999999998</v>
      </c>
      <c r="I50" s="35"/>
      <c r="J50" s="35"/>
      <c r="K50" s="35"/>
      <c r="L50" s="35"/>
      <c r="M50" s="35"/>
      <c r="N50" s="35"/>
      <c r="O50" s="1"/>
      <c r="P50" s="36"/>
    </row>
    <row r="51" ht="15" customHeight="1">
      <c r="A51" s="1"/>
      <c r="B51" s="43" t="s">
        <v>77</v>
      </c>
      <c r="C51" s="34" t="str">
        <f>'Segment - ATS'!C78</f>
        <v>n/a</v>
      </c>
      <c r="D51" s="34">
        <f>'Segment - ATS'!D78</f>
        <v>0.004248088360237893</v>
      </c>
      <c r="E51" s="34" t="str">
        <f>'Segment - ATS'!E78</f>
        <v>n/a</v>
      </c>
      <c r="F51" s="34" t="str">
        <f>'Segment - ATS'!F78</f>
        <v>n/a</v>
      </c>
      <c r="G51" s="34" t="str">
        <f>'Segment - ATS'!G78</f>
        <v>n/a</v>
      </c>
      <c r="H51" s="49">
        <f>'Segment - ATS'!H78</f>
        <v>0.011342155009451797</v>
      </c>
      <c r="I51" s="35"/>
      <c r="J51" s="35"/>
      <c r="K51" s="35"/>
      <c r="L51" s="35"/>
      <c r="M51" s="35"/>
      <c r="N51" s="35"/>
      <c r="O51" s="1"/>
      <c r="P51" s="36"/>
    </row>
    <row r="52" ht="15" customHeight="1">
      <c r="A52" s="1"/>
      <c r="B52" s="43" t="s">
        <v>78</v>
      </c>
      <c r="C52" s="34" t="str">
        <f>'Segment - ATS'!C79</f>
        <v>n/a</v>
      </c>
      <c r="D52" s="34">
        <f>'Segment - ATS'!D79</f>
        <v>0.2527495769881558</v>
      </c>
      <c r="E52" s="34" t="str">
        <f>'Segment - ATS'!E79</f>
        <v>n/a</v>
      </c>
      <c r="F52" s="34" t="str">
        <f>'Segment - ATS'!F79</f>
        <v>n/a</v>
      </c>
      <c r="G52" s="34" t="str">
        <f>'Segment - ATS'!G79</f>
        <v>n/a</v>
      </c>
      <c r="H52" s="49">
        <f>'Segment - ATS'!H79</f>
        <v>0.21954188951605436</v>
      </c>
      <c r="I52" s="35"/>
      <c r="J52" s="35"/>
      <c r="K52" s="35"/>
      <c r="L52" s="35"/>
      <c r="M52" s="35"/>
      <c r="N52" s="35"/>
      <c r="O52" s="1"/>
      <c r="P52" s="36"/>
    </row>
    <row r="53" ht="15" customHeight="1">
      <c r="A53" s="1"/>
      <c r="B53" s="41" t="s">
        <v>86</v>
      </c>
      <c r="C53" s="20">
        <f>'Segment - ATS'!C80</f>
        <v>161</v>
      </c>
      <c r="D53" s="20">
        <f>'Segment - ATS'!D80</f>
        <v>452</v>
      </c>
      <c r="E53" s="20">
        <f>'Segment - ATS'!E80</f>
        <v>116</v>
      </c>
      <c r="F53" s="20">
        <f>'Segment - ATS'!F80</f>
        <v>131</v>
      </c>
      <c r="G53" s="20">
        <f>'Segment - ATS'!G80</f>
        <v>990</v>
      </c>
      <c r="H53" s="42">
        <f>'Segment - ATS'!H80</f>
        <v>115.92</v>
      </c>
      <c r="I53" s="21"/>
      <c r="J53" s="20">
        <f>'Segment - ATS'!J80</f>
        <v>285</v>
      </c>
      <c r="K53" s="20">
        <f>'Segment - ATS'!K80</f>
        <v>683</v>
      </c>
      <c r="L53" s="20">
        <f>'Segment - ATS'!L80</f>
        <v>183</v>
      </c>
      <c r="M53" s="20">
        <f>'Segment - ATS'!M80</f>
        <v>194</v>
      </c>
      <c r="N53" s="20">
        <f>'Segment - ATS'!N80</f>
        <v>1399</v>
      </c>
      <c r="O53" s="1"/>
      <c r="P53" s="36"/>
    </row>
    <row r="54" ht="15" customHeight="1">
      <c r="A54" s="1"/>
      <c r="B54" s="43" t="s">
        <v>69</v>
      </c>
      <c r="C54" s="35">
        <f t="shared" si="0"/>
        <v>-0.43508771929824563</v>
      </c>
      <c r="D54" s="35">
        <f t="shared" si="0"/>
        <v>-0.33821376281112736</v>
      </c>
      <c r="E54" s="35">
        <f t="shared" si="0"/>
        <v>-0.36612021857923494</v>
      </c>
      <c r="F54" s="35">
        <f t="shared" si="0"/>
        <v>-0.32474226804123707</v>
      </c>
      <c r="G54" s="35">
        <f t="shared" si="0"/>
        <v>-0.2923516797712652</v>
      </c>
      <c r="H54" s="44">
        <f t="shared" si="4"/>
        <v>-0.28</v>
      </c>
      <c r="I54" s="35"/>
      <c r="J54" s="35"/>
      <c r="K54" s="35"/>
      <c r="L54" s="35"/>
      <c r="M54" s="35"/>
      <c r="N54" s="35"/>
      <c r="O54" s="1"/>
      <c r="P54" s="36"/>
    </row>
    <row r="55" ht="15" customHeight="1">
      <c r="A55" s="1"/>
      <c r="B55" s="43" t="s">
        <v>70</v>
      </c>
      <c r="C55" s="45">
        <f t="shared" si="5"/>
        <v>-33</v>
      </c>
      <c r="D55" s="45">
        <f t="shared" si="1"/>
        <v>291</v>
      </c>
      <c r="E55" s="45">
        <f t="shared" si="1"/>
        <v>-336</v>
      </c>
      <c r="F55" s="45">
        <f t="shared" si="1"/>
        <v>15</v>
      </c>
      <c r="G55" s="45"/>
      <c r="H55" s="46">
        <f t="shared" si="6"/>
        <v>-15.079999999999998</v>
      </c>
      <c r="I55" s="45"/>
      <c r="J55" s="45"/>
      <c r="K55" s="45"/>
      <c r="L55" s="45"/>
      <c r="M55" s="45"/>
      <c r="N55" s="45"/>
      <c r="O55" s="1"/>
      <c r="P55" s="36"/>
    </row>
    <row r="56" ht="15" customHeight="1">
      <c r="A56" s="1"/>
      <c r="B56" s="43" t="s">
        <v>71</v>
      </c>
      <c r="C56" s="35">
        <f t="shared" si="7"/>
        <v>-0.1701030927835051</v>
      </c>
      <c r="D56" s="35">
        <f t="shared" si="2"/>
        <v>1.8074534161490683</v>
      </c>
      <c r="E56" s="35">
        <f t="shared" si="2"/>
        <v>-0.7433628318584071</v>
      </c>
      <c r="F56" s="35">
        <f t="shared" si="2"/>
        <v>0.1293103448275863</v>
      </c>
      <c r="G56" s="35"/>
      <c r="H56" s="44">
        <f t="shared" si="8"/>
        <v>-0.11511450381679389</v>
      </c>
      <c r="I56" s="35"/>
      <c r="J56" s="35"/>
      <c r="K56" s="35"/>
      <c r="L56" s="35"/>
      <c r="M56" s="35"/>
      <c r="N56" s="35"/>
      <c r="O56" s="1"/>
      <c r="P56" s="36"/>
    </row>
    <row r="57" ht="15" customHeight="1">
      <c r="A57" s="1"/>
      <c r="B57" s="43" t="s">
        <v>72</v>
      </c>
      <c r="C57" s="35">
        <f t="shared" si="15" ref="C57:H57">_xlfn.IFERROR(C53/C32,"n/a")</f>
        <v>0.017739092111062144</v>
      </c>
      <c r="D57" s="35">
        <f t="shared" si="15"/>
        <v>0.04667492771581991</v>
      </c>
      <c r="E57" s="35">
        <f t="shared" si="15"/>
        <v>0.012140240711669283</v>
      </c>
      <c r="F57" s="35">
        <f t="shared" si="15"/>
        <v>0.013261793885401904</v>
      </c>
      <c r="G57" s="35">
        <f t="shared" si="15"/>
        <v>0.02690217391304348</v>
      </c>
      <c r="H57" s="44">
        <f t="shared" si="15"/>
        <v>0.011473593036178325</v>
      </c>
      <c r="I57" s="35"/>
      <c r="J57" s="35"/>
      <c r="K57" s="35"/>
      <c r="L57" s="35"/>
      <c r="M57" s="35"/>
      <c r="N57" s="35"/>
      <c r="O57" s="1"/>
      <c r="P57" s="36"/>
    </row>
    <row r="58" ht="15" customHeight="1">
      <c r="A58" s="1"/>
      <c r="B58" s="43" t="s">
        <v>73</v>
      </c>
      <c r="C58" s="47">
        <f>'Segment - ATS'!C85</f>
        <v>4</v>
      </c>
      <c r="D58" s="47">
        <f>'Segment - ATS'!D85</f>
        <v>22</v>
      </c>
      <c r="E58" s="47">
        <f>'Segment - ATS'!E85</f>
        <v>6</v>
      </c>
      <c r="F58" s="47">
        <f>'Segment - ATS'!F85</f>
        <v>1</v>
      </c>
      <c r="G58" s="47">
        <f>'Segment - ATS'!G85</f>
        <v>31</v>
      </c>
      <c r="H58" s="48">
        <f>'Segment - ATS'!H85</f>
        <v>-0.9200000000000017</v>
      </c>
      <c r="I58" s="45"/>
      <c r="J58" s="45"/>
      <c r="K58" s="45"/>
      <c r="L58" s="45"/>
      <c r="M58" s="45"/>
      <c r="N58" s="45"/>
      <c r="O58" s="1"/>
      <c r="P58" s="36" t="s">
        <v>74</v>
      </c>
    </row>
    <row r="59" ht="15" customHeight="1">
      <c r="A59" s="1"/>
      <c r="B59" s="43" t="s">
        <v>75</v>
      </c>
      <c r="C59" s="34">
        <f>'Segment - ATS'!C86</f>
        <v>-0.42105263157894735</v>
      </c>
      <c r="D59" s="34">
        <f>'Segment - ATS'!D86</f>
        <v>-0.3060029282576867</v>
      </c>
      <c r="E59" s="34">
        <f>'Segment - ATS'!E86</f>
        <v>-0.33333333333333337</v>
      </c>
      <c r="F59" s="34">
        <f>'Segment - ATS'!F86</f>
        <v>-0.31958762886597936</v>
      </c>
      <c r="G59" s="34">
        <f>'Segment - ATS'!G86</f>
        <v>-0.270192994996426</v>
      </c>
      <c r="H59" s="49">
        <f>'Segment - ATS'!H86</f>
        <v>-0.2857142857142857</v>
      </c>
      <c r="I59" s="35"/>
      <c r="J59" s="35"/>
      <c r="K59" s="35"/>
      <c r="L59" s="35"/>
      <c r="M59" s="35"/>
      <c r="N59" s="35"/>
      <c r="O59" s="1"/>
      <c r="P59" s="36"/>
    </row>
    <row r="60" ht="15" customHeight="1">
      <c r="A60" s="1"/>
      <c r="B60" s="43" t="s">
        <v>76</v>
      </c>
      <c r="C60" s="34">
        <f>'Segment - ATS'!C87</f>
        <v>-0.024242424242424288</v>
      </c>
      <c r="D60" s="34">
        <f>'Segment - ATS'!D87</f>
        <v>-0.04641350210970452</v>
      </c>
      <c r="E60" s="34">
        <f>'Segment - ATS'!E87</f>
        <v>-0.0491803278688524</v>
      </c>
      <c r="F60" s="34">
        <f>'Segment - ATS'!F87</f>
        <v>-0.007575757575757569</v>
      </c>
      <c r="G60" s="34">
        <f>'Segment - ATS'!G87</f>
        <v>-0.03036238981390793</v>
      </c>
      <c r="H60" s="49">
        <f>'Segment - ATS'!H87</f>
        <v>0.008</v>
      </c>
      <c r="I60" s="35"/>
      <c r="J60" s="35"/>
      <c r="K60" s="35"/>
      <c r="L60" s="35"/>
      <c r="M60" s="35"/>
      <c r="N60" s="35"/>
      <c r="O60" s="1"/>
      <c r="P60" s="36"/>
    </row>
    <row r="61" ht="15" customHeight="1">
      <c r="A61" s="1"/>
      <c r="B61" s="43" t="s">
        <v>77</v>
      </c>
      <c r="C61" s="34" t="str">
        <f>'Segment - ATS'!C88</f>
        <v>n/a</v>
      </c>
      <c r="D61" s="34">
        <f>'Segment - ATS'!D88</f>
        <v>0</v>
      </c>
      <c r="E61" s="34" t="str">
        <f>'Segment - ATS'!E88</f>
        <v>n/a</v>
      </c>
      <c r="F61" s="34" t="str">
        <f>'Segment - ATS'!F88</f>
        <v>n/a</v>
      </c>
      <c r="G61" s="34" t="str">
        <f>'Segment - ATS'!G88</f>
        <v>n/a</v>
      </c>
      <c r="H61" s="49">
        <f>'Segment - ATS'!H88</f>
        <v>0</v>
      </c>
      <c r="I61" s="35"/>
      <c r="J61" s="35"/>
      <c r="K61" s="35"/>
      <c r="L61" s="35"/>
      <c r="M61" s="35"/>
      <c r="N61" s="35"/>
      <c r="O61" s="1"/>
      <c r="P61" s="36"/>
    </row>
    <row r="62" ht="15" customHeight="1">
      <c r="A62" s="1"/>
      <c r="B62" s="43" t="s">
        <v>78</v>
      </c>
      <c r="C62" s="34" t="str">
        <f>'Segment - ATS'!C89</f>
        <v>n/a</v>
      </c>
      <c r="D62" s="34">
        <f>'Segment - ATS'!D89</f>
        <v>-0.3060029282576867</v>
      </c>
      <c r="E62" s="34" t="str">
        <f>'Segment - ATS'!E89</f>
        <v>n/a</v>
      </c>
      <c r="F62" s="34" t="str">
        <f>'Segment - ATS'!F89</f>
        <v>n/a</v>
      </c>
      <c r="G62" s="34" t="str">
        <f>'Segment - ATS'!G89</f>
        <v>n/a</v>
      </c>
      <c r="H62" s="49">
        <f>'Segment - ATS'!H89</f>
        <v>-0.2857142857142857</v>
      </c>
      <c r="I62" s="35"/>
      <c r="J62" s="35"/>
      <c r="K62" s="35"/>
      <c r="L62" s="35"/>
      <c r="M62" s="35"/>
      <c r="N62" s="35"/>
      <c r="O62" s="1"/>
      <c r="P62" s="36"/>
    </row>
    <row r="63" ht="15" customHeight="1">
      <c r="A63" s="1"/>
      <c r="B63" s="41" t="s">
        <v>87</v>
      </c>
      <c r="C63" s="20">
        <f>'Segment - ATS'!C90</f>
        <v>2565</v>
      </c>
      <c r="D63" s="20">
        <f>'Segment - ATS'!D90</f>
        <v>2557</v>
      </c>
      <c r="E63" s="20">
        <f>'Segment - ATS'!E90</f>
        <v>2469</v>
      </c>
      <c r="F63" s="20">
        <f>'Segment - ATS'!F90</f>
        <v>2439</v>
      </c>
      <c r="G63" s="20">
        <f>'Segment - ATS'!G90</f>
        <v>10525</v>
      </c>
      <c r="H63" s="42">
        <f>'Segment - ATS'!H90</f>
        <v>2372.6592</v>
      </c>
      <c r="I63" s="21"/>
      <c r="J63" s="20">
        <f>'Segment - ATS'!J90</f>
        <v>2793</v>
      </c>
      <c r="K63" s="20">
        <f>'Segment - ATS'!K90</f>
        <v>2876</v>
      </c>
      <c r="L63" s="20">
        <f>'Segment - ATS'!L90</f>
        <v>2761</v>
      </c>
      <c r="M63" s="20">
        <f>'Segment - ATS'!M90</f>
        <v>2642</v>
      </c>
      <c r="N63" s="20">
        <f>'Segment - ATS'!N90</f>
        <v>11290</v>
      </c>
      <c r="O63" s="1"/>
      <c r="P63" s="36"/>
    </row>
    <row r="64" ht="15" customHeight="1">
      <c r="A64" s="1"/>
      <c r="B64" s="43" t="s">
        <v>69</v>
      </c>
      <c r="C64" s="35">
        <f t="shared" si="0"/>
        <v>-0.08163265306122447</v>
      </c>
      <c r="D64" s="35">
        <f t="shared" si="0"/>
        <v>-0.11091794158553547</v>
      </c>
      <c r="E64" s="35">
        <f t="shared" si="0"/>
        <v>-0.10575878304961972</v>
      </c>
      <c r="F64" s="35">
        <f t="shared" si="0"/>
        <v>-0.0768357305071915</v>
      </c>
      <c r="G64" s="35">
        <f t="shared" si="0"/>
        <v>-0.06775907883082377</v>
      </c>
      <c r="H64" s="44">
        <f t="shared" si="4"/>
        <v>-0.07498666666666665</v>
      </c>
      <c r="I64" s="35"/>
      <c r="J64" s="35"/>
      <c r="K64" s="35"/>
      <c r="L64" s="35"/>
      <c r="M64" s="35"/>
      <c r="N64" s="35"/>
      <c r="O64" s="1"/>
      <c r="P64" s="36"/>
    </row>
    <row r="65" ht="15" customHeight="1">
      <c r="A65" s="1"/>
      <c r="B65" s="43" t="s">
        <v>70</v>
      </c>
      <c r="C65" s="45">
        <f t="shared" si="5"/>
        <v>-77</v>
      </c>
      <c r="D65" s="45">
        <f t="shared" si="1"/>
        <v>-8</v>
      </c>
      <c r="E65" s="45">
        <f t="shared" si="1"/>
        <v>-88</v>
      </c>
      <c r="F65" s="45">
        <f t="shared" si="1"/>
        <v>-30</v>
      </c>
      <c r="G65" s="45"/>
      <c r="H65" s="46">
        <f t="shared" si="6"/>
        <v>-66.34079999999994</v>
      </c>
      <c r="I65" s="45"/>
      <c r="J65" s="45"/>
      <c r="K65" s="45"/>
      <c r="L65" s="45"/>
      <c r="M65" s="45"/>
      <c r="N65" s="45"/>
      <c r="O65" s="1"/>
      <c r="P65" s="36"/>
    </row>
    <row r="66" ht="15" customHeight="1">
      <c r="A66" s="1"/>
      <c r="B66" s="43" t="s">
        <v>71</v>
      </c>
      <c r="C66" s="35">
        <f t="shared" si="7"/>
        <v>-0.029144587433762248</v>
      </c>
      <c r="D66" s="35">
        <f t="shared" si="2"/>
        <v>-0.003118908382066299</v>
      </c>
      <c r="E66" s="35">
        <f t="shared" si="2"/>
        <v>-0.03441533046538914</v>
      </c>
      <c r="F66" s="35">
        <f t="shared" si="2"/>
        <v>-0.012150668286755817</v>
      </c>
      <c r="G66" s="35"/>
      <c r="H66" s="44">
        <f t="shared" si="8"/>
        <v>-0.027200000000000002</v>
      </c>
      <c r="I66" s="35"/>
      <c r="J66" s="35"/>
      <c r="K66" s="35"/>
      <c r="L66" s="35"/>
      <c r="M66" s="35"/>
      <c r="N66" s="35"/>
      <c r="O66" s="1"/>
      <c r="P66" s="36"/>
    </row>
    <row r="67" ht="15" customHeight="1">
      <c r="A67" s="1"/>
      <c r="B67" s="43" t="s">
        <v>72</v>
      </c>
      <c r="C67" s="35">
        <f t="shared" si="16" ref="C67:H67">_xlfn.IFERROR(C63/C32,"n/a")</f>
        <v>0.28261348611723225</v>
      </c>
      <c r="D67" s="35">
        <f t="shared" si="16"/>
        <v>0.26404378356051217</v>
      </c>
      <c r="E67" s="35">
        <f t="shared" si="16"/>
        <v>0.2583987441130298</v>
      </c>
      <c r="F67" s="35">
        <f t="shared" si="16"/>
        <v>0.2469123304312614</v>
      </c>
      <c r="G67" s="35">
        <f t="shared" si="16"/>
        <v>0.2860054347826087</v>
      </c>
      <c r="H67" s="44">
        <f t="shared" si="16"/>
        <v>0.2348423574391342</v>
      </c>
      <c r="I67" s="35"/>
      <c r="J67" s="35"/>
      <c r="K67" s="35"/>
      <c r="L67" s="35"/>
      <c r="M67" s="35"/>
      <c r="N67" s="35"/>
      <c r="O67" s="1"/>
      <c r="P67" s="36"/>
    </row>
    <row r="68" ht="15" customHeight="1">
      <c r="A68" s="1"/>
      <c r="B68" s="43" t="s">
        <v>73</v>
      </c>
      <c r="C68" s="47">
        <f>'Segment - ATS'!C95</f>
        <v>78</v>
      </c>
      <c r="D68" s="47">
        <f>'Segment - ATS'!D95</f>
        <v>111</v>
      </c>
      <c r="E68" s="47">
        <f>'Segment - ATS'!E95</f>
        <v>116</v>
      </c>
      <c r="F68" s="47">
        <f>'Segment - ATS'!F95</f>
        <v>29</v>
      </c>
      <c r="G68" s="47">
        <f>'Segment - ATS'!G95</f>
        <v>229</v>
      </c>
      <c r="H68" s="48">
        <f>'Segment - ATS'!H95</f>
        <v>-18.830628571428406</v>
      </c>
      <c r="I68" s="45"/>
      <c r="J68" s="45"/>
      <c r="K68" s="45"/>
      <c r="L68" s="45"/>
      <c r="M68" s="45"/>
      <c r="N68" s="45"/>
      <c r="O68" s="1"/>
      <c r="P68" s="36" t="s">
        <v>74</v>
      </c>
    </row>
    <row r="69" ht="15" customHeight="1">
      <c r="A69" s="1"/>
      <c r="B69" s="43" t="s">
        <v>75</v>
      </c>
      <c r="C69" s="34">
        <f>'Segment - ATS'!C96</f>
        <v>-0.05370569280343718</v>
      </c>
      <c r="D69" s="34">
        <f>'Segment - ATS'!D96</f>
        <v>-0.07232267037552154</v>
      </c>
      <c r="E69" s="34">
        <f>'Segment - ATS'!E96</f>
        <v>-0.06374501992031878</v>
      </c>
      <c r="F69" s="34">
        <f>'Segment - ATS'!F96</f>
        <v>-0.06585919757759273</v>
      </c>
      <c r="G69" s="34">
        <f>'Segment - ATS'!G96</f>
        <v>-0.04747564216120459</v>
      </c>
      <c r="H69" s="49">
        <f>'Segment - ATS'!H96</f>
        <v>-0.08232804232804225</v>
      </c>
      <c r="I69" s="35"/>
      <c r="J69" s="35"/>
      <c r="K69" s="35"/>
      <c r="L69" s="35"/>
      <c r="M69" s="35"/>
      <c r="N69" s="35"/>
      <c r="O69" s="1"/>
      <c r="P69" s="36"/>
    </row>
    <row r="70" ht="15" customHeight="1">
      <c r="A70" s="1"/>
      <c r="B70" s="43" t="s">
        <v>76</v>
      </c>
      <c r="C70" s="34">
        <f>'Segment - ATS'!C97</f>
        <v>-0.0295119182746878</v>
      </c>
      <c r="D70" s="34">
        <f>'Segment - ATS'!D97</f>
        <v>-0.04160419790104952</v>
      </c>
      <c r="E70" s="34">
        <f>'Segment - ATS'!E97</f>
        <v>-0.04487427466150862</v>
      </c>
      <c r="F70" s="34">
        <f>'Segment - ATS'!F97</f>
        <v>-0.011750405186385704</v>
      </c>
      <c r="G70" s="34">
        <f>'Segment - ATS'!G97</f>
        <v>-0.021294402082945973</v>
      </c>
      <c r="H70" s="49">
        <f>'Segment - ATS'!H97</f>
        <v>0.008</v>
      </c>
      <c r="I70" s="35"/>
      <c r="J70" s="35"/>
      <c r="K70" s="35"/>
      <c r="L70" s="35"/>
      <c r="M70" s="35"/>
      <c r="N70" s="35"/>
      <c r="O70" s="1"/>
      <c r="P70" s="36"/>
    </row>
    <row r="71" ht="15" customHeight="1">
      <c r="A71" s="1"/>
      <c r="B71" s="43" t="s">
        <v>77</v>
      </c>
      <c r="C71" s="34" t="str">
        <f>'Segment - ATS'!C98</f>
        <v>n/a</v>
      </c>
      <c r="D71" s="34">
        <f>'Segment - ATS'!D98</f>
        <v>0</v>
      </c>
      <c r="E71" s="34" t="str">
        <f>'Segment - ATS'!E98</f>
        <v>n/a</v>
      </c>
      <c r="F71" s="34" t="str">
        <f>'Segment - ATS'!F98</f>
        <v>n/a</v>
      </c>
      <c r="G71" s="34" t="str">
        <f>'Segment - ATS'!G98</f>
        <v>n/a</v>
      </c>
      <c r="H71" s="49">
        <f>'Segment - ATS'!H98</f>
        <v>0</v>
      </c>
      <c r="I71" s="35"/>
      <c r="J71" s="35"/>
      <c r="K71" s="35"/>
      <c r="L71" s="35"/>
      <c r="M71" s="35"/>
      <c r="N71" s="35"/>
      <c r="O71" s="1"/>
      <c r="P71" s="36"/>
    </row>
    <row r="72" ht="15" customHeight="1">
      <c r="A72" s="1"/>
      <c r="B72" s="43" t="s">
        <v>78</v>
      </c>
      <c r="C72" s="34" t="str">
        <f>'Segment - ATS'!C99</f>
        <v>n/a</v>
      </c>
      <c r="D72" s="34">
        <f>'Segment - ATS'!D99</f>
        <v>-0.07232267037552154</v>
      </c>
      <c r="E72" s="34" t="str">
        <f>'Segment - ATS'!E99</f>
        <v>n/a</v>
      </c>
      <c r="F72" s="34" t="str">
        <f>'Segment - ATS'!F99</f>
        <v>n/a</v>
      </c>
      <c r="G72" s="34" t="str">
        <f>'Segment - ATS'!G99</f>
        <v>n/a</v>
      </c>
      <c r="H72" s="49">
        <f>'Segment - ATS'!H99</f>
        <v>-0.08232804232804236</v>
      </c>
      <c r="I72" s="35"/>
      <c r="J72" s="35"/>
      <c r="K72" s="35"/>
      <c r="L72" s="35"/>
      <c r="M72" s="35"/>
      <c r="N72" s="35"/>
      <c r="O72" s="1"/>
      <c r="P72" s="36"/>
    </row>
    <row r="73" ht="15" customHeight="1">
      <c r="A73" s="1"/>
      <c r="B73" s="53" t="s">
        <v>88</v>
      </c>
      <c r="C73" s="20">
        <f>'Segment - ATS'!C122</f>
        <v>66</v>
      </c>
      <c r="D73" s="20">
        <f>'Segment - ATS'!D122</f>
        <v>93</v>
      </c>
      <c r="E73" s="20">
        <f>'Segment - ATS'!E122</f>
        <v>62</v>
      </c>
      <c r="F73" s="20">
        <f>'Segment - ATS'!F122</f>
        <v>61</v>
      </c>
      <c r="G73" s="20">
        <f>'Segment - ATS'!G122</f>
        <v>306</v>
      </c>
      <c r="H73" s="42">
        <f>'Segment - ATS'!H122</f>
        <v>60.720000000000006</v>
      </c>
      <c r="I73" s="21"/>
      <c r="J73" s="20">
        <f>'Segment - ATS'!J122</f>
        <v>96</v>
      </c>
      <c r="K73" s="20">
        <f>'Segment - ATS'!K122</f>
        <v>114</v>
      </c>
      <c r="L73" s="20">
        <f>'Segment - ATS'!L122</f>
        <v>78</v>
      </c>
      <c r="M73" s="20">
        <f>'Segment - ATS'!M122</f>
        <v>69</v>
      </c>
      <c r="N73" s="20">
        <f>'Segment - ATS'!N122</f>
        <v>418</v>
      </c>
      <c r="O73" s="1"/>
      <c r="P73" s="36"/>
    </row>
    <row r="74" ht="15" customHeight="1">
      <c r="A74" s="1"/>
      <c r="B74" s="53" t="s">
        <v>89</v>
      </c>
      <c r="C74" s="20">
        <f>'Segment - Core Services'!C11</f>
        <v>994</v>
      </c>
      <c r="D74" s="20">
        <f>'Segment - Core Services'!D11</f>
        <v>973</v>
      </c>
      <c r="E74" s="20">
        <f>'Segment - Core Services'!E11</f>
        <v>945</v>
      </c>
      <c r="F74" s="20">
        <f>'Segment - Core Services'!F11</f>
        <v>966</v>
      </c>
      <c r="G74" s="20">
        <f>'Segment - Core Services'!G11</f>
        <v>3955</v>
      </c>
      <c r="H74" s="42">
        <f>'Segment - Core Services'!H11</f>
        <v>964.10575</v>
      </c>
      <c r="I74" s="21"/>
      <c r="J74" s="20">
        <f>'Segment - Core Services'!J11</f>
        <v>945</v>
      </c>
      <c r="K74" s="20">
        <f>'Segment - Core Services'!K11</f>
        <v>996</v>
      </c>
      <c r="L74" s="20">
        <f>'Segment - Core Services'!L11</f>
        <v>996</v>
      </c>
      <c r="M74" s="20">
        <f>'Segment - Core Services'!M11</f>
        <v>992</v>
      </c>
      <c r="N74" s="20">
        <f>'Segment - Core Services'!N11</f>
        <v>3927</v>
      </c>
      <c r="O74" s="1"/>
      <c r="P74" s="36"/>
    </row>
    <row r="75" ht="15" customHeight="1">
      <c r="A75" s="1"/>
      <c r="B75" s="54" t="s">
        <v>80</v>
      </c>
      <c r="C75" s="45"/>
      <c r="D75" s="45"/>
      <c r="E75" s="45"/>
      <c r="F75" s="45"/>
      <c r="G75" s="45">
        <f t="shared" si="17"/>
        <v>1</v>
      </c>
      <c r="H75" s="46"/>
      <c r="I75" s="45"/>
      <c r="J75" s="45"/>
      <c r="K75" s="45"/>
      <c r="L75" s="50">
        <v>1</v>
      </c>
      <c r="M75" s="45"/>
      <c r="N75" s="50">
        <v>1</v>
      </c>
      <c r="O75" s="1"/>
      <c r="P75" s="36" t="s">
        <v>81</v>
      </c>
    </row>
    <row r="76" ht="15" customHeight="1">
      <c r="A76" s="1"/>
      <c r="B76" s="55" t="s">
        <v>90</v>
      </c>
      <c r="C76" s="51">
        <f t="shared" si="18" ref="C76:N76">C73+C74+C75</f>
        <v>1060</v>
      </c>
      <c r="D76" s="51">
        <f t="shared" si="18"/>
        <v>1066</v>
      </c>
      <c r="E76" s="51">
        <f t="shared" si="18"/>
        <v>1007</v>
      </c>
      <c r="F76" s="51">
        <f t="shared" si="18"/>
        <v>1027</v>
      </c>
      <c r="G76" s="51">
        <f t="shared" si="18"/>
        <v>4262</v>
      </c>
      <c r="H76" s="52">
        <f t="shared" si="18"/>
        <v>1024.82575</v>
      </c>
      <c r="I76" s="51"/>
      <c r="J76" s="51">
        <f t="shared" si="18"/>
        <v>1041</v>
      </c>
      <c r="K76" s="51">
        <f t="shared" si="18"/>
        <v>1110</v>
      </c>
      <c r="L76" s="51">
        <f t="shared" si="18"/>
        <v>1075</v>
      </c>
      <c r="M76" s="51">
        <f t="shared" si="18"/>
        <v>1061</v>
      </c>
      <c r="N76" s="51">
        <f t="shared" si="18"/>
        <v>4346</v>
      </c>
      <c r="O76" s="1"/>
      <c r="P76" s="36"/>
    </row>
    <row r="77" ht="15" customHeight="1">
      <c r="A77" s="1"/>
      <c r="B77" s="43" t="s">
        <v>69</v>
      </c>
      <c r="C77" s="35">
        <f t="shared" si="0"/>
        <v>0.018251681075888593</v>
      </c>
      <c r="D77" s="35">
        <f t="shared" si="0"/>
        <v>-0.03963963963963968</v>
      </c>
      <c r="E77" s="35">
        <f t="shared" si="0"/>
        <v>-0.06325581395348834</v>
      </c>
      <c r="F77" s="35">
        <f t="shared" si="0"/>
        <v>-0.03204524033930256</v>
      </c>
      <c r="G77" s="35">
        <f t="shared" si="0"/>
        <v>-0.01932811780947996</v>
      </c>
      <c r="H77" s="44">
        <f t="shared" si="4"/>
        <v>-0.033183254716981136</v>
      </c>
      <c r="I77" s="35"/>
      <c r="J77" s="35"/>
      <c r="K77" s="35"/>
      <c r="L77" s="35"/>
      <c r="M77" s="35"/>
      <c r="N77" s="35"/>
      <c r="O77" s="1"/>
      <c r="P77" s="36"/>
    </row>
    <row r="78" ht="15" customHeight="1">
      <c r="A78" s="1"/>
      <c r="B78" s="43" t="s">
        <v>70</v>
      </c>
      <c r="C78" s="45">
        <f t="shared" si="5"/>
        <v>-1</v>
      </c>
      <c r="D78" s="45">
        <f t="shared" si="1"/>
        <v>6</v>
      </c>
      <c r="E78" s="45">
        <f t="shared" si="1"/>
        <v>-59</v>
      </c>
      <c r="F78" s="45">
        <f t="shared" si="1"/>
        <v>20</v>
      </c>
      <c r="G78" s="45"/>
      <c r="H78" s="46">
        <f t="shared" si="6"/>
        <v>-2.174250000000029</v>
      </c>
      <c r="I78" s="45"/>
      <c r="J78" s="45"/>
      <c r="K78" s="45"/>
      <c r="L78" s="45"/>
      <c r="M78" s="45"/>
      <c r="N78" s="45"/>
      <c r="O78" s="1"/>
      <c r="P78" s="36"/>
    </row>
    <row r="79" ht="15" customHeight="1">
      <c r="A79" s="1"/>
      <c r="B79" s="43" t="s">
        <v>71</v>
      </c>
      <c r="C79" s="35">
        <f t="shared" si="7"/>
        <v>-0.0009425070688030557</v>
      </c>
      <c r="D79" s="35">
        <f t="shared" si="2"/>
        <v>0.005660377358490676</v>
      </c>
      <c r="E79" s="35">
        <f t="shared" si="2"/>
        <v>-0.05534709193245779</v>
      </c>
      <c r="F79" s="35">
        <f t="shared" si="2"/>
        <v>0.019860973187686204</v>
      </c>
      <c r="G79" s="35"/>
      <c r="H79" s="44">
        <f t="shared" si="8"/>
        <v>-0.0021170886075949635</v>
      </c>
      <c r="I79" s="35"/>
      <c r="J79" s="35"/>
      <c r="K79" s="35"/>
      <c r="L79" s="35"/>
      <c r="M79" s="35"/>
      <c r="N79" s="35"/>
      <c r="O79" s="1"/>
      <c r="P79" s="36"/>
    </row>
    <row r="80" ht="15" customHeight="1">
      <c r="A80" s="1"/>
      <c r="B80" s="43" t="s">
        <v>72</v>
      </c>
      <c r="C80" s="35">
        <f t="shared" si="19" ref="C80:H80">_xlfn.IFERROR(C76/C32,"n/a")</f>
        <v>0.11679153812252094</v>
      </c>
      <c r="D80" s="35">
        <f t="shared" si="19"/>
        <v>0.1100784799669558</v>
      </c>
      <c r="E80" s="35">
        <f t="shared" si="19"/>
        <v>0.1053898482469911</v>
      </c>
      <c r="F80" s="35">
        <f t="shared" si="19"/>
        <v>0.10396841465883783</v>
      </c>
      <c r="G80" s="35">
        <f t="shared" si="19"/>
        <v>0.11581521739130435</v>
      </c>
      <c r="H80" s="44">
        <f t="shared" si="19"/>
        <v>0.10143576249565414</v>
      </c>
      <c r="I80" s="35"/>
      <c r="J80" s="35"/>
      <c r="K80" s="35"/>
      <c r="L80" s="35"/>
      <c r="M80" s="35"/>
      <c r="N80" s="35"/>
      <c r="O80" s="1"/>
      <c r="P80" s="36"/>
    </row>
    <row r="81" ht="15" customHeight="1">
      <c r="A81" s="1"/>
      <c r="B81" s="43" t="s">
        <v>73</v>
      </c>
      <c r="C81" s="50">
        <v>39</v>
      </c>
      <c r="D81" s="50">
        <v>50</v>
      </c>
      <c r="E81" s="50">
        <v>55</v>
      </c>
      <c r="F81" s="50">
        <v>11</v>
      </c>
      <c r="G81" s="50">
        <v>107</v>
      </c>
      <c r="H81" s="48">
        <f>'Segment - ATS'!H127+'Segment - Core Services'!H16</f>
        <v>-8.13353769841266</v>
      </c>
      <c r="I81" s="45"/>
      <c r="J81" s="45"/>
      <c r="K81" s="45"/>
      <c r="L81" s="45"/>
      <c r="M81" s="45"/>
      <c r="N81" s="45"/>
      <c r="O81" s="1"/>
      <c r="P81" s="36" t="s">
        <v>82</v>
      </c>
    </row>
    <row r="82" ht="15" customHeight="1">
      <c r="A82" s="1"/>
      <c r="B82" s="43" t="s">
        <v>75</v>
      </c>
      <c r="C82" s="35">
        <f t="shared" si="20" ref="C82:G82">_xlfn.IFERROR((C76+C81)/J76-1,"n/a")</f>
        <v>0.05571565802113354</v>
      </c>
      <c r="D82" s="35">
        <f t="shared" si="20"/>
        <v>0.00540540540540535</v>
      </c>
      <c r="E82" s="35">
        <f t="shared" si="20"/>
        <v>-0.012093023255813962</v>
      </c>
      <c r="F82" s="35">
        <f t="shared" si="20"/>
        <v>-0.021677662582469392</v>
      </c>
      <c r="G82" s="35">
        <f t="shared" si="20"/>
        <v>0.005292222733548124</v>
      </c>
      <c r="H82" s="44">
        <f>_xlfn.IFERROR((H76+H81)/C76-1,"n/a")</f>
        <v>-0.040856403489068494</v>
      </c>
      <c r="I82" s="35"/>
      <c r="J82" s="35"/>
      <c r="K82" s="35"/>
      <c r="L82" s="35"/>
      <c r="M82" s="35"/>
      <c r="N82" s="35"/>
      <c r="O82" s="1"/>
      <c r="P82" s="36"/>
    </row>
    <row r="83" ht="15" customHeight="1">
      <c r="A83" s="1"/>
      <c r="B83" s="43" t="s">
        <v>76</v>
      </c>
      <c r="C83" s="35">
        <f t="shared" si="21" ref="C83:H83">_xlfn.IFERROR((1+C77)/(1+C82)-1,"n/a")</f>
        <v>-0.035486806187443154</v>
      </c>
      <c r="D83" s="35">
        <f t="shared" si="21"/>
        <v>-0.04480286738351258</v>
      </c>
      <c r="E83" s="35">
        <f t="shared" si="21"/>
        <v>-0.05178907721280601</v>
      </c>
      <c r="F83" s="35">
        <f t="shared" si="21"/>
        <v>-0.010597302504816941</v>
      </c>
      <c r="G83" s="35">
        <f t="shared" si="21"/>
        <v>-0.02449073014419778</v>
      </c>
      <c r="H83" s="44">
        <f t="shared" si="21"/>
        <v>0.008000000000000007</v>
      </c>
      <c r="I83" s="35"/>
      <c r="J83" s="35"/>
      <c r="K83" s="35"/>
      <c r="L83" s="35"/>
      <c r="M83" s="35"/>
      <c r="N83" s="35"/>
      <c r="O83" s="1"/>
      <c r="P83" s="36"/>
    </row>
    <row r="84" ht="15" customHeight="1">
      <c r="A84" s="1"/>
      <c r="B84" s="43" t="s">
        <v>77</v>
      </c>
      <c r="C84" s="35" t="s">
        <v>41</v>
      </c>
      <c r="D84" s="56">
        <v>0</v>
      </c>
      <c r="E84" s="35" t="s">
        <v>41</v>
      </c>
      <c r="F84" s="35" t="s">
        <v>41</v>
      </c>
      <c r="G84" s="35" t="s">
        <v>41</v>
      </c>
      <c r="H84" s="57">
        <v>0</v>
      </c>
      <c r="I84" s="35"/>
      <c r="J84" s="35"/>
      <c r="K84" s="35"/>
      <c r="L84" s="35"/>
      <c r="M84" s="35"/>
      <c r="N84" s="35"/>
      <c r="O84" s="1"/>
      <c r="P84" s="36" t="s">
        <v>83</v>
      </c>
    </row>
    <row r="85" ht="15" customHeight="1">
      <c r="A85" s="1"/>
      <c r="B85" s="43" t="s">
        <v>78</v>
      </c>
      <c r="C85" s="35" t="str">
        <f t="shared" si="22" ref="C85:H85">IF(AND(ISNUMBER(C84),ISNUMBER(C83),ISNUMBER(C77)),(1+C77)/((1+C84)*(1+C83))-1,"n/a")</f>
        <v>n/a</v>
      </c>
      <c r="D85" s="35">
        <f t="shared" si="22"/>
        <v>0.00540540540540535</v>
      </c>
      <c r="E85" s="35" t="str">
        <f t="shared" si="22"/>
        <v>n/a</v>
      </c>
      <c r="F85" s="35" t="str">
        <f t="shared" si="22"/>
        <v>n/a</v>
      </c>
      <c r="G85" s="35" t="str">
        <f t="shared" si="22"/>
        <v>n/a</v>
      </c>
      <c r="H85" s="44">
        <f t="shared" si="22"/>
        <v>-0.040856403489068605</v>
      </c>
      <c r="I85" s="35"/>
      <c r="J85" s="35"/>
      <c r="K85" s="35"/>
      <c r="L85" s="35"/>
      <c r="M85" s="35"/>
      <c r="N85" s="35"/>
      <c r="O85" s="1"/>
      <c r="P85" s="36"/>
    </row>
    <row r="86" ht="15" customHeight="1">
      <c r="A86" s="1"/>
      <c r="B86" s="43" t="s">
        <v>80</v>
      </c>
      <c r="C86" s="45"/>
      <c r="D86" s="50">
        <v>-1</v>
      </c>
      <c r="E86" s="50">
        <v>1</v>
      </c>
      <c r="F86" s="45"/>
      <c r="G86" s="45">
        <f t="shared" si="17"/>
        <v>0</v>
      </c>
      <c r="H86" s="46"/>
      <c r="I86" s="45"/>
      <c r="J86" s="45"/>
      <c r="K86" s="45"/>
      <c r="L86" s="50">
        <v>1</v>
      </c>
      <c r="M86" s="45"/>
      <c r="N86" s="45"/>
      <c r="O86" s="1"/>
      <c r="P86" s="36" t="s">
        <v>81</v>
      </c>
    </row>
    <row r="87" ht="15" customHeight="1">
      <c r="A87" s="1"/>
      <c r="B87" s="25" t="s">
        <v>91</v>
      </c>
      <c r="C87" s="51">
        <f t="shared" si="23" ref="C87:N87">C43+C53+C63+C76+C86</f>
        <v>9076</v>
      </c>
      <c r="D87" s="51">
        <f t="shared" si="23"/>
        <v>9684</v>
      </c>
      <c r="E87" s="51">
        <f t="shared" si="23"/>
        <v>9555</v>
      </c>
      <c r="F87" s="51">
        <f t="shared" si="23"/>
        <v>9878</v>
      </c>
      <c r="G87" s="51">
        <f t="shared" si="23"/>
        <v>36800</v>
      </c>
      <c r="H87" s="52">
        <f t="shared" si="23"/>
        <v>10103.199550000001</v>
      </c>
      <c r="I87" s="51"/>
      <c r="J87" s="51">
        <f t="shared" si="23"/>
        <v>8470</v>
      </c>
      <c r="K87" s="51">
        <f t="shared" si="23"/>
        <v>9377</v>
      </c>
      <c r="L87" s="51">
        <f t="shared" si="23"/>
        <v>9013</v>
      </c>
      <c r="M87" s="51">
        <f t="shared" si="23"/>
        <v>9027</v>
      </c>
      <c r="N87" s="51">
        <f t="shared" si="23"/>
        <v>34176</v>
      </c>
      <c r="O87" s="1"/>
      <c r="P87" s="36"/>
    </row>
    <row r="88" ht="15" customHeight="1">
      <c r="A88" s="1"/>
      <c r="B88" s="58" t="s">
        <v>92</v>
      </c>
      <c r="C88" s="21">
        <f t="shared" si="24" ref="C88:N88">ROUND(C87-C32,6)</f>
        <v>0</v>
      </c>
      <c r="D88" s="21">
        <f t="shared" si="24"/>
        <v>0</v>
      </c>
      <c r="E88" s="21">
        <f t="shared" si="24"/>
        <v>0</v>
      </c>
      <c r="F88" s="21">
        <f t="shared" si="24"/>
        <v>0</v>
      </c>
      <c r="G88" s="21">
        <f t="shared" si="24"/>
        <v>0</v>
      </c>
      <c r="H88" s="59">
        <f t="shared" si="24"/>
        <v>0</v>
      </c>
      <c r="I88" s="21"/>
      <c r="J88" s="21">
        <f t="shared" si="24"/>
        <v>0</v>
      </c>
      <c r="K88" s="21">
        <f t="shared" si="24"/>
        <v>0</v>
      </c>
      <c r="L88" s="21">
        <f t="shared" si="24"/>
        <v>0</v>
      </c>
      <c r="M88" s="21">
        <f t="shared" si="24"/>
        <v>0</v>
      </c>
      <c r="N88" s="21">
        <f t="shared" si="24"/>
        <v>0</v>
      </c>
      <c r="O88" s="1"/>
      <c r="P88" s="36" t="s">
        <v>93</v>
      </c>
    </row>
    <row r="89" ht="15" customHeight="1">
      <c r="A89" s="1"/>
      <c r="B89" s="58" t="s">
        <v>94</v>
      </c>
      <c r="C89" s="21">
        <f t="shared" si="25" ref="C89:N89">ROUND(C11+C21+N(+C31)-C32,6)</f>
        <v>0</v>
      </c>
      <c r="D89" s="21">
        <f t="shared" si="25"/>
        <v>0</v>
      </c>
      <c r="E89" s="21">
        <f t="shared" si="25"/>
        <v>0</v>
      </c>
      <c r="F89" s="21">
        <f t="shared" si="25"/>
        <v>0</v>
      </c>
      <c r="G89" s="21">
        <f t="shared" si="25"/>
        <v>0</v>
      </c>
      <c r="H89" s="59">
        <f t="shared" si="25"/>
        <v>0</v>
      </c>
      <c r="I89" s="21"/>
      <c r="J89" s="21">
        <f t="shared" si="25"/>
        <v>0</v>
      </c>
      <c r="K89" s="21">
        <f t="shared" si="25"/>
        <v>0</v>
      </c>
      <c r="L89" s="21">
        <f t="shared" si="25"/>
        <v>0</v>
      </c>
      <c r="M89" s="21">
        <f t="shared" si="25"/>
        <v>0</v>
      </c>
      <c r="N89" s="21">
        <f t="shared" si="25"/>
        <v>0</v>
      </c>
      <c r="O89" s="1"/>
      <c r="P89" s="36" t="s">
        <v>95</v>
      </c>
    </row>
    <row r="90" ht="15" customHeight="1">
      <c r="A90" s="1"/>
      <c r="B90" s="15" t="s">
        <v>96</v>
      </c>
      <c r="C90" s="1"/>
      <c r="D90" s="1"/>
      <c r="E90" s="1"/>
      <c r="F90" s="1"/>
      <c r="G90" s="1"/>
      <c r="H90" s="40"/>
      <c r="I90" s="1"/>
      <c r="J90" s="1"/>
      <c r="K90" s="1"/>
      <c r="L90" s="1"/>
      <c r="M90" s="1"/>
      <c r="N90" s="1"/>
      <c r="O90" s="1"/>
      <c r="P90" s="36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EA7385C-88F3-666D-5383-13A05D8C2212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2.00390625" customWidth="1"/>
    <col min="10" max="14" width="12.00390625" customWidth="1"/>
    <col min="15" max="15" width="2.00390625" customWidth="1"/>
    <col min="16" max="16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15" customHeight="1">
      <c r="A3" s="1"/>
      <c r="B3" s="3" t="s">
        <v>97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4" t="s">
        <v>59</v>
      </c>
      <c r="K5" s="1"/>
      <c r="L5" s="1"/>
      <c r="M5" s="1"/>
      <c r="N5" s="1"/>
      <c r="O5" s="1"/>
      <c r="P5" s="1"/>
    </row>
    <row r="6" ht="15" customHeight="1">
      <c r="A6" s="1"/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7" t="s">
        <v>9</v>
      </c>
      <c r="I6" s="37"/>
      <c r="J6" s="6" t="s">
        <v>60</v>
      </c>
      <c r="K6" s="6" t="s">
        <v>61</v>
      </c>
      <c r="L6" s="6" t="s">
        <v>62</v>
      </c>
      <c r="M6" s="6" t="s">
        <v>63</v>
      </c>
      <c r="N6" s="6" t="s">
        <v>64</v>
      </c>
      <c r="O6" s="1"/>
      <c r="P6" s="3" t="s">
        <v>65</v>
      </c>
    </row>
    <row r="7" ht="15" customHeight="1">
      <c r="A7" s="1"/>
      <c r="B7" s="8" t="s">
        <v>10</v>
      </c>
      <c r="C7" s="9">
        <v>45930</v>
      </c>
      <c r="D7" s="9">
        <v>46022</v>
      </c>
      <c r="E7" s="9">
        <v>46112</v>
      </c>
      <c r="F7" s="9">
        <v>46203</v>
      </c>
      <c r="G7" s="9">
        <v>46022</v>
      </c>
      <c r="H7" s="10">
        <v>46295</v>
      </c>
      <c r="I7" s="38"/>
      <c r="J7" s="9">
        <v>45565</v>
      </c>
      <c r="K7" s="9">
        <v>45657</v>
      </c>
      <c r="L7" s="9">
        <v>45747</v>
      </c>
      <c r="M7" s="9">
        <v>45838</v>
      </c>
      <c r="N7" s="9">
        <v>45657</v>
      </c>
      <c r="O7" s="1"/>
      <c r="P7" s="1"/>
    </row>
    <row r="8" ht="15" customHeight="1">
      <c r="A8" s="1"/>
      <c r="B8" s="11" t="s">
        <v>11</v>
      </c>
      <c r="C8" s="12">
        <v>92</v>
      </c>
      <c r="D8" s="12">
        <v>92</v>
      </c>
      <c r="E8" s="12">
        <v>90</v>
      </c>
      <c r="F8" s="12">
        <v>91</v>
      </c>
      <c r="G8" s="12">
        <v>365</v>
      </c>
      <c r="H8" s="13">
        <v>92</v>
      </c>
      <c r="I8" s="39"/>
      <c r="J8" s="12">
        <v>92</v>
      </c>
      <c r="K8" s="12">
        <v>92</v>
      </c>
      <c r="L8" s="12">
        <v>90</v>
      </c>
      <c r="M8" s="12">
        <v>91</v>
      </c>
      <c r="N8" s="12">
        <v>366</v>
      </c>
      <c r="O8" s="1"/>
      <c r="P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36"/>
    </row>
    <row r="10" ht="15" customHeight="1">
      <c r="A10" s="1"/>
      <c r="B10" s="25" t="s">
        <v>98</v>
      </c>
      <c r="C10" s="1"/>
      <c r="D10" s="1"/>
      <c r="E10" s="1"/>
      <c r="F10" s="1"/>
      <c r="G10" s="1"/>
      <c r="H10" s="40"/>
      <c r="I10" s="1"/>
      <c r="J10" s="1"/>
      <c r="K10" s="1"/>
      <c r="L10" s="1"/>
      <c r="M10" s="1"/>
      <c r="N10" s="1"/>
      <c r="O10" s="1"/>
      <c r="P10" s="36"/>
    </row>
    <row r="11" ht="15" customHeight="1">
      <c r="A11" s="1"/>
      <c r="B11" s="41" t="s">
        <v>99</v>
      </c>
      <c r="C11" s="21">
        <f>M15</f>
        <v>18052</v>
      </c>
      <c r="D11" s="21">
        <f t="shared" si="0" ref="D11:F11">C15</f>
        <v>18839</v>
      </c>
      <c r="E11" s="21">
        <f t="shared" si="0"/>
        <v>21052</v>
      </c>
      <c r="F11" s="21">
        <f t="shared" si="0"/>
        <v>21932</v>
      </c>
      <c r="G11" s="21">
        <f>N15</f>
        <v>18078</v>
      </c>
      <c r="H11" s="59">
        <f>F15</f>
        <v>22929</v>
      </c>
      <c r="I11" s="21"/>
      <c r="J11" s="21"/>
      <c r="K11" s="21"/>
      <c r="L11" s="21"/>
      <c r="M11" s="21"/>
      <c r="N11" s="21"/>
      <c r="O11" s="1"/>
      <c r="P11" s="36"/>
    </row>
    <row r="12" ht="15" customHeight="1">
      <c r="A12" s="1"/>
      <c r="B12" s="41" t="s">
        <v>100</v>
      </c>
      <c r="C12" s="21" t="s">
        <v>41</v>
      </c>
      <c r="D12" s="21" t="s">
        <v>41</v>
      </c>
      <c r="E12" s="21" t="s">
        <v>41</v>
      </c>
      <c r="F12" s="21" t="s">
        <v>41</v>
      </c>
      <c r="G12" s="21" t="s">
        <v>41</v>
      </c>
      <c r="H12" s="59" t="s">
        <v>41</v>
      </c>
      <c r="I12" s="21"/>
      <c r="J12" s="21"/>
      <c r="K12" s="21"/>
      <c r="L12" s="21"/>
      <c r="M12" s="21"/>
      <c r="N12" s="21"/>
      <c r="O12" s="1"/>
      <c r="P12" s="36" t="s">
        <v>101</v>
      </c>
    </row>
    <row r="13" ht="15" customHeight="1">
      <c r="A13" s="1"/>
      <c r="B13" s="41" t="s">
        <v>102</v>
      </c>
      <c r="C13" s="21" t="s">
        <v>41</v>
      </c>
      <c r="D13" s="21" t="s">
        <v>41</v>
      </c>
      <c r="E13" s="21" t="s">
        <v>41</v>
      </c>
      <c r="F13" s="21" t="s">
        <v>41</v>
      </c>
      <c r="G13" s="21" t="s">
        <v>41</v>
      </c>
      <c r="H13" s="59" t="s">
        <v>41</v>
      </c>
      <c r="I13" s="21"/>
      <c r="J13" s="21"/>
      <c r="K13" s="21"/>
      <c r="L13" s="21"/>
      <c r="M13" s="21"/>
      <c r="N13" s="21"/>
      <c r="O13" s="1"/>
      <c r="P13" s="36" t="s">
        <v>103</v>
      </c>
    </row>
    <row r="14" ht="15" customHeight="1">
      <c r="A14" s="1"/>
      <c r="B14" s="41" t="s">
        <v>104</v>
      </c>
      <c r="C14" s="21">
        <f t="shared" si="1" ref="C14:H14">C15-C11</f>
        <v>787</v>
      </c>
      <c r="D14" s="21">
        <f t="shared" si="1"/>
        <v>2213</v>
      </c>
      <c r="E14" s="21">
        <f t="shared" si="1"/>
        <v>880</v>
      </c>
      <c r="F14" s="21">
        <f t="shared" si="1"/>
        <v>997</v>
      </c>
      <c r="G14" s="21">
        <f t="shared" si="1"/>
        <v>2974</v>
      </c>
      <c r="H14" s="59">
        <f t="shared" si="1"/>
        <v>619.75</v>
      </c>
      <c r="I14" s="21"/>
      <c r="J14" s="21"/>
      <c r="K14" s="21"/>
      <c r="L14" s="21"/>
      <c r="M14" s="21"/>
      <c r="N14" s="21"/>
      <c r="O14" s="1"/>
      <c r="P14" s="36" t="s">
        <v>105</v>
      </c>
    </row>
    <row r="15" ht="15" customHeight="1">
      <c r="A15" s="1"/>
      <c r="B15" s="25" t="s">
        <v>106</v>
      </c>
      <c r="C15" s="60">
        <v>18839</v>
      </c>
      <c r="D15" s="60">
        <v>21052</v>
      </c>
      <c r="E15" s="60">
        <v>21932</v>
      </c>
      <c r="F15" s="60">
        <v>22929</v>
      </c>
      <c r="G15" s="51">
        <f t="shared" si="8" ref="G15:G24">D15</f>
        <v>21052</v>
      </c>
      <c r="H15" s="52">
        <f t="shared" si="18" ref="H15:H122">C15*(1+H16)</f>
        <v>23548.75</v>
      </c>
      <c r="I15" s="51"/>
      <c r="J15" s="60">
        <v>15377</v>
      </c>
      <c r="K15" s="60">
        <v>18078</v>
      </c>
      <c r="L15" s="60">
        <v>18202</v>
      </c>
      <c r="M15" s="60">
        <v>18052</v>
      </c>
      <c r="N15" s="60">
        <v>18078</v>
      </c>
      <c r="O15" s="1"/>
      <c r="P15" s="36" t="s">
        <v>107</v>
      </c>
    </row>
    <row r="16" ht="15" customHeight="1">
      <c r="A16" s="1"/>
      <c r="B16" s="43" t="s">
        <v>69</v>
      </c>
      <c r="C16" s="35">
        <f t="shared" si="2" ref="C16:G187">_xlfn.IFERROR(C15/J15-1,"n/a")</f>
        <v>0.22514144501528266</v>
      </c>
      <c r="D16" s="35">
        <f t="shared" si="2"/>
        <v>0.16450934837924547</v>
      </c>
      <c r="E16" s="35">
        <f t="shared" si="2"/>
        <v>0.2049225359850566</v>
      </c>
      <c r="F16" s="35">
        <f t="shared" si="2"/>
        <v>0.2701639707511634</v>
      </c>
      <c r="G16" s="35">
        <f t="shared" si="2"/>
        <v>0.16450934837924547</v>
      </c>
      <c r="H16" s="57">
        <v>0.25</v>
      </c>
      <c r="I16" s="35"/>
      <c r="J16" s="35"/>
      <c r="K16" s="35"/>
      <c r="L16" s="35"/>
      <c r="M16" s="35"/>
      <c r="N16" s="35"/>
      <c r="O16" s="1"/>
      <c r="P16" s="36"/>
    </row>
    <row r="17" ht="15" customHeight="1">
      <c r="A17" s="1"/>
      <c r="B17" s="43" t="s">
        <v>70</v>
      </c>
      <c r="C17" s="45">
        <f t="shared" si="11" ref="C17:C188">C15-M15</f>
        <v>787</v>
      </c>
      <c r="D17" s="45">
        <f t="shared" si="3" ref="D17:F188">D15-C15</f>
        <v>2213</v>
      </c>
      <c r="E17" s="45">
        <f t="shared" si="3"/>
        <v>880</v>
      </c>
      <c r="F17" s="45">
        <f t="shared" si="3"/>
        <v>997</v>
      </c>
      <c r="G17" s="45"/>
      <c r="H17" s="46">
        <f t="shared" si="12" ref="H17:H188">H15-F15</f>
        <v>619.75</v>
      </c>
      <c r="I17" s="45"/>
      <c r="J17" s="45"/>
      <c r="K17" s="45"/>
      <c r="L17" s="45"/>
      <c r="M17" s="45"/>
      <c r="N17" s="45"/>
      <c r="O17" s="1"/>
      <c r="P17" s="36"/>
    </row>
    <row r="18" ht="15" customHeight="1">
      <c r="A18" s="1"/>
      <c r="B18" s="43" t="s">
        <v>71</v>
      </c>
      <c r="C18" s="35">
        <f t="shared" si="13" ref="C18:C181">_xlfn.IFERROR(C15/M15-1,"n/a")</f>
        <v>0.04359627742078431</v>
      </c>
      <c r="D18" s="35">
        <f t="shared" si="4" ref="D18:F181">_xlfn.IFERROR(D15/C15-1,"n/a")</f>
        <v>0.11746908009979307</v>
      </c>
      <c r="E18" s="35">
        <f t="shared" si="4"/>
        <v>0.04180125403762114</v>
      </c>
      <c r="F18" s="35">
        <f t="shared" si="4"/>
        <v>0.04545869049790263</v>
      </c>
      <c r="G18" s="35"/>
      <c r="H18" s="44">
        <f t="shared" si="14" ref="H18:H181">_xlfn.IFERROR(H15/F15-1,"n/a")</f>
        <v>0.027029089798944472</v>
      </c>
      <c r="I18" s="35"/>
      <c r="J18" s="35"/>
      <c r="K18" s="35"/>
      <c r="L18" s="35"/>
      <c r="M18" s="35"/>
      <c r="N18" s="35"/>
      <c r="O18" s="1"/>
      <c r="P18" s="36"/>
    </row>
    <row r="19" ht="15" customHeight="1">
      <c r="A19" s="1"/>
      <c r="B19" s="43" t="s">
        <v>75</v>
      </c>
      <c r="C19" s="56">
        <v>0.27</v>
      </c>
      <c r="D19" s="56">
        <v>0.25</v>
      </c>
      <c r="E19" s="56">
        <v>0.25</v>
      </c>
      <c r="F19" s="56">
        <v>0.26</v>
      </c>
      <c r="G19" s="56">
        <v>0.25</v>
      </c>
      <c r="H19" s="44">
        <f>_xlfn.IFERROR((1+H16)/(1+H20)-1,"n/a")</f>
        <v>0.25</v>
      </c>
      <c r="I19" s="35"/>
      <c r="J19" s="35"/>
      <c r="K19" s="35"/>
      <c r="L19" s="35"/>
      <c r="M19" s="35"/>
      <c r="N19" s="35"/>
      <c r="O19" s="1"/>
      <c r="P19" s="36" t="s">
        <v>108</v>
      </c>
    </row>
    <row r="20" ht="15" customHeight="1">
      <c r="A20" s="1"/>
      <c r="B20" s="43" t="s">
        <v>76</v>
      </c>
      <c r="C20" s="35">
        <f t="shared" si="5" ref="C20:G20">_xlfn.IFERROR((1+C16)/(1+C19)-1,"n/a")</f>
        <v>-0.03532169683836017</v>
      </c>
      <c r="D20" s="35">
        <f t="shared" si="5"/>
        <v>-0.06839252129660367</v>
      </c>
      <c r="E20" s="35">
        <f t="shared" si="5"/>
        <v>-0.03606197121195476</v>
      </c>
      <c r="F20" s="35">
        <f t="shared" si="5"/>
        <v>0.008066643453304323</v>
      </c>
      <c r="G20" s="35">
        <f t="shared" si="5"/>
        <v>-0.06839252129660367</v>
      </c>
      <c r="H20" s="57">
        <v>0</v>
      </c>
      <c r="I20" s="35"/>
      <c r="J20" s="35"/>
      <c r="K20" s="35"/>
      <c r="L20" s="35"/>
      <c r="M20" s="35"/>
      <c r="N20" s="35"/>
      <c r="O20" s="1"/>
      <c r="P20" s="36" t="s">
        <v>109</v>
      </c>
    </row>
    <row r="21" ht="15" customHeight="1">
      <c r="A21" s="1"/>
      <c r="B21" s="43" t="s">
        <v>77</v>
      </c>
      <c r="C21" s="35" t="s">
        <v>41</v>
      </c>
      <c r="D21" s="35" t="s">
        <v>41</v>
      </c>
      <c r="E21" s="35" t="s">
        <v>41</v>
      </c>
      <c r="F21" s="35" t="s">
        <v>41</v>
      </c>
      <c r="G21" s="35" t="s">
        <v>41</v>
      </c>
      <c r="H21" s="57">
        <v>0.008</v>
      </c>
      <c r="I21" s="35"/>
      <c r="J21" s="35"/>
      <c r="K21" s="35"/>
      <c r="L21" s="35"/>
      <c r="M21" s="35"/>
      <c r="N21" s="35"/>
      <c r="O21" s="1"/>
      <c r="P21" s="36" t="s">
        <v>83</v>
      </c>
    </row>
    <row r="22" ht="15" customHeight="1">
      <c r="A22" s="1"/>
      <c r="B22" s="43" t="s">
        <v>78</v>
      </c>
      <c r="C22" s="35" t="str">
        <f t="shared" si="6" ref="C22:H22">IF(AND(ISNUMBER(C21),ISNUMBER(C20),ISNUMBER(C16)),(1+C16)/((1+C21)*(1+C20))-1,"n/a")</f>
        <v>n/a</v>
      </c>
      <c r="D22" s="35" t="str">
        <f t="shared" si="6"/>
        <v>n/a</v>
      </c>
      <c r="E22" s="35" t="str">
        <f t="shared" si="6"/>
        <v>n/a</v>
      </c>
      <c r="F22" s="35" t="str">
        <f t="shared" si="6"/>
        <v>n/a</v>
      </c>
      <c r="G22" s="35" t="str">
        <f t="shared" si="6"/>
        <v>n/a</v>
      </c>
      <c r="H22" s="44">
        <f t="shared" si="6"/>
        <v>0.24007936507936511</v>
      </c>
      <c r="I22" s="35"/>
      <c r="J22" s="35"/>
      <c r="K22" s="35"/>
      <c r="L22" s="35"/>
      <c r="M22" s="35"/>
      <c r="N22" s="35"/>
      <c r="O22" s="1"/>
      <c r="P22" s="36"/>
    </row>
    <row r="23" ht="15" customHeight="1">
      <c r="A23" s="1"/>
      <c r="B23" s="41" t="s">
        <v>110</v>
      </c>
      <c r="C23" s="21">
        <f t="shared" si="7" ref="C23:H23">(C11+C15)/2</f>
        <v>18445.5</v>
      </c>
      <c r="D23" s="21">
        <f t="shared" si="7"/>
        <v>19945.5</v>
      </c>
      <c r="E23" s="21">
        <f t="shared" si="7"/>
        <v>21492</v>
      </c>
      <c r="F23" s="21">
        <f t="shared" si="7"/>
        <v>22430.5</v>
      </c>
      <c r="G23" s="21">
        <f t="shared" si="7"/>
        <v>19565</v>
      </c>
      <c r="H23" s="59">
        <f t="shared" si="7"/>
        <v>23238.875</v>
      </c>
      <c r="I23" s="21"/>
      <c r="J23" s="21"/>
      <c r="K23" s="21"/>
      <c r="L23" s="21"/>
      <c r="M23" s="21"/>
      <c r="N23" s="21"/>
      <c r="O23" s="1"/>
      <c r="P23" s="36"/>
    </row>
    <row r="24" ht="15" customHeight="1">
      <c r="A24" s="1"/>
      <c r="B24" s="41" t="s">
        <v>111</v>
      </c>
      <c r="C24" s="21" t="s">
        <v>41</v>
      </c>
      <c r="D24" s="61">
        <v>77290</v>
      </c>
      <c r="E24" s="21" t="s">
        <v>41</v>
      </c>
      <c r="F24" s="21" t="s">
        <v>41</v>
      </c>
      <c r="G24" s="21">
        <f t="shared" si="8"/>
        <v>77290</v>
      </c>
      <c r="H24" s="59" t="s">
        <v>41</v>
      </c>
      <c r="I24" s="21"/>
      <c r="J24" s="21"/>
      <c r="K24" s="21"/>
      <c r="L24" s="21"/>
      <c r="M24" s="21"/>
      <c r="N24" s="21"/>
      <c r="O24" s="1"/>
      <c r="P24" s="36" t="s">
        <v>112</v>
      </c>
    </row>
    <row r="25" ht="15" customHeight="1">
      <c r="A25" s="1"/>
      <c r="B25" s="58" t="s">
        <v>113</v>
      </c>
      <c r="C25" s="35">
        <f t="shared" si="9" ref="C25:F25">_xlfn.IFERROR(C68/C11,"n/a")</f>
        <v>0.29304232218036785</v>
      </c>
      <c r="D25" s="35">
        <f t="shared" si="9"/>
        <v>0.2977865067147938</v>
      </c>
      <c r="E25" s="35">
        <f t="shared" si="9"/>
        <v>0.28320349610488316</v>
      </c>
      <c r="F25" s="35">
        <f t="shared" si="9"/>
        <v>0.28638519058909356</v>
      </c>
      <c r="G25" s="35" t="s">
        <v>41</v>
      </c>
      <c r="H25" s="57">
        <v>0.2874</v>
      </c>
      <c r="I25" s="35"/>
      <c r="J25" s="35"/>
      <c r="K25" s="35"/>
      <c r="L25" s="35"/>
      <c r="M25" s="35"/>
      <c r="N25" s="35"/>
      <c r="O25" s="1"/>
      <c r="P25" s="36" t="s">
        <v>114</v>
      </c>
    </row>
    <row r="26" ht="15" customHeight="1">
      <c r="A26" s="1"/>
      <c r="B26" s="43" t="s">
        <v>115</v>
      </c>
      <c r="C26" s="62"/>
      <c r="D26" s="62">
        <f t="shared" si="10" ref="D26:F26">_xlfn.IFERROR((D25-C25)*10000,"n/a")</f>
        <v>47.44184534425933</v>
      </c>
      <c r="E26" s="62">
        <f t="shared" si="10"/>
        <v>-145.8301060991063</v>
      </c>
      <c r="F26" s="62">
        <f t="shared" si="10"/>
        <v>31.816944842104068</v>
      </c>
      <c r="G26" s="62"/>
      <c r="H26" s="63">
        <f>_xlfn.IFERROR((H25-F25)*10000,"n/a")</f>
        <v>10.148094109064253</v>
      </c>
      <c r="I26" s="62"/>
      <c r="J26" s="62"/>
      <c r="K26" s="62"/>
      <c r="L26" s="62"/>
      <c r="M26" s="62"/>
      <c r="N26" s="62"/>
      <c r="O26" s="1"/>
      <c r="P26" s="36"/>
    </row>
    <row r="27" ht="15" customHeight="1">
      <c r="A27" s="1"/>
      <c r="B27" s="43" t="s">
        <v>116</v>
      </c>
      <c r="C27" s="62" t="s">
        <v>41</v>
      </c>
      <c r="D27" s="62" t="s">
        <v>41</v>
      </c>
      <c r="E27" s="62" t="s">
        <v>41</v>
      </c>
      <c r="F27" s="62" t="s">
        <v>41</v>
      </c>
      <c r="G27" s="62" t="s">
        <v>41</v>
      </c>
      <c r="H27" s="63">
        <f>_xlfn.IFERROR((H25-C25)*10000,"n/a")</f>
        <v>-56.42322180367864</v>
      </c>
      <c r="I27" s="62"/>
      <c r="J27" s="62"/>
      <c r="K27" s="62"/>
      <c r="L27" s="62"/>
      <c r="M27" s="62"/>
      <c r="N27" s="62"/>
      <c r="O27" s="1"/>
      <c r="P27" s="36" t="s">
        <v>117</v>
      </c>
    </row>
    <row r="28" ht="15" customHeight="1">
      <c r="A28" s="1"/>
      <c r="B28" s="1"/>
      <c r="C28" s="1"/>
      <c r="D28" s="1"/>
      <c r="E28" s="1"/>
      <c r="F28" s="1"/>
      <c r="G28" s="1"/>
      <c r="H28" s="40"/>
      <c r="I28" s="1"/>
      <c r="J28" s="1"/>
      <c r="K28" s="1"/>
      <c r="L28" s="1"/>
      <c r="M28" s="1"/>
      <c r="N28" s="1"/>
      <c r="O28" s="1"/>
      <c r="P28" s="36"/>
    </row>
    <row r="29" ht="15" customHeight="1">
      <c r="A29" s="1"/>
      <c r="B29" s="25" t="s">
        <v>118</v>
      </c>
      <c r="C29" s="1"/>
      <c r="D29" s="1"/>
      <c r="E29" s="1"/>
      <c r="F29" s="1"/>
      <c r="G29" s="1"/>
      <c r="H29" s="40"/>
      <c r="I29" s="1"/>
      <c r="J29" s="1"/>
      <c r="K29" s="1"/>
      <c r="L29" s="1"/>
      <c r="M29" s="1"/>
      <c r="N29" s="1"/>
      <c r="O29" s="1"/>
      <c r="P29" s="36"/>
    </row>
    <row r="30" ht="15" customHeight="1">
      <c r="A30" s="1"/>
      <c r="B30" s="41" t="s">
        <v>119</v>
      </c>
      <c r="C30" s="61">
        <v>4586</v>
      </c>
      <c r="D30" s="61">
        <v>4862</v>
      </c>
      <c r="E30" s="61">
        <v>5214</v>
      </c>
      <c r="F30" s="61">
        <v>5525</v>
      </c>
      <c r="G30" s="21">
        <f t="shared" si="17" ref="G30:G177">L30+M30+C30+D30</f>
        <v>18121</v>
      </c>
      <c r="H30" s="59">
        <f>H68-H39-H58</f>
        <v>5824.7146</v>
      </c>
      <c r="I30" s="21"/>
      <c r="J30" s="61">
        <v>3636</v>
      </c>
      <c r="K30" s="61">
        <v>3948</v>
      </c>
      <c r="L30" s="61">
        <v>4251</v>
      </c>
      <c r="M30" s="61">
        <v>4422</v>
      </c>
      <c r="N30" s="61">
        <v>14165</v>
      </c>
      <c r="O30" s="1"/>
      <c r="P30" s="36" t="s">
        <v>120</v>
      </c>
    </row>
    <row r="31" ht="15" customHeight="1">
      <c r="A31" s="1"/>
      <c r="B31" s="43" t="s">
        <v>69</v>
      </c>
      <c r="C31" s="35">
        <f t="shared" si="2"/>
        <v>0.2612761276127613</v>
      </c>
      <c r="D31" s="35">
        <f t="shared" si="2"/>
        <v>0.2315096251266464</v>
      </c>
      <c r="E31" s="35">
        <f t="shared" si="2"/>
        <v>0.22653493295695126</v>
      </c>
      <c r="F31" s="35">
        <f t="shared" si="2"/>
        <v>0.24943464495703305</v>
      </c>
      <c r="G31" s="35">
        <f t="shared" si="2"/>
        <v>0.27927991528415097</v>
      </c>
      <c r="H31" s="44">
        <f t="shared" si="21" ref="H31:H187">_xlfn.IFERROR(H30/C30-1,"n/a")</f>
        <v>0.2701078499781946</v>
      </c>
      <c r="I31" s="35"/>
      <c r="J31" s="35"/>
      <c r="K31" s="35"/>
      <c r="L31" s="35"/>
      <c r="M31" s="35"/>
      <c r="N31" s="35"/>
      <c r="O31" s="1"/>
      <c r="P31" s="36"/>
    </row>
    <row r="32" ht="15" customHeight="1">
      <c r="A32" s="1"/>
      <c r="B32" s="43" t="s">
        <v>70</v>
      </c>
      <c r="C32" s="45">
        <f t="shared" si="11"/>
        <v>164</v>
      </c>
      <c r="D32" s="45">
        <f t="shared" si="3"/>
        <v>276</v>
      </c>
      <c r="E32" s="45">
        <f t="shared" si="3"/>
        <v>352</v>
      </c>
      <c r="F32" s="45">
        <f t="shared" si="3"/>
        <v>311</v>
      </c>
      <c r="G32" s="45"/>
      <c r="H32" s="46">
        <f t="shared" si="12"/>
        <v>299.71460000000025</v>
      </c>
      <c r="I32" s="45"/>
      <c r="J32" s="45"/>
      <c r="K32" s="45"/>
      <c r="L32" s="45"/>
      <c r="M32" s="45"/>
      <c r="N32" s="45"/>
      <c r="O32" s="1"/>
      <c r="P32" s="36"/>
    </row>
    <row r="33" ht="15" customHeight="1">
      <c r="A33" s="1"/>
      <c r="B33" s="43" t="s">
        <v>71</v>
      </c>
      <c r="C33" s="35">
        <f t="shared" si="13"/>
        <v>0.037087290818634155</v>
      </c>
      <c r="D33" s="35">
        <f t="shared" si="4"/>
        <v>0.06018316615787178</v>
      </c>
      <c r="E33" s="35">
        <f t="shared" si="4"/>
        <v>0.07239819004524883</v>
      </c>
      <c r="F33" s="35">
        <f t="shared" si="4"/>
        <v>0.05964710395090145</v>
      </c>
      <c r="G33" s="35"/>
      <c r="H33" s="44">
        <f t="shared" si="14"/>
        <v>0.05424698642533943</v>
      </c>
      <c r="I33" s="35"/>
      <c r="J33" s="35"/>
      <c r="K33" s="35"/>
      <c r="L33" s="35"/>
      <c r="M33" s="35"/>
      <c r="N33" s="35"/>
      <c r="O33" s="1"/>
      <c r="P33" s="36"/>
    </row>
    <row r="34" ht="15" customHeight="1">
      <c r="A34" s="1"/>
      <c r="B34" s="43" t="s">
        <v>72</v>
      </c>
      <c r="C34" s="34">
        <f>_xlfn.IFERROR(C30/'Revenue summary'!C32,"n/a")</f>
        <v>0.5052886734244161</v>
      </c>
      <c r="D34" s="34">
        <f>_xlfn.IFERROR(D30/'Revenue summary'!D32,"n/a")</f>
        <v>0.5020652622883106</v>
      </c>
      <c r="E34" s="34">
        <f>_xlfn.IFERROR(E30/'Revenue summary'!E32,"n/a")</f>
        <v>0.5456828885400314</v>
      </c>
      <c r="F34" s="34">
        <f>_xlfn.IFERROR(F30/'Revenue summary'!F32,"n/a")</f>
        <v>0.5593237497469123</v>
      </c>
      <c r="G34" s="34">
        <f>_xlfn.IFERROR(G30/'Revenue summary'!G32,"n/a")</f>
        <v>0.49241847826086954</v>
      </c>
      <c r="H34" s="49">
        <f>_xlfn.IFERROR(H30/'Revenue summary'!H32,"n/a")</f>
        <v>0.5765217811618895</v>
      </c>
      <c r="I34" s="35"/>
      <c r="J34" s="35"/>
      <c r="K34" s="35"/>
      <c r="L34" s="35"/>
      <c r="M34" s="35"/>
      <c r="N34" s="35"/>
      <c r="O34" s="1"/>
      <c r="P34" s="36"/>
    </row>
    <row r="35" ht="15" customHeight="1">
      <c r="A35" s="1"/>
      <c r="B35" s="43" t="s">
        <v>75</v>
      </c>
      <c r="C35" s="56">
        <v>0.31</v>
      </c>
      <c r="D35" s="56">
        <v>0.3</v>
      </c>
      <c r="E35" s="56">
        <v>0.3</v>
      </c>
      <c r="F35" s="56">
        <v>0.27</v>
      </c>
      <c r="G35" s="56">
        <v>0.32</v>
      </c>
      <c r="H35" s="44">
        <f t="shared" si="19" ref="H35:H63">_xlfn.IFERROR((1+H31)/(1+H36)-1,"n/a")</f>
        <v>0.2575325247308857</v>
      </c>
      <c r="I35" s="35"/>
      <c r="J35" s="35"/>
      <c r="K35" s="35"/>
      <c r="L35" s="35"/>
      <c r="M35" s="35"/>
      <c r="N35" s="35"/>
      <c r="O35" s="1"/>
      <c r="P35" s="36" t="s">
        <v>108</v>
      </c>
    </row>
    <row r="36" ht="15" customHeight="1">
      <c r="A36" s="1"/>
      <c r="B36" s="43" t="s">
        <v>76</v>
      </c>
      <c r="C36" s="35">
        <f t="shared" si="15" ref="C36:G64">_xlfn.IFERROR((1+C31)/(1+C35)-1,"n/a")</f>
        <v>-0.03719379571544945</v>
      </c>
      <c r="D36" s="35">
        <f t="shared" si="15"/>
        <v>-0.05268490374873358</v>
      </c>
      <c r="E36" s="35">
        <f t="shared" si="15"/>
        <v>-0.056511590033114456</v>
      </c>
      <c r="F36" s="35">
        <f t="shared" si="15"/>
        <v>-0.016193192947218105</v>
      </c>
      <c r="G36" s="35">
        <f t="shared" si="15"/>
        <v>-0.03084854902715839</v>
      </c>
      <c r="H36" s="44">
        <f>H77</f>
        <v>0.009999999999999998</v>
      </c>
      <c r="I36" s="35"/>
      <c r="J36" s="35"/>
      <c r="K36" s="35"/>
      <c r="L36" s="35"/>
      <c r="M36" s="35"/>
      <c r="N36" s="35"/>
      <c r="O36" s="1"/>
      <c r="P36" s="36"/>
    </row>
    <row r="37" ht="15" customHeight="1">
      <c r="A37" s="1"/>
      <c r="B37" s="43" t="s">
        <v>77</v>
      </c>
      <c r="C37" s="35" t="s">
        <v>41</v>
      </c>
      <c r="D37" s="35" t="s">
        <v>41</v>
      </c>
      <c r="E37" s="35" t="s">
        <v>41</v>
      </c>
      <c r="F37" s="35" t="s">
        <v>41</v>
      </c>
      <c r="G37" s="35" t="s">
        <v>41</v>
      </c>
      <c r="H37" s="44" t="s">
        <v>41</v>
      </c>
      <c r="I37" s="35"/>
      <c r="J37" s="35"/>
      <c r="K37" s="35"/>
      <c r="L37" s="35"/>
      <c r="M37" s="35"/>
      <c r="N37" s="35"/>
      <c r="O37" s="1"/>
      <c r="P37" s="36" t="s">
        <v>83</v>
      </c>
    </row>
    <row r="38" ht="15" customHeight="1">
      <c r="A38" s="1"/>
      <c r="B38" s="43" t="s">
        <v>78</v>
      </c>
      <c r="C38" s="35" t="str">
        <f t="shared" si="16" ref="C38:H66">IF(AND(ISNUMBER(C37),ISNUMBER(C36),ISNUMBER(C31)),(1+C31)/((1+C37)*(1+C36))-1,"n/a")</f>
        <v>n/a</v>
      </c>
      <c r="D38" s="35" t="str">
        <f t="shared" si="16"/>
        <v>n/a</v>
      </c>
      <c r="E38" s="35" t="str">
        <f t="shared" si="16"/>
        <v>n/a</v>
      </c>
      <c r="F38" s="35" t="str">
        <f t="shared" si="16"/>
        <v>n/a</v>
      </c>
      <c r="G38" s="35" t="str">
        <f t="shared" si="16"/>
        <v>n/a</v>
      </c>
      <c r="H38" s="44" t="str">
        <f t="shared" si="16"/>
        <v>n/a</v>
      </c>
      <c r="I38" s="35"/>
      <c r="J38" s="35"/>
      <c r="K38" s="35"/>
      <c r="L38" s="35"/>
      <c r="M38" s="35"/>
      <c r="N38" s="35"/>
      <c r="O38" s="1"/>
      <c r="P38" s="36"/>
    </row>
    <row r="39" ht="15" customHeight="1">
      <c r="A39" s="1"/>
      <c r="B39" s="41" t="s">
        <v>121</v>
      </c>
      <c r="C39" s="61">
        <v>626</v>
      </c>
      <c r="D39" s="61">
        <v>670</v>
      </c>
      <c r="E39" s="61">
        <v>681</v>
      </c>
      <c r="F39" s="61">
        <v>692</v>
      </c>
      <c r="G39" s="21">
        <f t="shared" si="17"/>
        <v>2559</v>
      </c>
      <c r="H39" s="59">
        <f t="shared" si="18"/>
        <v>701.1200000000001</v>
      </c>
      <c r="I39" s="21"/>
      <c r="J39" s="61">
        <v>598</v>
      </c>
      <c r="K39" s="61">
        <v>636</v>
      </c>
      <c r="L39" s="61">
        <v>639</v>
      </c>
      <c r="M39" s="61">
        <v>624</v>
      </c>
      <c r="N39" s="61">
        <v>2436</v>
      </c>
      <c r="O39" s="1"/>
      <c r="P39" s="36"/>
    </row>
    <row r="40" ht="15" customHeight="1">
      <c r="A40" s="1"/>
      <c r="B40" s="43" t="s">
        <v>69</v>
      </c>
      <c r="C40" s="35">
        <f t="shared" si="2"/>
        <v>0.04682274247491636</v>
      </c>
      <c r="D40" s="35">
        <f t="shared" si="2"/>
        <v>0.053459119496855445</v>
      </c>
      <c r="E40" s="35">
        <f t="shared" si="2"/>
        <v>0.06572769953051649</v>
      </c>
      <c r="F40" s="35">
        <f t="shared" si="2"/>
        <v>0.10897435897435903</v>
      </c>
      <c r="G40" s="35">
        <f t="shared" si="2"/>
        <v>0.05049261083743839</v>
      </c>
      <c r="H40" s="57">
        <v>0.12</v>
      </c>
      <c r="I40" s="35"/>
      <c r="J40" s="35"/>
      <c r="K40" s="35"/>
      <c r="L40" s="35"/>
      <c r="M40" s="35"/>
      <c r="N40" s="35"/>
      <c r="O40" s="1"/>
      <c r="P40" s="36"/>
    </row>
    <row r="41" ht="15" customHeight="1">
      <c r="A41" s="1"/>
      <c r="B41" s="43" t="s">
        <v>70</v>
      </c>
      <c r="C41" s="45">
        <f t="shared" si="11"/>
        <v>2</v>
      </c>
      <c r="D41" s="45">
        <f t="shared" si="3"/>
        <v>44</v>
      </c>
      <c r="E41" s="45">
        <f t="shared" si="3"/>
        <v>11</v>
      </c>
      <c r="F41" s="45">
        <f t="shared" si="3"/>
        <v>11</v>
      </c>
      <c r="G41" s="45"/>
      <c r="H41" s="46">
        <f t="shared" si="12"/>
        <v>9.120000000000118</v>
      </c>
      <c r="I41" s="45"/>
      <c r="J41" s="45"/>
      <c r="K41" s="45"/>
      <c r="L41" s="45"/>
      <c r="M41" s="45"/>
      <c r="N41" s="45"/>
      <c r="O41" s="1"/>
      <c r="P41" s="36"/>
    </row>
    <row r="42" ht="15" customHeight="1">
      <c r="A42" s="1"/>
      <c r="B42" s="43" t="s">
        <v>71</v>
      </c>
      <c r="C42" s="35">
        <f t="shared" si="13"/>
        <v>0.0032051282051281937</v>
      </c>
      <c r="D42" s="35">
        <f t="shared" si="4"/>
        <v>0.07028753993610226</v>
      </c>
      <c r="E42" s="35">
        <f t="shared" si="4"/>
        <v>0.016417910447761086</v>
      </c>
      <c r="F42" s="35">
        <f t="shared" si="4"/>
        <v>0.01615271659324513</v>
      </c>
      <c r="G42" s="35"/>
      <c r="H42" s="44">
        <f t="shared" si="14"/>
        <v>0.013179190751445358</v>
      </c>
      <c r="I42" s="35"/>
      <c r="J42" s="35"/>
      <c r="K42" s="35"/>
      <c r="L42" s="35"/>
      <c r="M42" s="35"/>
      <c r="N42" s="35"/>
      <c r="O42" s="1"/>
      <c r="P42" s="36"/>
    </row>
    <row r="43" ht="15" customHeight="1">
      <c r="A43" s="1"/>
      <c r="B43" s="43" t="s">
        <v>72</v>
      </c>
      <c r="C43" s="34">
        <f>_xlfn.IFERROR(C39/'Revenue summary'!C32,"n/a")</f>
        <v>0.06897311591009256</v>
      </c>
      <c r="D43" s="34">
        <f>_xlfn.IFERROR(D39/'Revenue summary'!D32,"n/a")</f>
        <v>0.06918628665840562</v>
      </c>
      <c r="E43" s="34">
        <f>_xlfn.IFERROR(E39/'Revenue summary'!E32,"n/a")</f>
        <v>0.07127158555729984</v>
      </c>
      <c r="F43" s="34">
        <f>_xlfn.IFERROR(F39/'Revenue summary'!F32,"n/a")</f>
        <v>0.07005466693662685</v>
      </c>
      <c r="G43" s="34">
        <f>_xlfn.IFERROR(G39/'Revenue summary'!G32,"n/a")</f>
        <v>0.06953804347826087</v>
      </c>
      <c r="H43" s="49">
        <f>_xlfn.IFERROR(H39/'Revenue summary'!H32,"n/a")</f>
        <v>0.06939583807389017</v>
      </c>
      <c r="I43" s="35"/>
      <c r="J43" s="35"/>
      <c r="K43" s="35"/>
      <c r="L43" s="35"/>
      <c r="M43" s="35"/>
      <c r="N43" s="35"/>
      <c r="O43" s="1"/>
      <c r="P43" s="36"/>
    </row>
    <row r="44" ht="15" customHeight="1">
      <c r="A44" s="1"/>
      <c r="B44" s="43" t="s">
        <v>75</v>
      </c>
      <c r="C44" s="56">
        <v>0.09</v>
      </c>
      <c r="D44" s="56">
        <v>0.1</v>
      </c>
      <c r="E44" s="56">
        <v>0.12</v>
      </c>
      <c r="F44" s="56">
        <v>0.12</v>
      </c>
      <c r="G44" s="56">
        <v>0.08</v>
      </c>
      <c r="H44" s="44">
        <f t="shared" si="19"/>
        <v>0.10891089108910901</v>
      </c>
      <c r="I44" s="35"/>
      <c r="J44" s="35"/>
      <c r="K44" s="35"/>
      <c r="L44" s="35"/>
      <c r="M44" s="35"/>
      <c r="N44" s="35"/>
      <c r="O44" s="1"/>
      <c r="P44" s="36" t="s">
        <v>108</v>
      </c>
    </row>
    <row r="45" ht="15" customHeight="1">
      <c r="A45" s="1"/>
      <c r="B45" s="43" t="s">
        <v>76</v>
      </c>
      <c r="C45" s="35">
        <f t="shared" si="15"/>
        <v>-0.03961216286704927</v>
      </c>
      <c r="D45" s="35">
        <f t="shared" si="15"/>
        <v>-0.0423098913664951</v>
      </c>
      <c r="E45" s="35">
        <f t="shared" si="15"/>
        <v>-0.048457411133467465</v>
      </c>
      <c r="F45" s="35">
        <f t="shared" si="15"/>
        <v>-0.00984432234432242</v>
      </c>
      <c r="G45" s="35">
        <f t="shared" si="15"/>
        <v>-0.02732165663200159</v>
      </c>
      <c r="H45" s="44">
        <f>H77</f>
        <v>0.009999999999999998</v>
      </c>
      <c r="I45" s="35"/>
      <c r="J45" s="35"/>
      <c r="K45" s="35"/>
      <c r="L45" s="35"/>
      <c r="M45" s="35"/>
      <c r="N45" s="35"/>
      <c r="O45" s="1"/>
      <c r="P45" s="36"/>
    </row>
    <row r="46" ht="15" customHeight="1">
      <c r="A46" s="1"/>
      <c r="B46" s="43" t="s">
        <v>77</v>
      </c>
      <c r="C46" s="35" t="s">
        <v>41</v>
      </c>
      <c r="D46" s="35" t="s">
        <v>41</v>
      </c>
      <c r="E46" s="35" t="s">
        <v>41</v>
      </c>
      <c r="F46" s="35" t="s">
        <v>41</v>
      </c>
      <c r="G46" s="35" t="s">
        <v>41</v>
      </c>
      <c r="H46" s="44" t="s">
        <v>41</v>
      </c>
      <c r="I46" s="35"/>
      <c r="J46" s="35"/>
      <c r="K46" s="35"/>
      <c r="L46" s="35"/>
      <c r="M46" s="35"/>
      <c r="N46" s="35"/>
      <c r="O46" s="1"/>
      <c r="P46" s="36" t="s">
        <v>83</v>
      </c>
    </row>
    <row r="47" ht="15" customHeight="1">
      <c r="A47" s="1"/>
      <c r="B47" s="43" t="s">
        <v>78</v>
      </c>
      <c r="C47" s="35" t="str">
        <f t="shared" si="16"/>
        <v>n/a</v>
      </c>
      <c r="D47" s="35" t="str">
        <f t="shared" si="16"/>
        <v>n/a</v>
      </c>
      <c r="E47" s="35" t="str">
        <f t="shared" si="16"/>
        <v>n/a</v>
      </c>
      <c r="F47" s="35" t="str">
        <f t="shared" si="16"/>
        <v>n/a</v>
      </c>
      <c r="G47" s="35" t="str">
        <f t="shared" si="16"/>
        <v>n/a</v>
      </c>
      <c r="H47" s="44" t="str">
        <f t="shared" si="16"/>
        <v>n/a</v>
      </c>
      <c r="I47" s="35"/>
      <c r="J47" s="35"/>
      <c r="K47" s="35"/>
      <c r="L47" s="35"/>
      <c r="M47" s="35"/>
      <c r="N47" s="35"/>
      <c r="O47" s="1"/>
      <c r="P47" s="36"/>
    </row>
    <row r="48" ht="15" customHeight="1">
      <c r="A48" s="1"/>
      <c r="B48" s="54" t="s">
        <v>80</v>
      </c>
      <c r="C48" s="45"/>
      <c r="D48" s="45"/>
      <c r="E48" s="50">
        <v>1</v>
      </c>
      <c r="F48" s="50">
        <v>-1</v>
      </c>
      <c r="G48" s="45">
        <f t="shared" si="17"/>
        <v>-1</v>
      </c>
      <c r="H48" s="46"/>
      <c r="I48" s="45"/>
      <c r="J48" s="45"/>
      <c r="K48" s="50">
        <v>1</v>
      </c>
      <c r="L48" s="45"/>
      <c r="M48" s="50">
        <v>-1</v>
      </c>
      <c r="N48" s="45"/>
      <c r="O48" s="1"/>
      <c r="P48" s="36" t="s">
        <v>81</v>
      </c>
    </row>
    <row r="49" ht="15" customHeight="1">
      <c r="A49" s="1"/>
      <c r="B49" s="55" t="s">
        <v>122</v>
      </c>
      <c r="C49" s="51">
        <f t="shared" si="20" ref="C49:N68">C30+C39+C48</f>
        <v>5212</v>
      </c>
      <c r="D49" s="51">
        <f t="shared" si="20"/>
        <v>5532</v>
      </c>
      <c r="E49" s="51">
        <f t="shared" si="20"/>
        <v>5896</v>
      </c>
      <c r="F49" s="51">
        <f t="shared" si="20"/>
        <v>6216</v>
      </c>
      <c r="G49" s="51">
        <f t="shared" si="20"/>
        <v>20679</v>
      </c>
      <c r="H49" s="52">
        <f t="shared" si="20"/>
        <v>6525.8346</v>
      </c>
      <c r="I49" s="51"/>
      <c r="J49" s="51">
        <f t="shared" si="20"/>
        <v>4234</v>
      </c>
      <c r="K49" s="51">
        <f t="shared" si="20"/>
        <v>4585</v>
      </c>
      <c r="L49" s="51">
        <f t="shared" si="20"/>
        <v>4890</v>
      </c>
      <c r="M49" s="51">
        <f t="shared" si="20"/>
        <v>5045</v>
      </c>
      <c r="N49" s="51">
        <f t="shared" si="20"/>
        <v>16601</v>
      </c>
      <c r="O49" s="1"/>
      <c r="P49" s="36"/>
    </row>
    <row r="50" ht="15" customHeight="1">
      <c r="A50" s="1"/>
      <c r="B50" s="43" t="s">
        <v>69</v>
      </c>
      <c r="C50" s="35">
        <f t="shared" si="2"/>
        <v>0.23098724610297583</v>
      </c>
      <c r="D50" s="35">
        <f t="shared" si="2"/>
        <v>0.20654307524536542</v>
      </c>
      <c r="E50" s="35">
        <f t="shared" si="2"/>
        <v>0.20572597137014315</v>
      </c>
      <c r="F50" s="35">
        <f t="shared" si="2"/>
        <v>0.23211100099108029</v>
      </c>
      <c r="G50" s="35">
        <f t="shared" si="2"/>
        <v>0.24564785253900356</v>
      </c>
      <c r="H50" s="44">
        <f t="shared" si="21"/>
        <v>0.2520787797390638</v>
      </c>
      <c r="I50" s="35"/>
      <c r="J50" s="35"/>
      <c r="K50" s="35"/>
      <c r="L50" s="35"/>
      <c r="M50" s="35"/>
      <c r="N50" s="35"/>
      <c r="O50" s="1"/>
      <c r="P50" s="36"/>
    </row>
    <row r="51" ht="15" customHeight="1">
      <c r="A51" s="1"/>
      <c r="B51" s="43" t="s">
        <v>70</v>
      </c>
      <c r="C51" s="45">
        <f t="shared" si="11"/>
        <v>167</v>
      </c>
      <c r="D51" s="45">
        <f t="shared" si="3"/>
        <v>320</v>
      </c>
      <c r="E51" s="45">
        <f t="shared" si="3"/>
        <v>364</v>
      </c>
      <c r="F51" s="45">
        <f t="shared" si="3"/>
        <v>320</v>
      </c>
      <c r="G51" s="45"/>
      <c r="H51" s="46">
        <f t="shared" si="12"/>
        <v>309.83460000000014</v>
      </c>
      <c r="I51" s="45"/>
      <c r="J51" s="45"/>
      <c r="K51" s="45"/>
      <c r="L51" s="45"/>
      <c r="M51" s="45"/>
      <c r="N51" s="45"/>
      <c r="O51" s="1"/>
      <c r="P51" s="36"/>
    </row>
    <row r="52" ht="15" customHeight="1">
      <c r="A52" s="1"/>
      <c r="B52" s="43" t="s">
        <v>71</v>
      </c>
      <c r="C52" s="35">
        <f t="shared" si="13"/>
        <v>0.03310208126858272</v>
      </c>
      <c r="D52" s="35">
        <f t="shared" si="4"/>
        <v>0.06139677666922494</v>
      </c>
      <c r="E52" s="35">
        <f t="shared" si="4"/>
        <v>0.0657989877078815</v>
      </c>
      <c r="F52" s="35">
        <f t="shared" si="4"/>
        <v>0.05427408412483037</v>
      </c>
      <c r="G52" s="35"/>
      <c r="H52" s="44">
        <f t="shared" si="14"/>
        <v>0.04984469111969103</v>
      </c>
      <c r="I52" s="35"/>
      <c r="J52" s="35"/>
      <c r="K52" s="35"/>
      <c r="L52" s="35"/>
      <c r="M52" s="35"/>
      <c r="N52" s="35"/>
      <c r="O52" s="1"/>
      <c r="P52" s="36"/>
    </row>
    <row r="53" ht="15" customHeight="1">
      <c r="A53" s="1"/>
      <c r="B53" s="43" t="s">
        <v>72</v>
      </c>
      <c r="C53" s="34">
        <f>_xlfn.IFERROR(C49/'Revenue summary'!C32,"n/a")</f>
        <v>0.5742617893345086</v>
      </c>
      <c r="D53" s="34">
        <f>_xlfn.IFERROR(D49/'Revenue summary'!D32,"n/a")</f>
        <v>0.5712515489467163</v>
      </c>
      <c r="E53" s="34">
        <f>_xlfn.IFERROR(E49/'Revenue summary'!E32,"n/a")</f>
        <v>0.6170591313448456</v>
      </c>
      <c r="F53" s="34">
        <f>_xlfn.IFERROR(F49/'Revenue summary'!F32,"n/a")</f>
        <v>0.6292771816157117</v>
      </c>
      <c r="G53" s="34">
        <f>_xlfn.IFERROR(G49/'Revenue summary'!G32,"n/a")</f>
        <v>0.561929347826087</v>
      </c>
      <c r="H53" s="49">
        <f>_xlfn.IFERROR(H49/'Revenue summary'!H32,"n/a")</f>
        <v>0.6459176192357795</v>
      </c>
      <c r="I53" s="35"/>
      <c r="J53" s="35"/>
      <c r="K53" s="35"/>
      <c r="L53" s="35"/>
      <c r="M53" s="35"/>
      <c r="N53" s="35"/>
      <c r="O53" s="1"/>
      <c r="P53" s="36"/>
    </row>
    <row r="54" ht="15" customHeight="1">
      <c r="A54" s="1"/>
      <c r="B54" s="43" t="s">
        <v>75</v>
      </c>
      <c r="C54" s="56">
        <v>0.28</v>
      </c>
      <c r="D54" s="56">
        <v>0.27</v>
      </c>
      <c r="E54" s="56">
        <v>0.28</v>
      </c>
      <c r="F54" s="56">
        <v>0.25</v>
      </c>
      <c r="G54" s="56">
        <v>0.28</v>
      </c>
      <c r="H54" s="44">
        <f t="shared" si="19"/>
        <v>0.23968196013768694</v>
      </c>
      <c r="I54" s="35"/>
      <c r="J54" s="35"/>
      <c r="K54" s="35"/>
      <c r="L54" s="35"/>
      <c r="M54" s="35"/>
      <c r="N54" s="35"/>
      <c r="O54" s="1"/>
      <c r="P54" s="36" t="s">
        <v>108</v>
      </c>
    </row>
    <row r="55" ht="15" customHeight="1">
      <c r="A55" s="1"/>
      <c r="B55" s="43" t="s">
        <v>76</v>
      </c>
      <c r="C55" s="35">
        <f t="shared" si="15"/>
        <v>-0.038291213982050154</v>
      </c>
      <c r="D55" s="35">
        <f t="shared" si="15"/>
        <v>-0.04996608248396428</v>
      </c>
      <c r="E55" s="35">
        <f t="shared" si="15"/>
        <v>-0.05802658486707568</v>
      </c>
      <c r="F55" s="35">
        <f t="shared" si="15"/>
        <v>-0.01431119920713575</v>
      </c>
      <c r="G55" s="35">
        <f t="shared" si="15"/>
        <v>-0.026837615203903487</v>
      </c>
      <c r="H55" s="44">
        <f>H77</f>
        <v>0.009999999999999998</v>
      </c>
      <c r="I55" s="35"/>
      <c r="J55" s="35"/>
      <c r="K55" s="35"/>
      <c r="L55" s="35"/>
      <c r="M55" s="35"/>
      <c r="N55" s="35"/>
      <c r="O55" s="1"/>
      <c r="P55" s="36"/>
    </row>
    <row r="56" ht="15" customHeight="1">
      <c r="A56" s="1"/>
      <c r="B56" s="43" t="s">
        <v>77</v>
      </c>
      <c r="C56" s="35" t="s">
        <v>41</v>
      </c>
      <c r="D56" s="35" t="s">
        <v>41</v>
      </c>
      <c r="E56" s="35" t="s">
        <v>41</v>
      </c>
      <c r="F56" s="35" t="s">
        <v>41</v>
      </c>
      <c r="G56" s="35" t="s">
        <v>41</v>
      </c>
      <c r="H56" s="44" t="s">
        <v>41</v>
      </c>
      <c r="I56" s="35"/>
      <c r="J56" s="35"/>
      <c r="K56" s="35"/>
      <c r="L56" s="35"/>
      <c r="M56" s="35"/>
      <c r="N56" s="35"/>
      <c r="O56" s="1"/>
      <c r="P56" s="36" t="s">
        <v>83</v>
      </c>
    </row>
    <row r="57" ht="15" customHeight="1">
      <c r="A57" s="1"/>
      <c r="B57" s="43" t="s">
        <v>78</v>
      </c>
      <c r="C57" s="35" t="str">
        <f t="shared" si="16"/>
        <v>n/a</v>
      </c>
      <c r="D57" s="35" t="str">
        <f t="shared" si="16"/>
        <v>n/a</v>
      </c>
      <c r="E57" s="35" t="str">
        <f t="shared" si="16"/>
        <v>n/a</v>
      </c>
      <c r="F57" s="35" t="str">
        <f t="shared" si="16"/>
        <v>n/a</v>
      </c>
      <c r="G57" s="35" t="str">
        <f t="shared" si="16"/>
        <v>n/a</v>
      </c>
      <c r="H57" s="44" t="str">
        <f t="shared" si="16"/>
        <v>n/a</v>
      </c>
      <c r="I57" s="35"/>
      <c r="J57" s="35"/>
      <c r="K57" s="35"/>
      <c r="L57" s="35"/>
      <c r="M57" s="35"/>
      <c r="N57" s="35"/>
      <c r="O57" s="1"/>
      <c r="P57" s="36"/>
    </row>
    <row r="58" ht="15" customHeight="1">
      <c r="A58" s="1"/>
      <c r="B58" s="41" t="s">
        <v>123</v>
      </c>
      <c r="C58" s="61">
        <v>78</v>
      </c>
      <c r="D58" s="61">
        <v>78</v>
      </c>
      <c r="E58" s="61">
        <v>66</v>
      </c>
      <c r="F58" s="61">
        <v>65</v>
      </c>
      <c r="G58" s="21">
        <f t="shared" si="17"/>
        <v>345</v>
      </c>
      <c r="H58" s="59">
        <f t="shared" si="18"/>
        <v>63.96000000000001</v>
      </c>
      <c r="I58" s="21"/>
      <c r="J58" s="61">
        <v>117</v>
      </c>
      <c r="K58" s="61">
        <v>123</v>
      </c>
      <c r="L58" s="61">
        <v>104</v>
      </c>
      <c r="M58" s="61">
        <v>85</v>
      </c>
      <c r="N58" s="61">
        <v>540</v>
      </c>
      <c r="O58" s="1"/>
      <c r="P58" s="36"/>
    </row>
    <row r="59" ht="15" customHeight="1">
      <c r="A59" s="1"/>
      <c r="B59" s="43" t="s">
        <v>69</v>
      </c>
      <c r="C59" s="35">
        <f t="shared" si="2"/>
        <v>-0.33333333333333337</v>
      </c>
      <c r="D59" s="35">
        <f t="shared" si="2"/>
        <v>-0.36585365853658536</v>
      </c>
      <c r="E59" s="35">
        <f t="shared" si="2"/>
        <v>-0.3653846153846154</v>
      </c>
      <c r="F59" s="35">
        <f t="shared" si="2"/>
        <v>-0.23529411764705888</v>
      </c>
      <c r="G59" s="35">
        <f t="shared" si="2"/>
        <v>-0.36111111111111116</v>
      </c>
      <c r="H59" s="57">
        <v>-0.18</v>
      </c>
      <c r="I59" s="35"/>
      <c r="J59" s="35"/>
      <c r="K59" s="35"/>
      <c r="L59" s="35"/>
      <c r="M59" s="35"/>
      <c r="N59" s="35"/>
      <c r="O59" s="1"/>
      <c r="P59" s="36"/>
    </row>
    <row r="60" ht="15" customHeight="1">
      <c r="A60" s="1"/>
      <c r="B60" s="43" t="s">
        <v>70</v>
      </c>
      <c r="C60" s="45">
        <f t="shared" si="11"/>
        <v>-7</v>
      </c>
      <c r="D60" s="45">
        <f t="shared" si="3"/>
        <v>0</v>
      </c>
      <c r="E60" s="45">
        <f t="shared" si="3"/>
        <v>-12</v>
      </c>
      <c r="F60" s="45">
        <f t="shared" si="3"/>
        <v>-1</v>
      </c>
      <c r="G60" s="45"/>
      <c r="H60" s="46">
        <f t="shared" si="12"/>
        <v>-1.039999999999992</v>
      </c>
      <c r="I60" s="45"/>
      <c r="J60" s="45"/>
      <c r="K60" s="45"/>
      <c r="L60" s="45"/>
      <c r="M60" s="45"/>
      <c r="N60" s="45"/>
      <c r="O60" s="1"/>
      <c r="P60" s="36"/>
    </row>
    <row r="61" ht="15" customHeight="1">
      <c r="A61" s="1"/>
      <c r="B61" s="43" t="s">
        <v>71</v>
      </c>
      <c r="C61" s="35">
        <f t="shared" si="13"/>
        <v>-0.08235294117647063</v>
      </c>
      <c r="D61" s="35">
        <f t="shared" si="4"/>
        <v>0</v>
      </c>
      <c r="E61" s="35">
        <f t="shared" si="4"/>
        <v>-0.15384615384615385</v>
      </c>
      <c r="F61" s="35">
        <f t="shared" si="4"/>
        <v>-0.015151515151515138</v>
      </c>
      <c r="G61" s="35"/>
      <c r="H61" s="44">
        <f t="shared" si="14"/>
        <v>-0.015999999999999903</v>
      </c>
      <c r="I61" s="35"/>
      <c r="J61" s="35"/>
      <c r="K61" s="35"/>
      <c r="L61" s="35"/>
      <c r="M61" s="35"/>
      <c r="N61" s="35"/>
      <c r="O61" s="1"/>
      <c r="P61" s="36"/>
    </row>
    <row r="62" ht="15" customHeight="1">
      <c r="A62" s="1"/>
      <c r="B62" s="43" t="s">
        <v>72</v>
      </c>
      <c r="C62" s="34">
        <f>_xlfn.IFERROR(C58/'Revenue summary'!C32,"n/a")</f>
        <v>0.008594094314676068</v>
      </c>
      <c r="D62" s="34">
        <f>_xlfn.IFERROR(D58/'Revenue summary'!D32,"n/a")</f>
        <v>0.0080545229244114</v>
      </c>
      <c r="E62" s="34">
        <f>_xlfn.IFERROR(E58/'Revenue summary'!E32,"n/a")</f>
        <v>0.006907378335949764</v>
      </c>
      <c r="F62" s="34">
        <f>_xlfn.IFERROR(F58/'Revenue summary'!F32,"n/a")</f>
        <v>0.006580279408787204</v>
      </c>
      <c r="G62" s="34">
        <f>_xlfn.IFERROR(G58/'Revenue summary'!G32,"n/a")</f>
        <v>0.009375</v>
      </c>
      <c r="H62" s="49">
        <f>_xlfn.IFERROR(H58/'Revenue summary'!H32,"n/a")</f>
        <v>0.006330667793253673</v>
      </c>
      <c r="I62" s="35"/>
      <c r="J62" s="35"/>
      <c r="K62" s="35"/>
      <c r="L62" s="35"/>
      <c r="M62" s="35"/>
      <c r="N62" s="35"/>
      <c r="O62" s="1"/>
      <c r="P62" s="36"/>
    </row>
    <row r="63" ht="15" customHeight="1">
      <c r="A63" s="1"/>
      <c r="B63" s="43" t="s">
        <v>75</v>
      </c>
      <c r="C63" s="56">
        <v>-0.31</v>
      </c>
      <c r="D63" s="56">
        <v>-0.33</v>
      </c>
      <c r="E63" s="56">
        <v>-0.32</v>
      </c>
      <c r="F63" s="56">
        <v>-0.22</v>
      </c>
      <c r="G63" s="56">
        <v>-0.34</v>
      </c>
      <c r="H63" s="44">
        <f t="shared" si="19"/>
        <v>-0.18811881188118806</v>
      </c>
      <c r="I63" s="35"/>
      <c r="J63" s="35"/>
      <c r="K63" s="35"/>
      <c r="L63" s="35"/>
      <c r="M63" s="35"/>
      <c r="N63" s="35"/>
      <c r="O63" s="1"/>
      <c r="P63" s="36" t="s">
        <v>108</v>
      </c>
    </row>
    <row r="64" ht="15" customHeight="1">
      <c r="A64" s="1"/>
      <c r="B64" s="43" t="s">
        <v>76</v>
      </c>
      <c r="C64" s="35">
        <f t="shared" si="15"/>
        <v>-0.033816425120772875</v>
      </c>
      <c r="D64" s="35">
        <f t="shared" si="15"/>
        <v>-0.0535129231889333</v>
      </c>
      <c r="E64" s="35">
        <f t="shared" si="15"/>
        <v>-0.06674208144796379</v>
      </c>
      <c r="F64" s="35">
        <f t="shared" si="15"/>
        <v>-0.019607843137255054</v>
      </c>
      <c r="G64" s="35">
        <f t="shared" si="15"/>
        <v>-0.031986531986531896</v>
      </c>
      <c r="H64" s="44">
        <f>H77</f>
        <v>0.009999999999999998</v>
      </c>
      <c r="I64" s="35"/>
      <c r="J64" s="35"/>
      <c r="K64" s="35"/>
      <c r="L64" s="35"/>
      <c r="M64" s="35"/>
      <c r="N64" s="35"/>
      <c r="O64" s="1"/>
      <c r="P64" s="36"/>
    </row>
    <row r="65" ht="15" customHeight="1">
      <c r="A65" s="1"/>
      <c r="B65" s="43" t="s">
        <v>77</v>
      </c>
      <c r="C65" s="35" t="s">
        <v>41</v>
      </c>
      <c r="D65" s="35" t="s">
        <v>41</v>
      </c>
      <c r="E65" s="35" t="s">
        <v>41</v>
      </c>
      <c r="F65" s="35" t="s">
        <v>41</v>
      </c>
      <c r="G65" s="35" t="s">
        <v>41</v>
      </c>
      <c r="H65" s="44" t="s">
        <v>41</v>
      </c>
      <c r="I65" s="35"/>
      <c r="J65" s="35"/>
      <c r="K65" s="35"/>
      <c r="L65" s="35"/>
      <c r="M65" s="35"/>
      <c r="N65" s="35"/>
      <c r="O65" s="1"/>
      <c r="P65" s="36" t="s">
        <v>83</v>
      </c>
    </row>
    <row r="66" ht="15" customHeight="1">
      <c r="A66" s="1"/>
      <c r="B66" s="43" t="s">
        <v>78</v>
      </c>
      <c r="C66" s="35" t="str">
        <f t="shared" si="16"/>
        <v>n/a</v>
      </c>
      <c r="D66" s="35" t="str">
        <f t="shared" si="16"/>
        <v>n/a</v>
      </c>
      <c r="E66" s="35" t="str">
        <f t="shared" si="16"/>
        <v>n/a</v>
      </c>
      <c r="F66" s="35" t="str">
        <f t="shared" si="16"/>
        <v>n/a</v>
      </c>
      <c r="G66" s="35" t="str">
        <f t="shared" si="16"/>
        <v>n/a</v>
      </c>
      <c r="H66" s="44" t="str">
        <f t="shared" si="16"/>
        <v>n/a</v>
      </c>
      <c r="I66" s="35"/>
      <c r="J66" s="35"/>
      <c r="K66" s="35"/>
      <c r="L66" s="35"/>
      <c r="M66" s="35"/>
      <c r="N66" s="35"/>
      <c r="O66" s="1"/>
      <c r="P66" s="36"/>
    </row>
    <row r="67" ht="15" customHeight="1">
      <c r="A67" s="1"/>
      <c r="B67" s="43" t="s">
        <v>80</v>
      </c>
      <c r="C67" s="45"/>
      <c r="D67" s="45"/>
      <c r="E67" s="45"/>
      <c r="F67" s="45"/>
      <c r="G67" s="45">
        <f t="shared" si="17"/>
        <v>-1</v>
      </c>
      <c r="H67" s="46"/>
      <c r="I67" s="45"/>
      <c r="J67" s="45"/>
      <c r="K67" s="45"/>
      <c r="L67" s="50">
        <v>-1</v>
      </c>
      <c r="M67" s="45"/>
      <c r="N67" s="45"/>
      <c r="O67" s="1"/>
      <c r="P67" s="36" t="s">
        <v>81</v>
      </c>
    </row>
    <row r="68" ht="15" customHeight="1">
      <c r="A68" s="1"/>
      <c r="B68" s="25" t="s">
        <v>124</v>
      </c>
      <c r="C68" s="51">
        <f t="shared" si="20"/>
        <v>5290</v>
      </c>
      <c r="D68" s="51">
        <f t="shared" si="20"/>
        <v>5610</v>
      </c>
      <c r="E68" s="51">
        <f t="shared" si="20"/>
        <v>5962</v>
      </c>
      <c r="F68" s="51">
        <f t="shared" si="20"/>
        <v>6281</v>
      </c>
      <c r="G68" s="51">
        <f t="shared" si="20"/>
        <v>21023</v>
      </c>
      <c r="H68" s="52">
        <f>H11*H25</f>
        <v>6589.7946</v>
      </c>
      <c r="I68" s="51"/>
      <c r="J68" s="51">
        <f t="shared" si="20"/>
        <v>4351</v>
      </c>
      <c r="K68" s="51">
        <f t="shared" si="20"/>
        <v>4708</v>
      </c>
      <c r="L68" s="51">
        <f t="shared" si="20"/>
        <v>4993</v>
      </c>
      <c r="M68" s="51">
        <f t="shared" si="20"/>
        <v>5130</v>
      </c>
      <c r="N68" s="51">
        <f t="shared" si="20"/>
        <v>17141</v>
      </c>
      <c r="O68" s="1"/>
      <c r="P68" s="36" t="s">
        <v>125</v>
      </c>
    </row>
    <row r="69" ht="15" customHeight="1">
      <c r="A69" s="1"/>
      <c r="B69" s="43" t="s">
        <v>69</v>
      </c>
      <c r="C69" s="35">
        <f t="shared" si="2"/>
        <v>0.21581245690645834</v>
      </c>
      <c r="D69" s="35">
        <f t="shared" si="2"/>
        <v>0.19158878504672905</v>
      </c>
      <c r="E69" s="35">
        <f t="shared" si="2"/>
        <v>0.19407170038053279</v>
      </c>
      <c r="F69" s="35">
        <f t="shared" si="2"/>
        <v>0.22436647173489277</v>
      </c>
      <c r="G69" s="35">
        <f t="shared" si="2"/>
        <v>0.22647453474126356</v>
      </c>
      <c r="H69" s="44">
        <f t="shared" si="21"/>
        <v>0.2457078638941399</v>
      </c>
      <c r="I69" s="35"/>
      <c r="J69" s="35"/>
      <c r="K69" s="35"/>
      <c r="L69" s="35"/>
      <c r="M69" s="35"/>
      <c r="N69" s="35"/>
      <c r="O69" s="1"/>
      <c r="P69" s="36"/>
    </row>
    <row r="70" ht="15" customHeight="1">
      <c r="A70" s="1"/>
      <c r="B70" s="43" t="s">
        <v>70</v>
      </c>
      <c r="C70" s="45">
        <f t="shared" si="11"/>
        <v>160</v>
      </c>
      <c r="D70" s="45">
        <f t="shared" si="3"/>
        <v>320</v>
      </c>
      <c r="E70" s="45">
        <f t="shared" si="3"/>
        <v>352</v>
      </c>
      <c r="F70" s="45">
        <f t="shared" si="3"/>
        <v>319</v>
      </c>
      <c r="G70" s="45"/>
      <c r="H70" s="46">
        <f t="shared" si="12"/>
        <v>308.7946000000002</v>
      </c>
      <c r="I70" s="45"/>
      <c r="J70" s="45"/>
      <c r="K70" s="45"/>
      <c r="L70" s="45"/>
      <c r="M70" s="45"/>
      <c r="N70" s="45"/>
      <c r="O70" s="1"/>
      <c r="P70" s="36"/>
    </row>
    <row r="71" ht="15" customHeight="1">
      <c r="A71" s="1"/>
      <c r="B71" s="43" t="s">
        <v>71</v>
      </c>
      <c r="C71" s="35">
        <f t="shared" si="13"/>
        <v>0.031189083820662766</v>
      </c>
      <c r="D71" s="35">
        <f t="shared" si="4"/>
        <v>0.06049149338374282</v>
      </c>
      <c r="E71" s="35">
        <f t="shared" si="4"/>
        <v>0.06274509803921569</v>
      </c>
      <c r="F71" s="35">
        <f t="shared" si="4"/>
        <v>0.053505535055350606</v>
      </c>
      <c r="G71" s="35"/>
      <c r="H71" s="44">
        <f t="shared" si="14"/>
        <v>0.04916328610093945</v>
      </c>
      <c r="I71" s="35"/>
      <c r="J71" s="35"/>
      <c r="K71" s="35"/>
      <c r="L71" s="35"/>
      <c r="M71" s="35"/>
      <c r="N71" s="35"/>
      <c r="O71" s="1"/>
      <c r="P71" s="36"/>
    </row>
    <row r="72" ht="15" customHeight="1">
      <c r="A72" s="1"/>
      <c r="B72" s="43" t="s">
        <v>72</v>
      </c>
      <c r="C72" s="34">
        <f>_xlfn.IFERROR(C68/'Revenue summary'!C32,"n/a")</f>
        <v>0.5828558836491846</v>
      </c>
      <c r="D72" s="34">
        <f>_xlfn.IFERROR(D68/'Revenue summary'!D32,"n/a")</f>
        <v>0.5793060718711276</v>
      </c>
      <c r="E72" s="34">
        <f>_xlfn.IFERROR(E68/'Revenue summary'!E32,"n/a")</f>
        <v>0.6239665096807954</v>
      </c>
      <c r="F72" s="34">
        <f>_xlfn.IFERROR(F68/'Revenue summary'!F32,"n/a")</f>
        <v>0.6358574610244989</v>
      </c>
      <c r="G72" s="34">
        <f>_xlfn.IFERROR(G68/'Revenue summary'!G32,"n/a")</f>
        <v>0.5712771739130434</v>
      </c>
      <c r="H72" s="49">
        <f>_xlfn.IFERROR(H68/'Revenue summary'!H32,"n/a")</f>
        <v>0.6522482870290333</v>
      </c>
      <c r="I72" s="35"/>
      <c r="J72" s="35"/>
      <c r="K72" s="35"/>
      <c r="L72" s="35"/>
      <c r="M72" s="35"/>
      <c r="N72" s="35"/>
      <c r="O72" s="1"/>
      <c r="P72" s="36"/>
    </row>
    <row r="73" ht="15" customHeight="1">
      <c r="A73" s="1"/>
      <c r="B73" s="43" t="s">
        <v>126</v>
      </c>
      <c r="C73" s="45" t="s">
        <v>41</v>
      </c>
      <c r="D73" s="50">
        <v>20</v>
      </c>
      <c r="E73" s="45" t="s">
        <v>41</v>
      </c>
      <c r="F73" s="45" t="s">
        <v>41</v>
      </c>
      <c r="G73" s="45" t="s">
        <v>41</v>
      </c>
      <c r="H73" s="64">
        <v>60</v>
      </c>
      <c r="I73" s="45"/>
      <c r="J73" s="45"/>
      <c r="K73" s="45"/>
      <c r="L73" s="45"/>
      <c r="M73" s="45"/>
      <c r="N73" s="45"/>
      <c r="O73" s="1"/>
      <c r="P73" s="36" t="s">
        <v>127</v>
      </c>
    </row>
    <row r="74" ht="15" customHeight="1">
      <c r="A74" s="1"/>
      <c r="B74" s="43" t="s">
        <v>128</v>
      </c>
      <c r="C74" s="35"/>
      <c r="D74" s="35"/>
      <c r="E74" s="35"/>
      <c r="F74" s="35"/>
      <c r="G74" s="35"/>
      <c r="H74" s="57">
        <v>-0.005</v>
      </c>
      <c r="I74" s="35"/>
      <c r="J74" s="35"/>
      <c r="K74" s="35"/>
      <c r="L74" s="35"/>
      <c r="M74" s="35"/>
      <c r="N74" s="35"/>
      <c r="O74" s="1"/>
      <c r="P74" s="36" t="s">
        <v>129</v>
      </c>
    </row>
    <row r="75" ht="15" customHeight="1">
      <c r="A75" s="1"/>
      <c r="B75" s="43" t="s">
        <v>73</v>
      </c>
      <c r="C75" s="50">
        <v>214</v>
      </c>
      <c r="D75" s="50">
        <v>313</v>
      </c>
      <c r="E75" s="50">
        <v>364</v>
      </c>
      <c r="F75" s="50">
        <v>100</v>
      </c>
      <c r="G75" s="50">
        <v>637</v>
      </c>
      <c r="H75" s="46">
        <f>H68/(1+H77)-H68</f>
        <v>-65.24549108910924</v>
      </c>
      <c r="I75" s="45"/>
      <c r="J75" s="45"/>
      <c r="K75" s="45"/>
      <c r="L75" s="45"/>
      <c r="M75" s="45"/>
      <c r="N75" s="45"/>
      <c r="O75" s="1"/>
      <c r="P75" s="36" t="s">
        <v>82</v>
      </c>
    </row>
    <row r="76" ht="15" customHeight="1">
      <c r="A76" s="1"/>
      <c r="B76" s="43" t="s">
        <v>75</v>
      </c>
      <c r="C76" s="35">
        <f t="shared" si="22" ref="C76:G76">_xlfn.IFERROR((C68+C75)/J68-1,"n/a")</f>
        <v>0.2649965525166629</v>
      </c>
      <c r="D76" s="35">
        <f t="shared" si="22"/>
        <v>0.25807136788445195</v>
      </c>
      <c r="E76" s="35">
        <f t="shared" si="22"/>
        <v>0.266973763268576</v>
      </c>
      <c r="F76" s="35">
        <f t="shared" si="22"/>
        <v>0.2438596491228071</v>
      </c>
      <c r="G76" s="35">
        <f t="shared" si="22"/>
        <v>0.26363689399684964</v>
      </c>
      <c r="H76" s="44">
        <f>_xlfn.IFERROR((H68+H75)/C68-1,"n/a")</f>
        <v>0.23337412266746527</v>
      </c>
      <c r="I76" s="35"/>
      <c r="J76" s="35"/>
      <c r="K76" s="35"/>
      <c r="L76" s="35"/>
      <c r="M76" s="35"/>
      <c r="N76" s="35"/>
      <c r="O76" s="1"/>
      <c r="P76" s="36"/>
    </row>
    <row r="77" ht="15" customHeight="1">
      <c r="A77" s="1"/>
      <c r="B77" s="43" t="s">
        <v>76</v>
      </c>
      <c r="C77" s="35">
        <f t="shared" si="23" ref="C77:G77">_xlfn.IFERROR((1+C69)/(1+C76)-1,"n/a")</f>
        <v>-0.03888081395348841</v>
      </c>
      <c r="D77" s="35">
        <f t="shared" si="23"/>
        <v>-0.05284484214080698</v>
      </c>
      <c r="E77" s="35">
        <f t="shared" si="23"/>
        <v>-0.05754030983243752</v>
      </c>
      <c r="F77" s="35">
        <f t="shared" si="23"/>
        <v>-0.015671524839366957</v>
      </c>
      <c r="G77" s="35">
        <f t="shared" si="23"/>
        <v>-0.029409048938134896</v>
      </c>
      <c r="H77" s="49">
        <f>Guidance!G28+H74</f>
        <v>0.009999999999999998</v>
      </c>
      <c r="I77" s="35"/>
      <c r="J77" s="35"/>
      <c r="K77" s="35"/>
      <c r="L77" s="35"/>
      <c r="M77" s="35"/>
      <c r="N77" s="35"/>
      <c r="O77" s="1"/>
      <c r="P77" s="36" t="s">
        <v>109</v>
      </c>
    </row>
    <row r="78" ht="15" customHeight="1">
      <c r="A78" s="1"/>
      <c r="B78" s="43" t="s">
        <v>77</v>
      </c>
      <c r="C78" s="35" t="s">
        <v>41</v>
      </c>
      <c r="D78" s="35">
        <f>D73/K68</f>
        <v>0.004248088360237893</v>
      </c>
      <c r="E78" s="35" t="s">
        <v>41</v>
      </c>
      <c r="F78" s="35" t="s">
        <v>41</v>
      </c>
      <c r="G78" s="35" t="s">
        <v>41</v>
      </c>
      <c r="H78" s="44">
        <f>H73/C68</f>
        <v>0.011342155009451797</v>
      </c>
      <c r="I78" s="35"/>
      <c r="J78" s="35"/>
      <c r="K78" s="35"/>
      <c r="L78" s="35"/>
      <c r="M78" s="35"/>
      <c r="N78" s="35"/>
      <c r="O78" s="1"/>
      <c r="P78" s="36" t="s">
        <v>83</v>
      </c>
    </row>
    <row r="79" ht="15" customHeight="1">
      <c r="A79" s="1"/>
      <c r="B79" s="43" t="s">
        <v>78</v>
      </c>
      <c r="C79" s="35" t="str">
        <f t="shared" si="24" ref="C79:H79">IF(AND(ISNUMBER(C78),ISNUMBER(C77),ISNUMBER(C69)),(1+C69)/((1+C78)*(1+C77))-1,"n/a")</f>
        <v>n/a</v>
      </c>
      <c r="D79" s="35">
        <f t="shared" si="24"/>
        <v>0.2527495769881558</v>
      </c>
      <c r="E79" s="35" t="str">
        <f t="shared" si="24"/>
        <v>n/a</v>
      </c>
      <c r="F79" s="35" t="str">
        <f t="shared" si="24"/>
        <v>n/a</v>
      </c>
      <c r="G79" s="35" t="str">
        <f t="shared" si="24"/>
        <v>n/a</v>
      </c>
      <c r="H79" s="44">
        <f t="shared" si="24"/>
        <v>0.21954188951605436</v>
      </c>
      <c r="I79" s="35"/>
      <c r="J79" s="35"/>
      <c r="K79" s="35"/>
      <c r="L79" s="35"/>
      <c r="M79" s="35"/>
      <c r="N79" s="35"/>
      <c r="O79" s="1"/>
      <c r="P79" s="36"/>
    </row>
    <row r="80" ht="15" customHeight="1">
      <c r="A80" s="1"/>
      <c r="B80" s="41" t="s">
        <v>86</v>
      </c>
      <c r="C80" s="61">
        <v>161</v>
      </c>
      <c r="D80" s="61">
        <v>452</v>
      </c>
      <c r="E80" s="61">
        <v>116</v>
      </c>
      <c r="F80" s="61">
        <v>131</v>
      </c>
      <c r="G80" s="21">
        <f t="shared" si="17"/>
        <v>990</v>
      </c>
      <c r="H80" s="59">
        <f t="shared" si="18"/>
        <v>115.92</v>
      </c>
      <c r="I80" s="21"/>
      <c r="J80" s="61">
        <v>285</v>
      </c>
      <c r="K80" s="61">
        <v>683</v>
      </c>
      <c r="L80" s="61">
        <v>183</v>
      </c>
      <c r="M80" s="61">
        <v>194</v>
      </c>
      <c r="N80" s="61">
        <v>1399</v>
      </c>
      <c r="O80" s="1"/>
      <c r="P80" s="36"/>
    </row>
    <row r="81" ht="15" customHeight="1">
      <c r="A81" s="1"/>
      <c r="B81" s="43" t="s">
        <v>69</v>
      </c>
      <c r="C81" s="35">
        <f t="shared" si="2"/>
        <v>-0.43508771929824563</v>
      </c>
      <c r="D81" s="35">
        <f t="shared" si="2"/>
        <v>-0.33821376281112736</v>
      </c>
      <c r="E81" s="35">
        <f t="shared" si="2"/>
        <v>-0.36612021857923494</v>
      </c>
      <c r="F81" s="35">
        <f t="shared" si="2"/>
        <v>-0.32474226804123707</v>
      </c>
      <c r="G81" s="35">
        <f t="shared" si="2"/>
        <v>-0.2923516797712652</v>
      </c>
      <c r="H81" s="57">
        <v>-0.28</v>
      </c>
      <c r="I81" s="35"/>
      <c r="J81" s="35"/>
      <c r="K81" s="35"/>
      <c r="L81" s="35"/>
      <c r="M81" s="35"/>
      <c r="N81" s="35"/>
      <c r="O81" s="1"/>
      <c r="P81" s="36"/>
    </row>
    <row r="82" ht="15" customHeight="1">
      <c r="A82" s="1"/>
      <c r="B82" s="43" t="s">
        <v>70</v>
      </c>
      <c r="C82" s="45">
        <f t="shared" si="11"/>
        <v>-33</v>
      </c>
      <c r="D82" s="45">
        <f t="shared" si="3"/>
        <v>291</v>
      </c>
      <c r="E82" s="45">
        <f t="shared" si="3"/>
        <v>-336</v>
      </c>
      <c r="F82" s="45">
        <f t="shared" si="3"/>
        <v>15</v>
      </c>
      <c r="G82" s="45"/>
      <c r="H82" s="46">
        <f t="shared" si="12"/>
        <v>-15.079999999999998</v>
      </c>
      <c r="I82" s="45"/>
      <c r="J82" s="45"/>
      <c r="K82" s="45"/>
      <c r="L82" s="45"/>
      <c r="M82" s="45"/>
      <c r="N82" s="45"/>
      <c r="O82" s="1"/>
      <c r="P82" s="36"/>
    </row>
    <row r="83" ht="15" customHeight="1">
      <c r="A83" s="1"/>
      <c r="B83" s="43" t="s">
        <v>71</v>
      </c>
      <c r="C83" s="35">
        <f t="shared" si="13"/>
        <v>-0.1701030927835051</v>
      </c>
      <c r="D83" s="35">
        <f t="shared" si="4"/>
        <v>1.8074534161490683</v>
      </c>
      <c r="E83" s="35">
        <f t="shared" si="4"/>
        <v>-0.7433628318584071</v>
      </c>
      <c r="F83" s="35">
        <f t="shared" si="4"/>
        <v>0.1293103448275863</v>
      </c>
      <c r="G83" s="35"/>
      <c r="H83" s="44">
        <f t="shared" si="14"/>
        <v>-0.11511450381679389</v>
      </c>
      <c r="I83" s="35"/>
      <c r="J83" s="35"/>
      <c r="K83" s="35"/>
      <c r="L83" s="35"/>
      <c r="M83" s="35"/>
      <c r="N83" s="35"/>
      <c r="O83" s="1"/>
      <c r="P83" s="36"/>
    </row>
    <row r="84" ht="15" customHeight="1">
      <c r="A84" s="1"/>
      <c r="B84" s="43" t="s">
        <v>72</v>
      </c>
      <c r="C84" s="34">
        <f>_xlfn.IFERROR(C80/'Revenue summary'!C32,"n/a")</f>
        <v>0.017739092111062144</v>
      </c>
      <c r="D84" s="34">
        <f>_xlfn.IFERROR(D80/'Revenue summary'!D32,"n/a")</f>
        <v>0.04667492771581991</v>
      </c>
      <c r="E84" s="34">
        <f>_xlfn.IFERROR(E80/'Revenue summary'!E32,"n/a")</f>
        <v>0.012140240711669283</v>
      </c>
      <c r="F84" s="34">
        <f>_xlfn.IFERROR(F80/'Revenue summary'!F32,"n/a")</f>
        <v>0.013261793885401904</v>
      </c>
      <c r="G84" s="34">
        <f>_xlfn.IFERROR(G80/'Revenue summary'!G32,"n/a")</f>
        <v>0.02690217391304348</v>
      </c>
      <c r="H84" s="49">
        <f>_xlfn.IFERROR(H80/'Revenue summary'!H32,"n/a")</f>
        <v>0.011473593036178325</v>
      </c>
      <c r="I84" s="35"/>
      <c r="J84" s="35"/>
      <c r="K84" s="35"/>
      <c r="L84" s="35"/>
      <c r="M84" s="35"/>
      <c r="N84" s="35"/>
      <c r="O84" s="1"/>
      <c r="P84" s="36"/>
    </row>
    <row r="85" ht="15" customHeight="1">
      <c r="A85" s="1"/>
      <c r="B85" s="43" t="s">
        <v>73</v>
      </c>
      <c r="C85" s="50">
        <v>4</v>
      </c>
      <c r="D85" s="50">
        <v>22</v>
      </c>
      <c r="E85" s="50">
        <v>6</v>
      </c>
      <c r="F85" s="50">
        <v>1</v>
      </c>
      <c r="G85" s="50">
        <v>31</v>
      </c>
      <c r="H85" s="46">
        <f t="shared" si="28" ref="H85:H127">H80/(1+H87)-H80</f>
        <v>-0.9200000000000017</v>
      </c>
      <c r="I85" s="45"/>
      <c r="J85" s="45"/>
      <c r="K85" s="45"/>
      <c r="L85" s="45"/>
      <c r="M85" s="45"/>
      <c r="N85" s="45"/>
      <c r="O85" s="1"/>
      <c r="P85" s="36" t="s">
        <v>82</v>
      </c>
    </row>
    <row r="86" ht="15" customHeight="1">
      <c r="A86" s="1"/>
      <c r="B86" s="43" t="s">
        <v>75</v>
      </c>
      <c r="C86" s="35">
        <f t="shared" si="25" ref="C86:G139">_xlfn.IFERROR((C80+C85)/J80-1,"n/a")</f>
        <v>-0.42105263157894735</v>
      </c>
      <c r="D86" s="35">
        <f t="shared" si="25"/>
        <v>-0.3060029282576867</v>
      </c>
      <c r="E86" s="35">
        <f t="shared" si="25"/>
        <v>-0.33333333333333337</v>
      </c>
      <c r="F86" s="35">
        <f t="shared" si="25"/>
        <v>-0.31958762886597936</v>
      </c>
      <c r="G86" s="35">
        <f t="shared" si="25"/>
        <v>-0.270192994996426</v>
      </c>
      <c r="H86" s="44">
        <f t="shared" si="29" ref="H86:H139">_xlfn.IFERROR((H80+H85)/C80-1,"n/a")</f>
        <v>-0.2857142857142857</v>
      </c>
      <c r="I86" s="35"/>
      <c r="J86" s="35"/>
      <c r="K86" s="35"/>
      <c r="L86" s="35"/>
      <c r="M86" s="35"/>
      <c r="N86" s="35"/>
      <c r="O86" s="1"/>
      <c r="P86" s="36"/>
    </row>
    <row r="87" ht="15" customHeight="1">
      <c r="A87" s="1"/>
      <c r="B87" s="43" t="s">
        <v>76</v>
      </c>
      <c r="C87" s="35">
        <f t="shared" si="26" ref="C87:H140">_xlfn.IFERROR((1+C81)/(1+C86)-1,"n/a")</f>
        <v>-0.024242424242424288</v>
      </c>
      <c r="D87" s="35">
        <f t="shared" si="26"/>
        <v>-0.04641350210970452</v>
      </c>
      <c r="E87" s="35">
        <f t="shared" si="26"/>
        <v>-0.0491803278688524</v>
      </c>
      <c r="F87" s="35">
        <f t="shared" si="26"/>
        <v>-0.007575757575757569</v>
      </c>
      <c r="G87" s="35">
        <f t="shared" si="26"/>
        <v>-0.03036238981390793</v>
      </c>
      <c r="H87" s="57">
        <v>0.008</v>
      </c>
      <c r="I87" s="35"/>
      <c r="J87" s="35"/>
      <c r="K87" s="35"/>
      <c r="L87" s="35"/>
      <c r="M87" s="35"/>
      <c r="N87" s="35"/>
      <c r="O87" s="1"/>
      <c r="P87" s="36" t="s">
        <v>109</v>
      </c>
    </row>
    <row r="88" ht="15" customHeight="1">
      <c r="A88" s="1"/>
      <c r="B88" s="43" t="s">
        <v>77</v>
      </c>
      <c r="C88" s="35" t="s">
        <v>41</v>
      </c>
      <c r="D88" s="56">
        <v>0</v>
      </c>
      <c r="E88" s="35" t="s">
        <v>41</v>
      </c>
      <c r="F88" s="35" t="s">
        <v>41</v>
      </c>
      <c r="G88" s="35" t="s">
        <v>41</v>
      </c>
      <c r="H88" s="57">
        <v>0</v>
      </c>
      <c r="I88" s="35"/>
      <c r="J88" s="35"/>
      <c r="K88" s="35"/>
      <c r="L88" s="35"/>
      <c r="M88" s="35"/>
      <c r="N88" s="35"/>
      <c r="O88" s="1"/>
      <c r="P88" s="36" t="s">
        <v>83</v>
      </c>
    </row>
    <row r="89" ht="15" customHeight="1">
      <c r="A89" s="1"/>
      <c r="B89" s="43" t="s">
        <v>78</v>
      </c>
      <c r="C89" s="35" t="str">
        <f t="shared" si="27" ref="C89:H142">IF(AND(ISNUMBER(C88),ISNUMBER(C87),ISNUMBER(C81)),(1+C81)/((1+C88)*(1+C87))-1,"n/a")</f>
        <v>n/a</v>
      </c>
      <c r="D89" s="35">
        <f t="shared" si="27"/>
        <v>-0.3060029282576867</v>
      </c>
      <c r="E89" s="35" t="str">
        <f t="shared" si="27"/>
        <v>n/a</v>
      </c>
      <c r="F89" s="35" t="str">
        <f t="shared" si="27"/>
        <v>n/a</v>
      </c>
      <c r="G89" s="35" t="str">
        <f t="shared" si="27"/>
        <v>n/a</v>
      </c>
      <c r="H89" s="44">
        <f t="shared" si="27"/>
        <v>-0.2857142857142857</v>
      </c>
      <c r="I89" s="35"/>
      <c r="J89" s="35"/>
      <c r="K89" s="35"/>
      <c r="L89" s="35"/>
      <c r="M89" s="35"/>
      <c r="N89" s="35"/>
      <c r="O89" s="1"/>
      <c r="P89" s="36"/>
    </row>
    <row r="90" ht="15" customHeight="1">
      <c r="A90" s="1"/>
      <c r="B90" s="41" t="s">
        <v>87</v>
      </c>
      <c r="C90" s="61">
        <v>2565</v>
      </c>
      <c r="D90" s="61">
        <v>2557</v>
      </c>
      <c r="E90" s="61">
        <v>2469</v>
      </c>
      <c r="F90" s="61">
        <v>2439</v>
      </c>
      <c r="G90" s="21">
        <f t="shared" si="17"/>
        <v>10525</v>
      </c>
      <c r="H90" s="59">
        <f>F90*(1+H93)</f>
        <v>2372.6592</v>
      </c>
      <c r="I90" s="21"/>
      <c r="J90" s="61">
        <v>2793</v>
      </c>
      <c r="K90" s="61">
        <v>2876</v>
      </c>
      <c r="L90" s="61">
        <v>2761</v>
      </c>
      <c r="M90" s="61">
        <v>2642</v>
      </c>
      <c r="N90" s="61">
        <v>11290</v>
      </c>
      <c r="O90" s="1"/>
      <c r="P90" s="36" t="s">
        <v>130</v>
      </c>
    </row>
    <row r="91" ht="15" customHeight="1">
      <c r="A91" s="1"/>
      <c r="B91" s="43" t="s">
        <v>69</v>
      </c>
      <c r="C91" s="35">
        <f t="shared" si="2"/>
        <v>-0.08163265306122447</v>
      </c>
      <c r="D91" s="35">
        <f t="shared" si="2"/>
        <v>-0.11091794158553547</v>
      </c>
      <c r="E91" s="35">
        <f t="shared" si="2"/>
        <v>-0.10575878304961972</v>
      </c>
      <c r="F91" s="35">
        <f t="shared" si="2"/>
        <v>-0.0768357305071915</v>
      </c>
      <c r="G91" s="35">
        <f t="shared" si="2"/>
        <v>-0.06775907883082377</v>
      </c>
      <c r="H91" s="44">
        <f t="shared" si="21"/>
        <v>-0.07498666666666665</v>
      </c>
      <c r="I91" s="35"/>
      <c r="J91" s="35"/>
      <c r="K91" s="35"/>
      <c r="L91" s="35"/>
      <c r="M91" s="35"/>
      <c r="N91" s="35"/>
      <c r="O91" s="1"/>
      <c r="P91" s="36"/>
    </row>
    <row r="92" ht="15" customHeight="1">
      <c r="A92" s="1"/>
      <c r="B92" s="43" t="s">
        <v>70</v>
      </c>
      <c r="C92" s="45">
        <f t="shared" si="11"/>
        <v>-77</v>
      </c>
      <c r="D92" s="45">
        <f t="shared" si="3"/>
        <v>-8</v>
      </c>
      <c r="E92" s="45">
        <f t="shared" si="3"/>
        <v>-88</v>
      </c>
      <c r="F92" s="45">
        <f t="shared" si="3"/>
        <v>-30</v>
      </c>
      <c r="G92" s="45"/>
      <c r="H92" s="46">
        <f t="shared" si="12"/>
        <v>-66.34079999999994</v>
      </c>
      <c r="I92" s="45"/>
      <c r="J92" s="45"/>
      <c r="K92" s="45"/>
      <c r="L92" s="45"/>
      <c r="M92" s="45"/>
      <c r="N92" s="45"/>
      <c r="O92" s="1"/>
      <c r="P92" s="36"/>
    </row>
    <row r="93" ht="15" customHeight="1">
      <c r="A93" s="1"/>
      <c r="B93" s="43" t="s">
        <v>71</v>
      </c>
      <c r="C93" s="35">
        <f t="shared" si="13"/>
        <v>-0.029144587433762248</v>
      </c>
      <c r="D93" s="35">
        <f t="shared" si="4"/>
        <v>-0.003118908382066299</v>
      </c>
      <c r="E93" s="35">
        <f t="shared" si="4"/>
        <v>-0.03441533046538914</v>
      </c>
      <c r="F93" s="35">
        <f t="shared" si="4"/>
        <v>-0.012150668286755817</v>
      </c>
      <c r="G93" s="35"/>
      <c r="H93" s="57">
        <v>-0.0272</v>
      </c>
      <c r="I93" s="35"/>
      <c r="J93" s="35"/>
      <c r="K93" s="35"/>
      <c r="L93" s="35"/>
      <c r="M93" s="35"/>
      <c r="N93" s="35"/>
      <c r="O93" s="1"/>
      <c r="P93" s="36"/>
    </row>
    <row r="94" ht="15" customHeight="1">
      <c r="A94" s="1"/>
      <c r="B94" s="43" t="s">
        <v>72</v>
      </c>
      <c r="C94" s="34">
        <f>_xlfn.IFERROR(C90/'Revenue summary'!C32,"n/a")</f>
        <v>0.28261348611723225</v>
      </c>
      <c r="D94" s="34">
        <f>_xlfn.IFERROR(D90/'Revenue summary'!D32,"n/a")</f>
        <v>0.26404378356051217</v>
      </c>
      <c r="E94" s="34">
        <f>_xlfn.IFERROR(E90/'Revenue summary'!E32,"n/a")</f>
        <v>0.2583987441130298</v>
      </c>
      <c r="F94" s="34">
        <f>_xlfn.IFERROR(F90/'Revenue summary'!F32,"n/a")</f>
        <v>0.2469123304312614</v>
      </c>
      <c r="G94" s="34">
        <f>_xlfn.IFERROR(G90/'Revenue summary'!G32,"n/a")</f>
        <v>0.2860054347826087</v>
      </c>
      <c r="H94" s="49">
        <f>_xlfn.IFERROR(H90/'Revenue summary'!H32,"n/a")</f>
        <v>0.2348423574391342</v>
      </c>
      <c r="I94" s="35"/>
      <c r="J94" s="35"/>
      <c r="K94" s="35"/>
      <c r="L94" s="35"/>
      <c r="M94" s="35"/>
      <c r="N94" s="35"/>
      <c r="O94" s="1"/>
      <c r="P94" s="36"/>
    </row>
    <row r="95" ht="15" customHeight="1">
      <c r="A95" s="1"/>
      <c r="B95" s="43" t="s">
        <v>73</v>
      </c>
      <c r="C95" s="50">
        <v>78</v>
      </c>
      <c r="D95" s="50">
        <v>111</v>
      </c>
      <c r="E95" s="50">
        <v>116</v>
      </c>
      <c r="F95" s="50">
        <v>29</v>
      </c>
      <c r="G95" s="50">
        <v>229</v>
      </c>
      <c r="H95" s="46">
        <f t="shared" si="28"/>
        <v>-18.830628571428406</v>
      </c>
      <c r="I95" s="45"/>
      <c r="J95" s="45"/>
      <c r="K95" s="45"/>
      <c r="L95" s="45"/>
      <c r="M95" s="45"/>
      <c r="N95" s="45"/>
      <c r="O95" s="1"/>
      <c r="P95" s="36" t="s">
        <v>82</v>
      </c>
    </row>
    <row r="96" ht="15" customHeight="1">
      <c r="A96" s="1"/>
      <c r="B96" s="43" t="s">
        <v>75</v>
      </c>
      <c r="C96" s="35">
        <f t="shared" si="25"/>
        <v>-0.05370569280343718</v>
      </c>
      <c r="D96" s="35">
        <f t="shared" si="25"/>
        <v>-0.07232267037552154</v>
      </c>
      <c r="E96" s="35">
        <f t="shared" si="25"/>
        <v>-0.06374501992031878</v>
      </c>
      <c r="F96" s="35">
        <f t="shared" si="25"/>
        <v>-0.06585919757759273</v>
      </c>
      <c r="G96" s="35">
        <f t="shared" si="25"/>
        <v>-0.04747564216120459</v>
      </c>
      <c r="H96" s="44">
        <f t="shared" si="29"/>
        <v>-0.08232804232804225</v>
      </c>
      <c r="I96" s="35"/>
      <c r="J96" s="35"/>
      <c r="K96" s="35"/>
      <c r="L96" s="35"/>
      <c r="M96" s="35"/>
      <c r="N96" s="35"/>
      <c r="O96" s="1"/>
      <c r="P96" s="36"/>
    </row>
    <row r="97" ht="15" customHeight="1">
      <c r="A97" s="1"/>
      <c r="B97" s="43" t="s">
        <v>76</v>
      </c>
      <c r="C97" s="35">
        <f t="shared" si="26"/>
        <v>-0.0295119182746878</v>
      </c>
      <c r="D97" s="35">
        <f t="shared" si="26"/>
        <v>-0.04160419790104952</v>
      </c>
      <c r="E97" s="35">
        <f t="shared" si="26"/>
        <v>-0.04487427466150862</v>
      </c>
      <c r="F97" s="35">
        <f t="shared" si="26"/>
        <v>-0.011750405186385704</v>
      </c>
      <c r="G97" s="35">
        <f t="shared" si="26"/>
        <v>-0.021294402082945973</v>
      </c>
      <c r="H97" s="57">
        <v>0.008</v>
      </c>
      <c r="I97" s="35"/>
      <c r="J97" s="35"/>
      <c r="K97" s="35"/>
      <c r="L97" s="35"/>
      <c r="M97" s="35"/>
      <c r="N97" s="35"/>
      <c r="O97" s="1"/>
      <c r="P97" s="36" t="s">
        <v>109</v>
      </c>
    </row>
    <row r="98" ht="15" customHeight="1">
      <c r="A98" s="1"/>
      <c r="B98" s="43" t="s">
        <v>77</v>
      </c>
      <c r="C98" s="35" t="s">
        <v>41</v>
      </c>
      <c r="D98" s="56">
        <v>0</v>
      </c>
      <c r="E98" s="35" t="s">
        <v>41</v>
      </c>
      <c r="F98" s="35" t="s">
        <v>41</v>
      </c>
      <c r="G98" s="35" t="s">
        <v>41</v>
      </c>
      <c r="H98" s="57">
        <v>0</v>
      </c>
      <c r="I98" s="35"/>
      <c r="J98" s="35"/>
      <c r="K98" s="35"/>
      <c r="L98" s="35"/>
      <c r="M98" s="35"/>
      <c r="N98" s="35"/>
      <c r="O98" s="1"/>
      <c r="P98" s="36" t="s">
        <v>83</v>
      </c>
    </row>
    <row r="99" ht="15" customHeight="1">
      <c r="A99" s="1"/>
      <c r="B99" s="43" t="s">
        <v>78</v>
      </c>
      <c r="C99" s="35" t="str">
        <f t="shared" si="27"/>
        <v>n/a</v>
      </c>
      <c r="D99" s="35">
        <f t="shared" si="27"/>
        <v>-0.07232267037552154</v>
      </c>
      <c r="E99" s="35" t="str">
        <f t="shared" si="27"/>
        <v>n/a</v>
      </c>
      <c r="F99" s="35" t="str">
        <f t="shared" si="27"/>
        <v>n/a</v>
      </c>
      <c r="G99" s="35" t="str">
        <f t="shared" si="27"/>
        <v>n/a</v>
      </c>
      <c r="H99" s="44">
        <f t="shared" si="27"/>
        <v>-0.08232804232804236</v>
      </c>
      <c r="I99" s="35"/>
      <c r="J99" s="35"/>
      <c r="K99" s="35"/>
      <c r="L99" s="35"/>
      <c r="M99" s="35"/>
      <c r="N99" s="35"/>
      <c r="O99" s="1"/>
      <c r="P99" s="36"/>
    </row>
    <row r="100" ht="15" customHeight="1">
      <c r="A100" s="1"/>
      <c r="B100" s="43" t="s">
        <v>80</v>
      </c>
      <c r="C100" s="45"/>
      <c r="D100" s="50">
        <v>-1</v>
      </c>
      <c r="E100" s="50">
        <v>1</v>
      </c>
      <c r="F100" s="45"/>
      <c r="G100" s="45">
        <f t="shared" si="17"/>
        <v>-1</v>
      </c>
      <c r="H100" s="46"/>
      <c r="I100" s="45"/>
      <c r="J100" s="45"/>
      <c r="K100" s="45"/>
      <c r="L100" s="50">
        <v>1</v>
      </c>
      <c r="M100" s="50">
        <v>-1</v>
      </c>
      <c r="N100" s="45"/>
      <c r="O100" s="1"/>
      <c r="P100" s="36" t="s">
        <v>81</v>
      </c>
    </row>
    <row r="101" ht="15" customHeight="1">
      <c r="A101" s="1"/>
      <c r="B101" s="25" t="s">
        <v>131</v>
      </c>
      <c r="C101" s="51">
        <f t="shared" si="30" ref="C101:N133">C80+C90+C100</f>
        <v>2726</v>
      </c>
      <c r="D101" s="51">
        <f t="shared" si="30"/>
        <v>3008</v>
      </c>
      <c r="E101" s="51">
        <f t="shared" si="30"/>
        <v>2586</v>
      </c>
      <c r="F101" s="51">
        <f t="shared" si="30"/>
        <v>2570</v>
      </c>
      <c r="G101" s="51">
        <f t="shared" si="30"/>
        <v>11514</v>
      </c>
      <c r="H101" s="52">
        <f t="shared" si="30"/>
        <v>2488.5792</v>
      </c>
      <c r="I101" s="51"/>
      <c r="J101" s="51">
        <f t="shared" si="30"/>
        <v>3078</v>
      </c>
      <c r="K101" s="51">
        <f t="shared" si="30"/>
        <v>3559</v>
      </c>
      <c r="L101" s="51">
        <f t="shared" si="30"/>
        <v>2945</v>
      </c>
      <c r="M101" s="51">
        <f t="shared" si="30"/>
        <v>2835</v>
      </c>
      <c r="N101" s="51">
        <f t="shared" si="30"/>
        <v>12689</v>
      </c>
      <c r="O101" s="1"/>
      <c r="P101" s="36"/>
    </row>
    <row r="102" ht="15" customHeight="1">
      <c r="A102" s="1"/>
      <c r="B102" s="43" t="s">
        <v>69</v>
      </c>
      <c r="C102" s="35">
        <f t="shared" si="2"/>
        <v>-0.11435997400909681</v>
      </c>
      <c r="D102" s="35">
        <f t="shared" si="2"/>
        <v>-0.15481876931722394</v>
      </c>
      <c r="E102" s="35">
        <f t="shared" si="2"/>
        <v>-0.12190152801358234</v>
      </c>
      <c r="F102" s="35">
        <f t="shared" si="2"/>
        <v>-0.09347442680776019</v>
      </c>
      <c r="G102" s="35">
        <f t="shared" si="2"/>
        <v>-0.09259988966821653</v>
      </c>
      <c r="H102" s="44">
        <f t="shared" si="21"/>
        <v>-0.08709493763756415</v>
      </c>
      <c r="I102" s="35"/>
      <c r="J102" s="35"/>
      <c r="K102" s="35"/>
      <c r="L102" s="35"/>
      <c r="M102" s="35"/>
      <c r="N102" s="35"/>
      <c r="O102" s="1"/>
      <c r="P102" s="36"/>
    </row>
    <row r="103" ht="15" customHeight="1">
      <c r="A103" s="1"/>
      <c r="B103" s="43" t="s">
        <v>70</v>
      </c>
      <c r="C103" s="45">
        <f t="shared" si="11"/>
        <v>-109</v>
      </c>
      <c r="D103" s="45">
        <f t="shared" si="3"/>
        <v>282</v>
      </c>
      <c r="E103" s="45">
        <f t="shared" si="3"/>
        <v>-422</v>
      </c>
      <c r="F103" s="45">
        <f t="shared" si="3"/>
        <v>-16</v>
      </c>
      <c r="G103" s="45"/>
      <c r="H103" s="46">
        <f t="shared" si="12"/>
        <v>-81.42079999999987</v>
      </c>
      <c r="I103" s="45"/>
      <c r="J103" s="45"/>
      <c r="K103" s="45"/>
      <c r="L103" s="45"/>
      <c r="M103" s="45"/>
      <c r="N103" s="45"/>
      <c r="O103" s="1"/>
      <c r="P103" s="36"/>
    </row>
    <row r="104" ht="15" customHeight="1">
      <c r="A104" s="1"/>
      <c r="B104" s="43" t="s">
        <v>71</v>
      </c>
      <c r="C104" s="35">
        <f t="shared" si="13"/>
        <v>-0.0384479717813051</v>
      </c>
      <c r="D104" s="35">
        <f t="shared" si="4"/>
        <v>0.10344827586206895</v>
      </c>
      <c r="E104" s="35">
        <f t="shared" si="4"/>
        <v>-0.14029255319148937</v>
      </c>
      <c r="F104" s="35">
        <f t="shared" si="4"/>
        <v>-0.006187161639597871</v>
      </c>
      <c r="G104" s="35"/>
      <c r="H104" s="44">
        <f t="shared" si="14"/>
        <v>-0.03168124513618675</v>
      </c>
      <c r="I104" s="35"/>
      <c r="J104" s="35"/>
      <c r="K104" s="35"/>
      <c r="L104" s="35"/>
      <c r="M104" s="35"/>
      <c r="N104" s="35"/>
      <c r="O104" s="1"/>
      <c r="P104" s="36"/>
    </row>
    <row r="105" ht="15" customHeight="1">
      <c r="A105" s="1"/>
      <c r="B105" s="43" t="s">
        <v>72</v>
      </c>
      <c r="C105" s="34">
        <f>_xlfn.IFERROR(C101/'Revenue summary'!C32,"n/a")</f>
        <v>0.3003525782282944</v>
      </c>
      <c r="D105" s="34">
        <f>_xlfn.IFERROR(D101/'Revenue summary'!D32,"n/a")</f>
        <v>0.31061544816191655</v>
      </c>
      <c r="E105" s="34">
        <f>_xlfn.IFERROR(E101/'Revenue summary'!E32,"n/a")</f>
        <v>0.2706436420722135</v>
      </c>
      <c r="F105" s="34">
        <f>_xlfn.IFERROR(F101/'Revenue summary'!F32,"n/a")</f>
        <v>0.2601741243166633</v>
      </c>
      <c r="G105" s="34">
        <f>_xlfn.IFERROR(G101/'Revenue summary'!G32,"n/a")</f>
        <v>0.3128804347826087</v>
      </c>
      <c r="H105" s="49">
        <f>_xlfn.IFERROR(H101/'Revenue summary'!H32,"n/a")</f>
        <v>0.24631595047531252</v>
      </c>
      <c r="I105" s="35"/>
      <c r="J105" s="35"/>
      <c r="K105" s="35"/>
      <c r="L105" s="35"/>
      <c r="M105" s="35"/>
      <c r="N105" s="35"/>
      <c r="O105" s="1"/>
      <c r="P105" s="36"/>
    </row>
    <row r="106" ht="15" customHeight="1">
      <c r="A106" s="1"/>
      <c r="B106" s="43" t="s">
        <v>73</v>
      </c>
      <c r="C106" s="50">
        <v>83</v>
      </c>
      <c r="D106" s="50">
        <v>133</v>
      </c>
      <c r="E106" s="50">
        <v>122</v>
      </c>
      <c r="F106" s="50">
        <v>29</v>
      </c>
      <c r="G106" s="50">
        <v>259</v>
      </c>
      <c r="H106" s="46">
        <f t="shared" si="32" ref="H106:H138">H85+H95</f>
        <v>-19.750628571428408</v>
      </c>
      <c r="I106" s="45"/>
      <c r="J106" s="45"/>
      <c r="K106" s="45"/>
      <c r="L106" s="45"/>
      <c r="M106" s="45"/>
      <c r="N106" s="45"/>
      <c r="O106" s="1"/>
      <c r="P106" s="36" t="s">
        <v>82</v>
      </c>
    </row>
    <row r="107" ht="15" customHeight="1">
      <c r="A107" s="1"/>
      <c r="B107" s="43" t="s">
        <v>75</v>
      </c>
      <c r="C107" s="35">
        <f t="shared" si="25"/>
        <v>-0.08739441195581543</v>
      </c>
      <c r="D107" s="35">
        <f t="shared" si="25"/>
        <v>-0.1174487215509975</v>
      </c>
      <c r="E107" s="35">
        <f t="shared" si="25"/>
        <v>-0.08047538200339555</v>
      </c>
      <c r="F107" s="35">
        <f t="shared" si="25"/>
        <v>-0.08324514991181653</v>
      </c>
      <c r="G107" s="35">
        <f t="shared" si="25"/>
        <v>-0.07218850973283941</v>
      </c>
      <c r="H107" s="44">
        <f t="shared" si="29"/>
        <v>-0.09434021591028185</v>
      </c>
      <c r="I107" s="35"/>
      <c r="J107" s="35"/>
      <c r="K107" s="35"/>
      <c r="L107" s="35"/>
      <c r="M107" s="35"/>
      <c r="N107" s="35"/>
      <c r="O107" s="1"/>
      <c r="P107" s="36"/>
    </row>
    <row r="108" ht="15" customHeight="1">
      <c r="A108" s="1"/>
      <c r="B108" s="43" t="s">
        <v>76</v>
      </c>
      <c r="C108" s="35">
        <f t="shared" si="26"/>
        <v>-0.029547881808472787</v>
      </c>
      <c r="D108" s="35">
        <f t="shared" si="26"/>
        <v>-0.04234320280165549</v>
      </c>
      <c r="E108" s="35">
        <f t="shared" si="26"/>
        <v>-0.045051698670605655</v>
      </c>
      <c r="F108" s="35">
        <f t="shared" si="26"/>
        <v>-0.011158137745286734</v>
      </c>
      <c r="G108" s="35">
        <f t="shared" si="26"/>
        <v>-0.021999490359296714</v>
      </c>
      <c r="H108" s="44">
        <f t="shared" si="26"/>
        <v>0.008000000000000007</v>
      </c>
      <c r="I108" s="35"/>
      <c r="J108" s="35"/>
      <c r="K108" s="35"/>
      <c r="L108" s="35"/>
      <c r="M108" s="35"/>
      <c r="N108" s="35"/>
      <c r="O108" s="1"/>
      <c r="P108" s="36"/>
    </row>
    <row r="109" ht="15" customHeight="1">
      <c r="A109" s="1"/>
      <c r="B109" s="43" t="s">
        <v>77</v>
      </c>
      <c r="C109" s="35" t="s">
        <v>41</v>
      </c>
      <c r="D109" s="56">
        <v>0</v>
      </c>
      <c r="E109" s="35" t="s">
        <v>41</v>
      </c>
      <c r="F109" s="35" t="s">
        <v>41</v>
      </c>
      <c r="G109" s="35" t="s">
        <v>41</v>
      </c>
      <c r="H109" s="57">
        <v>0</v>
      </c>
      <c r="I109" s="35"/>
      <c r="J109" s="35"/>
      <c r="K109" s="35"/>
      <c r="L109" s="35"/>
      <c r="M109" s="35"/>
      <c r="N109" s="35"/>
      <c r="O109" s="1"/>
      <c r="P109" s="36" t="s">
        <v>83</v>
      </c>
    </row>
    <row r="110" ht="15" customHeight="1">
      <c r="A110" s="1"/>
      <c r="B110" s="43" t="s">
        <v>78</v>
      </c>
      <c r="C110" s="35" t="str">
        <f t="shared" si="27"/>
        <v>n/a</v>
      </c>
      <c r="D110" s="35">
        <f t="shared" si="27"/>
        <v>-0.1174487215509975</v>
      </c>
      <c r="E110" s="35" t="str">
        <f t="shared" si="27"/>
        <v>n/a</v>
      </c>
      <c r="F110" s="35" t="str">
        <f t="shared" si="27"/>
        <v>n/a</v>
      </c>
      <c r="G110" s="35" t="str">
        <f t="shared" si="27"/>
        <v>n/a</v>
      </c>
      <c r="H110" s="44">
        <f t="shared" si="27"/>
        <v>-0.09434021591028185</v>
      </c>
      <c r="I110" s="35"/>
      <c r="J110" s="35"/>
      <c r="K110" s="35"/>
      <c r="L110" s="35"/>
      <c r="M110" s="35"/>
      <c r="N110" s="35"/>
      <c r="O110" s="1"/>
      <c r="P110" s="36"/>
    </row>
    <row r="111" ht="15" customHeight="1">
      <c r="A111" s="1"/>
      <c r="B111" s="43" t="s">
        <v>80</v>
      </c>
      <c r="C111" s="45"/>
      <c r="D111" s="45"/>
      <c r="E111" s="45"/>
      <c r="F111" s="45"/>
      <c r="G111" s="45">
        <f t="shared" si="17"/>
        <v>1</v>
      </c>
      <c r="H111" s="46"/>
      <c r="I111" s="45"/>
      <c r="J111" s="45"/>
      <c r="K111" s="45"/>
      <c r="L111" s="45"/>
      <c r="M111" s="50">
        <v>1</v>
      </c>
      <c r="N111" s="45"/>
      <c r="O111" s="1"/>
      <c r="P111" s="36" t="s">
        <v>81</v>
      </c>
    </row>
    <row r="112" ht="15" customHeight="1">
      <c r="A112" s="1"/>
      <c r="B112" s="25" t="s">
        <v>132</v>
      </c>
      <c r="C112" s="51">
        <f t="shared" si="31" ref="C112:N112">C68+C101+C111</f>
        <v>8016</v>
      </c>
      <c r="D112" s="51">
        <f t="shared" si="31"/>
        <v>8618</v>
      </c>
      <c r="E112" s="51">
        <f t="shared" si="31"/>
        <v>8548</v>
      </c>
      <c r="F112" s="51">
        <f t="shared" si="31"/>
        <v>8851</v>
      </c>
      <c r="G112" s="51">
        <f t="shared" si="31"/>
        <v>32538</v>
      </c>
      <c r="H112" s="52">
        <f t="shared" si="31"/>
        <v>9078.373800000001</v>
      </c>
      <c r="I112" s="51"/>
      <c r="J112" s="51">
        <f t="shared" si="31"/>
        <v>7429</v>
      </c>
      <c r="K112" s="51">
        <f t="shared" si="31"/>
        <v>8267</v>
      </c>
      <c r="L112" s="51">
        <f t="shared" si="31"/>
        <v>7938</v>
      </c>
      <c r="M112" s="51">
        <f t="shared" si="31"/>
        <v>7966</v>
      </c>
      <c r="N112" s="51">
        <f t="shared" si="31"/>
        <v>29830</v>
      </c>
      <c r="O112" s="1"/>
      <c r="P112" s="36"/>
    </row>
    <row r="113" ht="15" customHeight="1">
      <c r="A113" s="1"/>
      <c r="B113" s="43" t="s">
        <v>69</v>
      </c>
      <c r="C113" s="35">
        <f t="shared" si="2"/>
        <v>0.07901467223044834</v>
      </c>
      <c r="D113" s="35">
        <f t="shared" si="2"/>
        <v>0.04245796540462088</v>
      </c>
      <c r="E113" s="35">
        <f t="shared" si="2"/>
        <v>0.07684555303602925</v>
      </c>
      <c r="F113" s="35">
        <f t="shared" si="2"/>
        <v>0.11109716294250571</v>
      </c>
      <c r="G113" s="35">
        <f t="shared" si="2"/>
        <v>0.0907810928595374</v>
      </c>
      <c r="H113" s="44">
        <f t="shared" si="21"/>
        <v>0.13253166167664676</v>
      </c>
      <c r="I113" s="35"/>
      <c r="J113" s="35"/>
      <c r="K113" s="35"/>
      <c r="L113" s="35"/>
      <c r="M113" s="35"/>
      <c r="N113" s="35"/>
      <c r="O113" s="1"/>
      <c r="P113" s="36"/>
    </row>
    <row r="114" ht="15" customHeight="1">
      <c r="A114" s="1"/>
      <c r="B114" s="43" t="s">
        <v>70</v>
      </c>
      <c r="C114" s="45">
        <f t="shared" si="11"/>
        <v>50</v>
      </c>
      <c r="D114" s="45">
        <f t="shared" si="3"/>
        <v>602</v>
      </c>
      <c r="E114" s="45">
        <f t="shared" si="3"/>
        <v>-70</v>
      </c>
      <c r="F114" s="45">
        <f t="shared" si="3"/>
        <v>303</v>
      </c>
      <c r="G114" s="45"/>
      <c r="H114" s="46">
        <f t="shared" si="12"/>
        <v>227.3738000000012</v>
      </c>
      <c r="I114" s="45"/>
      <c r="J114" s="45"/>
      <c r="K114" s="45"/>
      <c r="L114" s="45"/>
      <c r="M114" s="45"/>
      <c r="N114" s="45"/>
      <c r="O114" s="1"/>
      <c r="P114" s="36"/>
    </row>
    <row r="115" ht="15" customHeight="1">
      <c r="A115" s="1"/>
      <c r="B115" s="43" t="s">
        <v>71</v>
      </c>
      <c r="C115" s="35">
        <f t="shared" si="13"/>
        <v>0.0062766758724579486</v>
      </c>
      <c r="D115" s="35">
        <f t="shared" si="4"/>
        <v>0.07509980039920161</v>
      </c>
      <c r="E115" s="35">
        <f t="shared" si="4"/>
        <v>-0.00812253423067999</v>
      </c>
      <c r="F115" s="35">
        <f t="shared" si="4"/>
        <v>0.0354468881609733</v>
      </c>
      <c r="G115" s="35"/>
      <c r="H115" s="44">
        <f t="shared" si="14"/>
        <v>0.025689052084510333</v>
      </c>
      <c r="I115" s="35"/>
      <c r="J115" s="35"/>
      <c r="K115" s="35"/>
      <c r="L115" s="35"/>
      <c r="M115" s="35"/>
      <c r="N115" s="35"/>
      <c r="O115" s="1"/>
      <c r="P115" s="36"/>
    </row>
    <row r="116" ht="15" customHeight="1">
      <c r="A116" s="1"/>
      <c r="B116" s="43" t="s">
        <v>72</v>
      </c>
      <c r="C116" s="34">
        <f>_xlfn.IFERROR(C112/'Revenue summary'!C32,"n/a")</f>
        <v>0.883208461877479</v>
      </c>
      <c r="D116" s="34">
        <f>_xlfn.IFERROR(D112/'Revenue summary'!D32,"n/a")</f>
        <v>0.8899215200330441</v>
      </c>
      <c r="E116" s="34">
        <f>_xlfn.IFERROR(E112/'Revenue summary'!E32,"n/a")</f>
        <v>0.8946101517530088</v>
      </c>
      <c r="F116" s="34">
        <f>_xlfn.IFERROR(F112/'Revenue summary'!F32,"n/a")</f>
        <v>0.8960315853411622</v>
      </c>
      <c r="G116" s="34">
        <f>_xlfn.IFERROR(G112/'Revenue summary'!G32,"n/a")</f>
        <v>0.8841847826086957</v>
      </c>
      <c r="H116" s="49">
        <f>_xlfn.IFERROR(H112/'Revenue summary'!H32,"n/a")</f>
        <v>0.8985642375043459</v>
      </c>
      <c r="I116" s="35"/>
      <c r="J116" s="35"/>
      <c r="K116" s="35"/>
      <c r="L116" s="35"/>
      <c r="M116" s="35"/>
      <c r="N116" s="35"/>
      <c r="O116" s="1"/>
      <c r="P116" s="36"/>
    </row>
    <row r="117" ht="15" customHeight="1">
      <c r="A117" s="1"/>
      <c r="B117" s="43" t="s">
        <v>73</v>
      </c>
      <c r="C117" s="50">
        <v>297</v>
      </c>
      <c r="D117" s="50">
        <v>446</v>
      </c>
      <c r="E117" s="50">
        <v>486</v>
      </c>
      <c r="F117" s="50">
        <v>129</v>
      </c>
      <c r="G117" s="50">
        <v>897</v>
      </c>
      <c r="H117" s="46">
        <f>H75+H106</f>
        <v>-84.99611966053764</v>
      </c>
      <c r="I117" s="45"/>
      <c r="J117" s="45"/>
      <c r="K117" s="45"/>
      <c r="L117" s="45"/>
      <c r="M117" s="45"/>
      <c r="N117" s="45"/>
      <c r="O117" s="1"/>
      <c r="P117" s="36" t="s">
        <v>82</v>
      </c>
    </row>
    <row r="118" ht="15" customHeight="1">
      <c r="A118" s="1"/>
      <c r="B118" s="43" t="s">
        <v>75</v>
      </c>
      <c r="C118" s="35">
        <f t="shared" si="25"/>
        <v>0.11899313501144171</v>
      </c>
      <c r="D118" s="35">
        <f t="shared" si="25"/>
        <v>0.09640740292730121</v>
      </c>
      <c r="E118" s="35">
        <f t="shared" si="25"/>
        <v>0.13807004283194768</v>
      </c>
      <c r="F118" s="35">
        <f t="shared" si="25"/>
        <v>0.12729098669344707</v>
      </c>
      <c r="G118" s="35">
        <f t="shared" si="25"/>
        <v>0.12085149178679178</v>
      </c>
      <c r="H118" s="44">
        <f t="shared" si="29"/>
        <v>0.12192835333576135</v>
      </c>
      <c r="I118" s="35"/>
      <c r="J118" s="35"/>
      <c r="K118" s="35"/>
      <c r="L118" s="35"/>
      <c r="M118" s="35"/>
      <c r="N118" s="35"/>
      <c r="O118" s="1"/>
      <c r="P118" s="36"/>
    </row>
    <row r="119" ht="15" customHeight="1">
      <c r="A119" s="1"/>
      <c r="B119" s="43" t="s">
        <v>76</v>
      </c>
      <c r="C119" s="35">
        <f t="shared" si="26"/>
        <v>-0.03572717430530492</v>
      </c>
      <c r="D119" s="35">
        <f t="shared" si="26"/>
        <v>-0.0492056487202116</v>
      </c>
      <c r="E119" s="35">
        <f t="shared" si="26"/>
        <v>-0.05379676776621656</v>
      </c>
      <c r="F119" s="35">
        <f t="shared" si="26"/>
        <v>-0.014365256124721504</v>
      </c>
      <c r="G119" s="35">
        <f t="shared" si="26"/>
        <v>-0.026828174069089217</v>
      </c>
      <c r="H119" s="44">
        <f t="shared" si="26"/>
        <v>0.009450967443116243</v>
      </c>
      <c r="I119" s="35"/>
      <c r="J119" s="35"/>
      <c r="K119" s="35"/>
      <c r="L119" s="35"/>
      <c r="M119" s="35"/>
      <c r="N119" s="35"/>
      <c r="O119" s="1"/>
      <c r="P119" s="36"/>
    </row>
    <row r="120" ht="15" customHeight="1">
      <c r="A120" s="1"/>
      <c r="B120" s="43" t="s">
        <v>77</v>
      </c>
      <c r="C120" s="35" t="s">
        <v>41</v>
      </c>
      <c r="D120" s="35">
        <f>D73/K112</f>
        <v>0.00241925728801258</v>
      </c>
      <c r="E120" s="35" t="s">
        <v>41</v>
      </c>
      <c r="F120" s="35" t="s">
        <v>41</v>
      </c>
      <c r="G120" s="35" t="s">
        <v>41</v>
      </c>
      <c r="H120" s="44">
        <f>H73/C112</f>
        <v>0.0074850299401197605</v>
      </c>
      <c r="I120" s="35"/>
      <c r="J120" s="35"/>
      <c r="K120" s="35"/>
      <c r="L120" s="35"/>
      <c r="M120" s="35"/>
      <c r="N120" s="35"/>
      <c r="O120" s="1"/>
      <c r="P120" s="36" t="s">
        <v>83</v>
      </c>
    </row>
    <row r="121" ht="15" customHeight="1">
      <c r="A121" s="1"/>
      <c r="B121" s="43" t="s">
        <v>78</v>
      </c>
      <c r="C121" s="35" t="str">
        <f t="shared" si="27"/>
        <v>n/a</v>
      </c>
      <c r="D121" s="35">
        <f t="shared" si="27"/>
        <v>0.09376131289972234</v>
      </c>
      <c r="E121" s="35" t="str">
        <f t="shared" si="27"/>
        <v>n/a</v>
      </c>
      <c r="F121" s="35" t="str">
        <f t="shared" si="27"/>
        <v>n/a</v>
      </c>
      <c r="G121" s="35" t="str">
        <f t="shared" si="27"/>
        <v>n/a</v>
      </c>
      <c r="H121" s="44">
        <f t="shared" si="27"/>
        <v>0.11359307582212286</v>
      </c>
      <c r="I121" s="35"/>
      <c r="J121" s="35"/>
      <c r="K121" s="35"/>
      <c r="L121" s="35"/>
      <c r="M121" s="35"/>
      <c r="N121" s="35"/>
      <c r="O121" s="1"/>
      <c r="P121" s="36"/>
    </row>
    <row r="122" ht="15" customHeight="1">
      <c r="A122" s="1"/>
      <c r="B122" s="41" t="s">
        <v>133</v>
      </c>
      <c r="C122" s="61">
        <v>66</v>
      </c>
      <c r="D122" s="61">
        <v>93</v>
      </c>
      <c r="E122" s="61">
        <v>62</v>
      </c>
      <c r="F122" s="61">
        <v>61</v>
      </c>
      <c r="G122" s="21">
        <f t="shared" si="17"/>
        <v>306</v>
      </c>
      <c r="H122" s="59">
        <f t="shared" si="18"/>
        <v>60.720000000000006</v>
      </c>
      <c r="I122" s="21"/>
      <c r="J122" s="61">
        <v>96</v>
      </c>
      <c r="K122" s="61">
        <v>114</v>
      </c>
      <c r="L122" s="61">
        <v>78</v>
      </c>
      <c r="M122" s="61">
        <v>69</v>
      </c>
      <c r="N122" s="61">
        <v>418</v>
      </c>
      <c r="O122" s="1"/>
      <c r="P122" s="36"/>
    </row>
    <row r="123" ht="15" customHeight="1">
      <c r="A123" s="1"/>
      <c r="B123" s="43" t="s">
        <v>69</v>
      </c>
      <c r="C123" s="35">
        <f t="shared" si="2"/>
        <v>-0.3125</v>
      </c>
      <c r="D123" s="35">
        <f t="shared" si="2"/>
        <v>-0.1842105263157895</v>
      </c>
      <c r="E123" s="35">
        <f t="shared" si="2"/>
        <v>-0.20512820512820518</v>
      </c>
      <c r="F123" s="35">
        <f t="shared" si="2"/>
        <v>-0.1159420289855072</v>
      </c>
      <c r="G123" s="35">
        <f t="shared" si="2"/>
        <v>-0.26794258373205737</v>
      </c>
      <c r="H123" s="57">
        <v>-0.08</v>
      </c>
      <c r="I123" s="35"/>
      <c r="J123" s="35"/>
      <c r="K123" s="35"/>
      <c r="L123" s="35"/>
      <c r="M123" s="35"/>
      <c r="N123" s="35"/>
      <c r="O123" s="1"/>
      <c r="P123" s="36"/>
    </row>
    <row r="124" ht="15" customHeight="1">
      <c r="A124" s="1"/>
      <c r="B124" s="43" t="s">
        <v>70</v>
      </c>
      <c r="C124" s="45">
        <f t="shared" si="11"/>
        <v>-3</v>
      </c>
      <c r="D124" s="45">
        <f t="shared" si="3"/>
        <v>27</v>
      </c>
      <c r="E124" s="45">
        <f t="shared" si="3"/>
        <v>-31</v>
      </c>
      <c r="F124" s="45">
        <f t="shared" si="3"/>
        <v>-1</v>
      </c>
      <c r="G124" s="45"/>
      <c r="H124" s="46">
        <f t="shared" si="12"/>
        <v>-0.27999999999999403</v>
      </c>
      <c r="I124" s="45"/>
      <c r="J124" s="45"/>
      <c r="K124" s="45"/>
      <c r="L124" s="45"/>
      <c r="M124" s="45"/>
      <c r="N124" s="45"/>
      <c r="O124" s="1"/>
      <c r="P124" s="36"/>
    </row>
    <row r="125" ht="15" customHeight="1">
      <c r="A125" s="1"/>
      <c r="B125" s="43" t="s">
        <v>71</v>
      </c>
      <c r="C125" s="35">
        <f t="shared" si="13"/>
        <v>-0.04347826086956519</v>
      </c>
      <c r="D125" s="35">
        <f t="shared" si="4"/>
        <v>0.40909090909090917</v>
      </c>
      <c r="E125" s="35">
        <f t="shared" si="4"/>
        <v>-0.33333333333333337</v>
      </c>
      <c r="F125" s="35">
        <f t="shared" si="4"/>
        <v>-0.016129032258064502</v>
      </c>
      <c r="G125" s="35"/>
      <c r="H125" s="44">
        <f t="shared" si="14"/>
        <v>-0.004590163934426128</v>
      </c>
      <c r="I125" s="35"/>
      <c r="J125" s="35"/>
      <c r="K125" s="35"/>
      <c r="L125" s="35"/>
      <c r="M125" s="35"/>
      <c r="N125" s="35"/>
      <c r="O125" s="1"/>
      <c r="P125" s="36"/>
    </row>
    <row r="126" ht="15" customHeight="1">
      <c r="A126" s="1"/>
      <c r="B126" s="43" t="s">
        <v>72</v>
      </c>
      <c r="C126" s="34">
        <f>_xlfn.IFERROR(C122/'Revenue summary'!C32,"n/a")</f>
        <v>0.007271925958572058</v>
      </c>
      <c r="D126" s="34">
        <f>_xlfn.IFERROR(D122/'Revenue summary'!D32,"n/a")</f>
        <v>0.009603469640644362</v>
      </c>
      <c r="E126" s="34">
        <f>_xlfn.IFERROR(E122/'Revenue summary'!E32,"n/a")</f>
        <v>0.006488749345892203</v>
      </c>
      <c r="F126" s="34">
        <f>_xlfn.IFERROR(F122/'Revenue summary'!F32,"n/a")</f>
        <v>0.0061753391374772225</v>
      </c>
      <c r="G126" s="34">
        <f>_xlfn.IFERROR(G122/'Revenue summary'!G32,"n/a")</f>
        <v>0.008315217391304348</v>
      </c>
      <c r="H126" s="49">
        <f>_xlfn.IFERROR(H122/'Revenue summary'!H32,"n/a")</f>
        <v>0.006009977304664837</v>
      </c>
      <c r="I126" s="35"/>
      <c r="J126" s="35"/>
      <c r="K126" s="35"/>
      <c r="L126" s="35"/>
      <c r="M126" s="35"/>
      <c r="N126" s="35"/>
      <c r="O126" s="1"/>
      <c r="P126" s="36"/>
    </row>
    <row r="127" ht="15" customHeight="1">
      <c r="A127" s="1"/>
      <c r="B127" s="43" t="s">
        <v>73</v>
      </c>
      <c r="C127" s="50">
        <v>1</v>
      </c>
      <c r="D127" s="50">
        <v>3</v>
      </c>
      <c r="E127" s="50">
        <v>3</v>
      </c>
      <c r="F127" s="50">
        <v>0</v>
      </c>
      <c r="G127" s="50">
        <v>7</v>
      </c>
      <c r="H127" s="46">
        <f t="shared" si="28"/>
        <v>-0.48190476190476517</v>
      </c>
      <c r="I127" s="45"/>
      <c r="J127" s="45"/>
      <c r="K127" s="45"/>
      <c r="L127" s="45"/>
      <c r="M127" s="45"/>
      <c r="N127" s="45"/>
      <c r="O127" s="1"/>
      <c r="P127" s="36" t="s">
        <v>82</v>
      </c>
    </row>
    <row r="128" ht="15" customHeight="1">
      <c r="A128" s="1"/>
      <c r="B128" s="43" t="s">
        <v>75</v>
      </c>
      <c r="C128" s="35">
        <f t="shared" si="25"/>
        <v>-0.30208333333333337</v>
      </c>
      <c r="D128" s="35">
        <f t="shared" si="25"/>
        <v>-0.1578947368421053</v>
      </c>
      <c r="E128" s="35">
        <f t="shared" si="25"/>
        <v>-0.16666666666666663</v>
      </c>
      <c r="F128" s="35">
        <f t="shared" si="25"/>
        <v>-0.1159420289855072</v>
      </c>
      <c r="G128" s="35">
        <f t="shared" si="25"/>
        <v>-0.25119617224880386</v>
      </c>
      <c r="H128" s="44">
        <f t="shared" si="29"/>
        <v>-0.08730158730158721</v>
      </c>
      <c r="I128" s="35"/>
      <c r="J128" s="35"/>
      <c r="K128" s="35"/>
      <c r="L128" s="35"/>
      <c r="M128" s="35"/>
      <c r="N128" s="35"/>
      <c r="O128" s="1"/>
      <c r="P128" s="36"/>
    </row>
    <row r="129" ht="15" customHeight="1">
      <c r="A129" s="1"/>
      <c r="B129" s="43" t="s">
        <v>76</v>
      </c>
      <c r="C129" s="35">
        <f t="shared" si="26"/>
        <v>-0.01492537313432829</v>
      </c>
      <c r="D129" s="35">
        <f t="shared" si="26"/>
        <v>-0.03125</v>
      </c>
      <c r="E129" s="35">
        <f t="shared" si="26"/>
        <v>-0.04615384615384621</v>
      </c>
      <c r="F129" s="35">
        <f t="shared" si="26"/>
        <v>0</v>
      </c>
      <c r="G129" s="35">
        <f t="shared" si="26"/>
        <v>-0.022364217252396013</v>
      </c>
      <c r="H129" s="57">
        <v>0.008</v>
      </c>
      <c r="I129" s="35"/>
      <c r="J129" s="35"/>
      <c r="K129" s="35"/>
      <c r="L129" s="35"/>
      <c r="M129" s="35"/>
      <c r="N129" s="35"/>
      <c r="O129" s="1"/>
      <c r="P129" s="36" t="s">
        <v>109</v>
      </c>
    </row>
    <row r="130" ht="15" customHeight="1">
      <c r="A130" s="1"/>
      <c r="B130" s="43" t="s">
        <v>77</v>
      </c>
      <c r="C130" s="35" t="s">
        <v>41</v>
      </c>
      <c r="D130" s="56">
        <v>0</v>
      </c>
      <c r="E130" s="35" t="s">
        <v>41</v>
      </c>
      <c r="F130" s="35" t="s">
        <v>41</v>
      </c>
      <c r="G130" s="35" t="s">
        <v>41</v>
      </c>
      <c r="H130" s="57">
        <v>0</v>
      </c>
      <c r="I130" s="35"/>
      <c r="J130" s="35"/>
      <c r="K130" s="35"/>
      <c r="L130" s="35"/>
      <c r="M130" s="35"/>
      <c r="N130" s="35"/>
      <c r="O130" s="1"/>
      <c r="P130" s="36" t="s">
        <v>83</v>
      </c>
    </row>
    <row r="131" ht="15" customHeight="1">
      <c r="A131" s="1"/>
      <c r="B131" s="43" t="s">
        <v>78</v>
      </c>
      <c r="C131" s="35" t="str">
        <f t="shared" si="27"/>
        <v>n/a</v>
      </c>
      <c r="D131" s="35">
        <f t="shared" si="27"/>
        <v>-0.1578947368421053</v>
      </c>
      <c r="E131" s="35" t="str">
        <f t="shared" si="27"/>
        <v>n/a</v>
      </c>
      <c r="F131" s="35" t="str">
        <f t="shared" si="27"/>
        <v>n/a</v>
      </c>
      <c r="G131" s="35" t="str">
        <f t="shared" si="27"/>
        <v>n/a</v>
      </c>
      <c r="H131" s="44">
        <f t="shared" si="27"/>
        <v>-0.08730158730158721</v>
      </c>
      <c r="I131" s="35"/>
      <c r="J131" s="35"/>
      <c r="K131" s="35"/>
      <c r="L131" s="35"/>
      <c r="M131" s="35"/>
      <c r="N131" s="35"/>
      <c r="O131" s="1"/>
      <c r="P131" s="36"/>
    </row>
    <row r="132" ht="15" customHeight="1">
      <c r="A132" s="1"/>
      <c r="B132" s="43" t="s">
        <v>80</v>
      </c>
      <c r="C132" s="45"/>
      <c r="D132" s="45"/>
      <c r="E132" s="45"/>
      <c r="F132" s="45"/>
      <c r="G132" s="45">
        <f t="shared" si="17"/>
        <v>0</v>
      </c>
      <c r="H132" s="46"/>
      <c r="I132" s="45"/>
      <c r="J132" s="50">
        <v>-1</v>
      </c>
      <c r="K132" s="45"/>
      <c r="L132" s="50">
        <v>1</v>
      </c>
      <c r="M132" s="50">
        <v>-1</v>
      </c>
      <c r="N132" s="45"/>
      <c r="O132" s="1"/>
      <c r="P132" s="36" t="s">
        <v>81</v>
      </c>
    </row>
    <row r="133" ht="15" customHeight="1">
      <c r="A133" s="1"/>
      <c r="B133" s="25" t="s">
        <v>134</v>
      </c>
      <c r="C133" s="51">
        <f t="shared" si="30"/>
        <v>8082</v>
      </c>
      <c r="D133" s="51">
        <f t="shared" si="30"/>
        <v>8711</v>
      </c>
      <c r="E133" s="51">
        <f t="shared" si="30"/>
        <v>8610</v>
      </c>
      <c r="F133" s="51">
        <f t="shared" si="30"/>
        <v>8912</v>
      </c>
      <c r="G133" s="51">
        <f t="shared" si="30"/>
        <v>32844</v>
      </c>
      <c r="H133" s="52">
        <f t="shared" si="30"/>
        <v>9139.0938</v>
      </c>
      <c r="I133" s="51"/>
      <c r="J133" s="51">
        <f t="shared" si="30"/>
        <v>7524</v>
      </c>
      <c r="K133" s="51">
        <f t="shared" si="30"/>
        <v>8381</v>
      </c>
      <c r="L133" s="51">
        <f t="shared" si="30"/>
        <v>8017</v>
      </c>
      <c r="M133" s="51">
        <f t="shared" si="30"/>
        <v>8034</v>
      </c>
      <c r="N133" s="51">
        <f t="shared" si="30"/>
        <v>30248</v>
      </c>
      <c r="O133" s="1"/>
      <c r="P133" s="36"/>
    </row>
    <row r="134" ht="15" customHeight="1">
      <c r="A134" s="1"/>
      <c r="B134" s="43" t="s">
        <v>69</v>
      </c>
      <c r="C134" s="35">
        <f t="shared" si="2"/>
        <v>0.07416267942583743</v>
      </c>
      <c r="D134" s="35">
        <f t="shared" si="2"/>
        <v>0.039374776279680335</v>
      </c>
      <c r="E134" s="35">
        <f t="shared" si="2"/>
        <v>0.0739678183859298</v>
      </c>
      <c r="F134" s="35">
        <f t="shared" si="2"/>
        <v>0.1092855364700025</v>
      </c>
      <c r="G134" s="35">
        <f t="shared" si="2"/>
        <v>0.08582385612271892</v>
      </c>
      <c r="H134" s="44">
        <f t="shared" si="21"/>
        <v>0.13079606533036392</v>
      </c>
      <c r="I134" s="35"/>
      <c r="J134" s="35"/>
      <c r="K134" s="35"/>
      <c r="L134" s="35"/>
      <c r="M134" s="35"/>
      <c r="N134" s="35"/>
      <c r="O134" s="1"/>
      <c r="P134" s="36"/>
    </row>
    <row r="135" ht="15" customHeight="1">
      <c r="A135" s="1"/>
      <c r="B135" s="43" t="s">
        <v>70</v>
      </c>
      <c r="C135" s="45">
        <f t="shared" si="11"/>
        <v>48</v>
      </c>
      <c r="D135" s="45">
        <f t="shared" si="3"/>
        <v>629</v>
      </c>
      <c r="E135" s="45">
        <f t="shared" si="3"/>
        <v>-101</v>
      </c>
      <c r="F135" s="45">
        <f t="shared" si="3"/>
        <v>302</v>
      </c>
      <c r="G135" s="45"/>
      <c r="H135" s="46">
        <f t="shared" si="12"/>
        <v>227.09380000000056</v>
      </c>
      <c r="I135" s="45"/>
      <c r="J135" s="45"/>
      <c r="K135" s="45"/>
      <c r="L135" s="45"/>
      <c r="M135" s="45"/>
      <c r="N135" s="45"/>
      <c r="O135" s="1"/>
      <c r="P135" s="36"/>
    </row>
    <row r="136" ht="15" customHeight="1">
      <c r="A136" s="1"/>
      <c r="B136" s="43" t="s">
        <v>71</v>
      </c>
      <c r="C136" s="35">
        <f t="shared" si="13"/>
        <v>0.005974607916355401</v>
      </c>
      <c r="D136" s="35">
        <f t="shared" si="4"/>
        <v>0.07782727047760463</v>
      </c>
      <c r="E136" s="35">
        <f t="shared" si="4"/>
        <v>-0.011594535644587345</v>
      </c>
      <c r="F136" s="35">
        <f t="shared" si="4"/>
        <v>0.035075493612078956</v>
      </c>
      <c r="G136" s="35"/>
      <c r="H136" s="44">
        <f t="shared" si="14"/>
        <v>0.025481799820466833</v>
      </c>
      <c r="I136" s="35"/>
      <c r="J136" s="35"/>
      <c r="K136" s="35"/>
      <c r="L136" s="35"/>
      <c r="M136" s="35"/>
      <c r="N136" s="35"/>
      <c r="O136" s="1"/>
      <c r="P136" s="36"/>
    </row>
    <row r="137" ht="15" customHeight="1">
      <c r="A137" s="1"/>
      <c r="B137" s="43" t="s">
        <v>72</v>
      </c>
      <c r="C137" s="34">
        <f>_xlfn.IFERROR(C133/'Revenue summary'!C32,"n/a")</f>
        <v>0.8904803878360511</v>
      </c>
      <c r="D137" s="34">
        <f>_xlfn.IFERROR(D133/'Revenue summary'!D32,"n/a")</f>
        <v>0.8995249896736885</v>
      </c>
      <c r="E137" s="34">
        <f>_xlfn.IFERROR(E133/'Revenue summary'!E32,"n/a")</f>
        <v>0.9010989010989011</v>
      </c>
      <c r="F137" s="34">
        <f>_xlfn.IFERROR(F133/'Revenue summary'!F32,"n/a")</f>
        <v>0.9022069244786394</v>
      </c>
      <c r="G137" s="34">
        <f>_xlfn.IFERROR(G133/'Revenue summary'!G32,"n/a")</f>
        <v>0.8925</v>
      </c>
      <c r="H137" s="49">
        <f>_xlfn.IFERROR(H133/'Revenue summary'!H32,"n/a")</f>
        <v>0.9045742148090107</v>
      </c>
      <c r="I137" s="35"/>
      <c r="J137" s="35"/>
      <c r="K137" s="35"/>
      <c r="L137" s="35"/>
      <c r="M137" s="35"/>
      <c r="N137" s="35"/>
      <c r="O137" s="1"/>
      <c r="P137" s="36"/>
    </row>
    <row r="138" ht="15" customHeight="1">
      <c r="A138" s="1"/>
      <c r="B138" s="43" t="s">
        <v>73</v>
      </c>
      <c r="C138" s="50">
        <v>298</v>
      </c>
      <c r="D138" s="50">
        <v>449</v>
      </c>
      <c r="E138" s="50">
        <v>489</v>
      </c>
      <c r="F138" s="50">
        <v>129</v>
      </c>
      <c r="G138" s="50">
        <v>904</v>
      </c>
      <c r="H138" s="46">
        <f t="shared" si="32"/>
        <v>-85.47802442244242</v>
      </c>
      <c r="I138" s="45"/>
      <c r="J138" s="45"/>
      <c r="K138" s="45"/>
      <c r="L138" s="45"/>
      <c r="M138" s="45"/>
      <c r="N138" s="45"/>
      <c r="O138" s="1"/>
      <c r="P138" s="36" t="s">
        <v>82</v>
      </c>
    </row>
    <row r="139" ht="15" customHeight="1">
      <c r="A139" s="1"/>
      <c r="B139" s="43" t="s">
        <v>75</v>
      </c>
      <c r="C139" s="35">
        <f t="shared" si="25"/>
        <v>0.11376927166400841</v>
      </c>
      <c r="D139" s="35">
        <f t="shared" si="25"/>
        <v>0.09294833552082093</v>
      </c>
      <c r="E139" s="35">
        <f t="shared" si="25"/>
        <v>0.13496320319321442</v>
      </c>
      <c r="F139" s="35">
        <f t="shared" si="25"/>
        <v>0.1253422952452079</v>
      </c>
      <c r="G139" s="35">
        <f t="shared" si="25"/>
        <v>0.1157101295953451</v>
      </c>
      <c r="H139" s="44">
        <f t="shared" si="29"/>
        <v>0.12021971981904955</v>
      </c>
      <c r="I139" s="35"/>
      <c r="J139" s="35"/>
      <c r="K139" s="35"/>
      <c r="L139" s="35"/>
      <c r="M139" s="35"/>
      <c r="N139" s="35"/>
      <c r="O139" s="1"/>
      <c r="P139" s="36"/>
    </row>
    <row r="140" ht="15" customHeight="1">
      <c r="A140" s="1"/>
      <c r="B140" s="43" t="s">
        <v>76</v>
      </c>
      <c r="C140" s="35">
        <f t="shared" si="26"/>
        <v>-0.035560859188544014</v>
      </c>
      <c r="D140" s="35">
        <f t="shared" si="26"/>
        <v>-0.04901746724890821</v>
      </c>
      <c r="E140" s="35">
        <f t="shared" si="26"/>
        <v>-0.05374216946917254</v>
      </c>
      <c r="F140" s="35">
        <f t="shared" si="26"/>
        <v>-0.01426833314898801</v>
      </c>
      <c r="G140" s="35">
        <f t="shared" si="26"/>
        <v>-0.02678677254948436</v>
      </c>
      <c r="H140" s="44">
        <f t="shared" si="26"/>
        <v>0.00944131345324184</v>
      </c>
      <c r="I140" s="35"/>
      <c r="J140" s="35"/>
      <c r="K140" s="35"/>
      <c r="L140" s="35"/>
      <c r="M140" s="35"/>
      <c r="N140" s="35"/>
      <c r="O140" s="1"/>
      <c r="P140" s="36"/>
    </row>
    <row r="141" ht="15" customHeight="1">
      <c r="A141" s="1"/>
      <c r="B141" s="43" t="s">
        <v>77</v>
      </c>
      <c r="C141" s="35" t="s">
        <v>41</v>
      </c>
      <c r="D141" s="35">
        <f>D73/K133</f>
        <v>0.0023863500775563773</v>
      </c>
      <c r="E141" s="35" t="s">
        <v>41</v>
      </c>
      <c r="F141" s="35" t="s">
        <v>41</v>
      </c>
      <c r="G141" s="35" t="s">
        <v>41</v>
      </c>
      <c r="H141" s="44">
        <f>H73/C133</f>
        <v>0.007423904974016332</v>
      </c>
      <c r="I141" s="35"/>
      <c r="J141" s="35"/>
      <c r="K141" s="35"/>
      <c r="L141" s="35"/>
      <c r="M141" s="35"/>
      <c r="N141" s="35"/>
      <c r="O141" s="1"/>
      <c r="P141" s="36" t="s">
        <v>83</v>
      </c>
    </row>
    <row r="142" ht="15" customHeight="1">
      <c r="A142" s="1"/>
      <c r="B142" s="43" t="s">
        <v>78</v>
      </c>
      <c r="C142" s="35" t="str">
        <f t="shared" si="27"/>
        <v>n/a</v>
      </c>
      <c r="D142" s="35">
        <f t="shared" si="27"/>
        <v>0.09034638733484113</v>
      </c>
      <c r="E142" s="35" t="str">
        <f t="shared" si="27"/>
        <v>n/a</v>
      </c>
      <c r="F142" s="35" t="str">
        <f t="shared" si="27"/>
        <v>n/a</v>
      </c>
      <c r="G142" s="35" t="str">
        <f t="shared" si="27"/>
        <v>n/a</v>
      </c>
      <c r="H142" s="44">
        <f t="shared" si="27"/>
        <v>0.1119646002920116</v>
      </c>
      <c r="I142" s="35"/>
      <c r="J142" s="35"/>
      <c r="K142" s="35"/>
      <c r="L142" s="35"/>
      <c r="M142" s="35"/>
      <c r="N142" s="35"/>
      <c r="O142" s="1"/>
      <c r="P142" s="36"/>
    </row>
    <row r="143" ht="15" customHeight="1">
      <c r="A143" s="1"/>
      <c r="B143" s="1"/>
      <c r="C143" s="1"/>
      <c r="D143" s="1"/>
      <c r="E143" s="1"/>
      <c r="F143" s="1"/>
      <c r="G143" s="1"/>
      <c r="H143" s="40"/>
      <c r="I143" s="1"/>
      <c r="J143" s="1"/>
      <c r="K143" s="1"/>
      <c r="L143" s="1"/>
      <c r="M143" s="1"/>
      <c r="N143" s="1"/>
      <c r="O143" s="1"/>
      <c r="P143" s="36"/>
    </row>
    <row r="144" ht="15" customHeight="1">
      <c r="A144" s="1"/>
      <c r="B144" s="25" t="s">
        <v>135</v>
      </c>
      <c r="C144" s="1"/>
      <c r="D144" s="1"/>
      <c r="E144" s="1"/>
      <c r="F144" s="1"/>
      <c r="G144" s="1"/>
      <c r="H144" s="40"/>
      <c r="I144" s="1"/>
      <c r="J144" s="1"/>
      <c r="K144" s="1"/>
      <c r="L144" s="1"/>
      <c r="M144" s="1"/>
      <c r="N144" s="1"/>
      <c r="O144" s="1"/>
      <c r="P144" s="36"/>
    </row>
    <row r="145" ht="15" customHeight="1">
      <c r="A145" s="1"/>
      <c r="B145" s="41" t="s">
        <v>136</v>
      </c>
      <c r="C145" s="61">
        <v>-1281</v>
      </c>
      <c r="D145" s="61">
        <v>-1372</v>
      </c>
      <c r="E145" s="61">
        <v>-1395</v>
      </c>
      <c r="F145" s="61">
        <v>-1504</v>
      </c>
      <c r="G145" s="21">
        <f t="shared" si="17"/>
        <v>-5085</v>
      </c>
      <c r="H145" s="59">
        <f>-H68*(1-H149)</f>
        <v>-1581.550704</v>
      </c>
      <c r="I145" s="21"/>
      <c r="J145" s="61">
        <v>-1104</v>
      </c>
      <c r="K145" s="61">
        <v>-1223</v>
      </c>
      <c r="L145" s="61">
        <v>-1209</v>
      </c>
      <c r="M145" s="61">
        <v>-1223</v>
      </c>
      <c r="N145" s="61">
        <v>-4446</v>
      </c>
      <c r="O145" s="1"/>
      <c r="P145" s="36"/>
    </row>
    <row r="146" ht="15" customHeight="1">
      <c r="A146" s="1"/>
      <c r="B146" s="43" t="s">
        <v>69</v>
      </c>
      <c r="C146" s="35">
        <f t="shared" si="2"/>
        <v>0.16032608695652173</v>
      </c>
      <c r="D146" s="35">
        <f t="shared" si="2"/>
        <v>0.12183156173344245</v>
      </c>
      <c r="E146" s="35">
        <f t="shared" si="2"/>
        <v>0.15384615384615374</v>
      </c>
      <c r="F146" s="35">
        <f t="shared" si="2"/>
        <v>0.2297628781684382</v>
      </c>
      <c r="G146" s="35">
        <f t="shared" si="2"/>
        <v>0.14372469635627527</v>
      </c>
      <c r="H146" s="44">
        <f t="shared" si="21"/>
        <v>0.23462193911007034</v>
      </c>
      <c r="I146" s="35"/>
      <c r="J146" s="35"/>
      <c r="K146" s="35"/>
      <c r="L146" s="35"/>
      <c r="M146" s="35"/>
      <c r="N146" s="35"/>
      <c r="O146" s="1"/>
      <c r="P146" s="36"/>
    </row>
    <row r="147" ht="15" customHeight="1">
      <c r="A147" s="1"/>
      <c r="B147" s="43" t="s">
        <v>70</v>
      </c>
      <c r="C147" s="45">
        <f t="shared" si="11"/>
        <v>-58</v>
      </c>
      <c r="D147" s="45">
        <f t="shared" si="3"/>
        <v>-91</v>
      </c>
      <c r="E147" s="45">
        <f t="shared" si="3"/>
        <v>-23</v>
      </c>
      <c r="F147" s="45">
        <f t="shared" si="3"/>
        <v>-109</v>
      </c>
      <c r="G147" s="45"/>
      <c r="H147" s="46">
        <f t="shared" si="12"/>
        <v>-77.550704</v>
      </c>
      <c r="I147" s="45"/>
      <c r="J147" s="45"/>
      <c r="K147" s="45"/>
      <c r="L147" s="45"/>
      <c r="M147" s="45"/>
      <c r="N147" s="45"/>
      <c r="O147" s="1"/>
      <c r="P147" s="36"/>
    </row>
    <row r="148" ht="15" customHeight="1">
      <c r="A148" s="1"/>
      <c r="B148" s="43" t="s">
        <v>71</v>
      </c>
      <c r="C148" s="35">
        <f t="shared" si="13"/>
        <v>0.04742436631234659</v>
      </c>
      <c r="D148" s="35">
        <f t="shared" si="4"/>
        <v>0.0710382513661203</v>
      </c>
      <c r="E148" s="35">
        <f t="shared" si="4"/>
        <v>0.016763848396501357</v>
      </c>
      <c r="F148" s="35">
        <f t="shared" si="4"/>
        <v>0.0781362007168458</v>
      </c>
      <c r="G148" s="35"/>
      <c r="H148" s="44">
        <f t="shared" si="14"/>
        <v>0.05156296808510641</v>
      </c>
      <c r="I148" s="35"/>
      <c r="J148" s="35"/>
      <c r="K148" s="35"/>
      <c r="L148" s="35"/>
      <c r="M148" s="35"/>
      <c r="N148" s="35"/>
      <c r="O148" s="1"/>
      <c r="P148" s="36"/>
    </row>
    <row r="149" ht="15" customHeight="1">
      <c r="A149" s="1"/>
      <c r="B149" s="43" t="s">
        <v>137</v>
      </c>
      <c r="C149" s="35">
        <f t="shared" si="33" ref="C149:N149">_xlfn.IFERROR((C68+C145)/C68,"n/a")</f>
        <v>0.7578449905482042</v>
      </c>
      <c r="D149" s="35">
        <f t="shared" si="33"/>
        <v>0.7554367201426025</v>
      </c>
      <c r="E149" s="35">
        <f t="shared" si="33"/>
        <v>0.7660181147266019</v>
      </c>
      <c r="F149" s="35">
        <f t="shared" si="33"/>
        <v>0.7605476834898901</v>
      </c>
      <c r="G149" s="35">
        <f t="shared" si="33"/>
        <v>0.7581220567949388</v>
      </c>
      <c r="H149" s="57">
        <v>0.76</v>
      </c>
      <c r="I149" s="35"/>
      <c r="J149" s="35">
        <f t="shared" si="33"/>
        <v>0.7462652263847391</v>
      </c>
      <c r="K149" s="35">
        <f t="shared" si="33"/>
        <v>0.7402293967714528</v>
      </c>
      <c r="L149" s="35">
        <f t="shared" si="33"/>
        <v>0.7578610054075706</v>
      </c>
      <c r="M149" s="35">
        <f t="shared" si="33"/>
        <v>0.7615984405458089</v>
      </c>
      <c r="N149" s="35">
        <f t="shared" si="33"/>
        <v>0.7406219007059098</v>
      </c>
      <c r="O149" s="1"/>
      <c r="P149" s="36"/>
    </row>
    <row r="150" ht="15" customHeight="1">
      <c r="A150" s="1"/>
      <c r="B150" s="54" t="s">
        <v>116</v>
      </c>
      <c r="C150" s="62">
        <f t="shared" si="34" ref="C150:G183">_xlfn.IFERROR((C149-J149)*10000,"n/a")</f>
        <v>115.79764163465067</v>
      </c>
      <c r="D150" s="62">
        <f t="shared" si="34"/>
        <v>152.07323371149718</v>
      </c>
      <c r="E150" s="62">
        <f t="shared" si="34"/>
        <v>81.57109319031241</v>
      </c>
      <c r="F150" s="62">
        <f t="shared" si="34"/>
        <v>-10.507570559188384</v>
      </c>
      <c r="G150" s="62">
        <f t="shared" si="34"/>
        <v>175.00156089028997</v>
      </c>
      <c r="H150" s="63">
        <f t="shared" si="36" ref="H150:H183">_xlfn.IFERROR((H149-C149)*10000,"n/a")</f>
        <v>21.550094517958087</v>
      </c>
      <c r="I150" s="62"/>
      <c r="J150" s="62"/>
      <c r="K150" s="62"/>
      <c r="L150" s="62"/>
      <c r="M150" s="62"/>
      <c r="N150" s="62"/>
      <c r="O150" s="1"/>
      <c r="P150" s="36"/>
    </row>
    <row r="151" ht="15" customHeight="1">
      <c r="A151" s="1"/>
      <c r="B151" s="41" t="s">
        <v>138</v>
      </c>
      <c r="C151" s="61">
        <v>-271</v>
      </c>
      <c r="D151" s="61">
        <v>-285</v>
      </c>
      <c r="E151" s="61">
        <v>-271</v>
      </c>
      <c r="F151" s="61">
        <v>-255</v>
      </c>
      <c r="G151" s="21">
        <f t="shared" si="17"/>
        <v>-1117</v>
      </c>
      <c r="H151" s="59">
        <f>-H101*H155</f>
        <v>-248.85792000000004</v>
      </c>
      <c r="I151" s="21"/>
      <c r="J151" s="61">
        <v>-279</v>
      </c>
      <c r="K151" s="61">
        <v>-306</v>
      </c>
      <c r="L151" s="61">
        <v>-279</v>
      </c>
      <c r="M151" s="61">
        <v>-282</v>
      </c>
      <c r="N151" s="61">
        <v>-1169</v>
      </c>
      <c r="O151" s="1"/>
      <c r="P151" s="36"/>
    </row>
    <row r="152" ht="15" customHeight="1">
      <c r="A152" s="1"/>
      <c r="B152" s="43" t="s">
        <v>69</v>
      </c>
      <c r="C152" s="35">
        <f t="shared" si="2"/>
        <v>-0.028673835125448077</v>
      </c>
      <c r="D152" s="35">
        <f t="shared" si="2"/>
        <v>-0.06862745098039214</v>
      </c>
      <c r="E152" s="35">
        <f t="shared" si="2"/>
        <v>-0.028673835125448077</v>
      </c>
      <c r="F152" s="35">
        <f t="shared" si="2"/>
        <v>-0.0957446808510638</v>
      </c>
      <c r="G152" s="35">
        <f t="shared" si="2"/>
        <v>-0.044482463644140324</v>
      </c>
      <c r="H152" s="44">
        <f t="shared" si="21"/>
        <v>-0.08170509225092237</v>
      </c>
      <c r="I152" s="35"/>
      <c r="J152" s="35"/>
      <c r="K152" s="35"/>
      <c r="L152" s="35"/>
      <c r="M152" s="35"/>
      <c r="N152" s="35"/>
      <c r="O152" s="1"/>
      <c r="P152" s="36"/>
    </row>
    <row r="153" ht="15" customHeight="1">
      <c r="A153" s="1"/>
      <c r="B153" s="43" t="s">
        <v>70</v>
      </c>
      <c r="C153" s="45">
        <f t="shared" si="11"/>
        <v>11</v>
      </c>
      <c r="D153" s="45">
        <f t="shared" si="3"/>
        <v>-14</v>
      </c>
      <c r="E153" s="45">
        <f t="shared" si="3"/>
        <v>14</v>
      </c>
      <c r="F153" s="45">
        <f t="shared" si="3"/>
        <v>16</v>
      </c>
      <c r="G153" s="45"/>
      <c r="H153" s="46">
        <f t="shared" si="12"/>
        <v>6.1420799999999645</v>
      </c>
      <c r="I153" s="45"/>
      <c r="J153" s="45"/>
      <c r="K153" s="45"/>
      <c r="L153" s="45"/>
      <c r="M153" s="45"/>
      <c r="N153" s="45"/>
      <c r="O153" s="1"/>
      <c r="P153" s="36"/>
    </row>
    <row r="154" ht="15" customHeight="1">
      <c r="A154" s="1"/>
      <c r="B154" s="43" t="s">
        <v>71</v>
      </c>
      <c r="C154" s="35">
        <f t="shared" si="13"/>
        <v>-0.03900709219858156</v>
      </c>
      <c r="D154" s="35">
        <f t="shared" si="4"/>
        <v>0.05166051660516602</v>
      </c>
      <c r="E154" s="35">
        <f t="shared" si="4"/>
        <v>-0.0491228070175439</v>
      </c>
      <c r="F154" s="35">
        <f t="shared" si="4"/>
        <v>-0.059040590405904037</v>
      </c>
      <c r="G154" s="35"/>
      <c r="H154" s="44">
        <f t="shared" si="14"/>
        <v>-0.02408658823529397</v>
      </c>
      <c r="I154" s="35"/>
      <c r="J154" s="35"/>
      <c r="K154" s="35"/>
      <c r="L154" s="35"/>
      <c r="M154" s="35"/>
      <c r="N154" s="35"/>
      <c r="O154" s="1"/>
      <c r="P154" s="36"/>
    </row>
    <row r="155" ht="15" customHeight="1">
      <c r="A155" s="1"/>
      <c r="B155" s="43" t="s">
        <v>139</v>
      </c>
      <c r="C155" s="35">
        <f t="shared" si="35" ref="C155:N155">_xlfn.IFERROR(-C151/C101,"n/a")</f>
        <v>0.09941305942773294</v>
      </c>
      <c r="D155" s="35">
        <f t="shared" si="35"/>
        <v>0.09474734042553191</v>
      </c>
      <c r="E155" s="35">
        <f t="shared" si="35"/>
        <v>0.10479505027068832</v>
      </c>
      <c r="F155" s="35">
        <f t="shared" si="35"/>
        <v>0.09922178988326848</v>
      </c>
      <c r="G155" s="35">
        <f t="shared" si="35"/>
        <v>0.0970123328122286</v>
      </c>
      <c r="H155" s="57">
        <v>0.1</v>
      </c>
      <c r="I155" s="35"/>
      <c r="J155" s="35">
        <f t="shared" si="35"/>
        <v>0.09064327485380116</v>
      </c>
      <c r="K155" s="35">
        <f t="shared" si="35"/>
        <v>0.08597920764259623</v>
      </c>
      <c r="L155" s="35">
        <f t="shared" si="35"/>
        <v>0.09473684210526316</v>
      </c>
      <c r="M155" s="35">
        <f t="shared" si="35"/>
        <v>0.09947089947089947</v>
      </c>
      <c r="N155" s="35">
        <f t="shared" si="35"/>
        <v>0.09212703916778311</v>
      </c>
      <c r="O155" s="1"/>
      <c r="P155" s="36"/>
    </row>
    <row r="156" ht="15" customHeight="1">
      <c r="A156" s="1"/>
      <c r="B156" s="54" t="s">
        <v>116</v>
      </c>
      <c r="C156" s="62">
        <f t="shared" si="34"/>
        <v>87.6978457393178</v>
      </c>
      <c r="D156" s="62">
        <f t="shared" si="34"/>
        <v>87.68132782935686</v>
      </c>
      <c r="E156" s="62">
        <f t="shared" si="34"/>
        <v>100.58208165425158</v>
      </c>
      <c r="F156" s="62">
        <f t="shared" si="34"/>
        <v>-2.4910958763099678</v>
      </c>
      <c r="G156" s="62">
        <f t="shared" si="34"/>
        <v>48.85293644445482</v>
      </c>
      <c r="H156" s="63">
        <f t="shared" si="36"/>
        <v>5.869405722670612</v>
      </c>
      <c r="I156" s="62"/>
      <c r="J156" s="62"/>
      <c r="K156" s="62"/>
      <c r="L156" s="62"/>
      <c r="M156" s="62"/>
      <c r="N156" s="62"/>
      <c r="O156" s="1"/>
      <c r="P156" s="36"/>
    </row>
    <row r="157" ht="15" customHeight="1">
      <c r="A157" s="1"/>
      <c r="B157" s="54" t="s">
        <v>80</v>
      </c>
      <c r="C157" s="50">
        <v>-1</v>
      </c>
      <c r="D157" s="50">
        <v>1</v>
      </c>
      <c r="E157" s="45"/>
      <c r="F157" s="45"/>
      <c r="G157" s="45">
        <f t="shared" si="17"/>
        <v>0</v>
      </c>
      <c r="H157" s="46"/>
      <c r="I157" s="45"/>
      <c r="J157" s="45"/>
      <c r="K157" s="45"/>
      <c r="L157" s="45"/>
      <c r="M157" s="45"/>
      <c r="N157" s="45"/>
      <c r="O157" s="1"/>
      <c r="P157" s="36" t="s">
        <v>81</v>
      </c>
    </row>
    <row r="158" ht="15" customHeight="1">
      <c r="A158" s="1"/>
      <c r="B158" s="55" t="s">
        <v>140</v>
      </c>
      <c r="C158" s="51">
        <f t="shared" si="37" ref="C158:N158">C145+C151+C157</f>
        <v>-1553</v>
      </c>
      <c r="D158" s="51">
        <f t="shared" si="37"/>
        <v>-1656</v>
      </c>
      <c r="E158" s="51">
        <f t="shared" si="37"/>
        <v>-1666</v>
      </c>
      <c r="F158" s="51">
        <f t="shared" si="37"/>
        <v>-1759</v>
      </c>
      <c r="G158" s="51">
        <f t="shared" si="37"/>
        <v>-6202</v>
      </c>
      <c r="H158" s="52">
        <f t="shared" si="37"/>
        <v>-1830.4086240000001</v>
      </c>
      <c r="I158" s="51"/>
      <c r="J158" s="51">
        <f t="shared" si="37"/>
        <v>-1383</v>
      </c>
      <c r="K158" s="51">
        <f t="shared" si="37"/>
        <v>-1529</v>
      </c>
      <c r="L158" s="51">
        <f t="shared" si="37"/>
        <v>-1488</v>
      </c>
      <c r="M158" s="51">
        <f t="shared" si="37"/>
        <v>-1505</v>
      </c>
      <c r="N158" s="51">
        <f t="shared" si="37"/>
        <v>-5615</v>
      </c>
      <c r="O158" s="1"/>
      <c r="P158" s="36"/>
    </row>
    <row r="159" ht="15" customHeight="1">
      <c r="A159" s="1"/>
      <c r="B159" s="41" t="s">
        <v>141</v>
      </c>
      <c r="C159" s="61">
        <v>-84</v>
      </c>
      <c r="D159" s="61">
        <v>-84</v>
      </c>
      <c r="E159" s="61">
        <v>-92</v>
      </c>
      <c r="F159" s="61">
        <v>-92</v>
      </c>
      <c r="G159" s="21">
        <f t="shared" si="17"/>
        <v>-359</v>
      </c>
      <c r="H159" s="59">
        <f>-H122*H163</f>
        <v>-91.08000000000001</v>
      </c>
      <c r="I159" s="21"/>
      <c r="J159" s="61">
        <v>-89</v>
      </c>
      <c r="K159" s="61">
        <v>-96</v>
      </c>
      <c r="L159" s="61">
        <v>-103</v>
      </c>
      <c r="M159" s="61">
        <v>-88</v>
      </c>
      <c r="N159" s="61">
        <v>-385</v>
      </c>
      <c r="O159" s="1"/>
      <c r="P159" s="36"/>
    </row>
    <row r="160" ht="15" customHeight="1">
      <c r="A160" s="1"/>
      <c r="B160" s="43" t="s">
        <v>69</v>
      </c>
      <c r="C160" s="35">
        <f t="shared" si="2"/>
        <v>-0.0561797752808989</v>
      </c>
      <c r="D160" s="35">
        <f t="shared" si="2"/>
        <v>-0.125</v>
      </c>
      <c r="E160" s="35">
        <f t="shared" si="2"/>
        <v>-0.10679611650485432</v>
      </c>
      <c r="F160" s="35">
        <f t="shared" si="2"/>
        <v>0.045454545454545414</v>
      </c>
      <c r="G160" s="35">
        <f t="shared" si="2"/>
        <v>-0.06753246753246755</v>
      </c>
      <c r="H160" s="44">
        <f t="shared" si="21"/>
        <v>0.08428571428571452</v>
      </c>
      <c r="I160" s="35"/>
      <c r="J160" s="35"/>
      <c r="K160" s="35"/>
      <c r="L160" s="35"/>
      <c r="M160" s="35"/>
      <c r="N160" s="35"/>
      <c r="O160" s="1"/>
      <c r="P160" s="36"/>
    </row>
    <row r="161" ht="15" customHeight="1">
      <c r="A161" s="1"/>
      <c r="B161" s="43" t="s">
        <v>70</v>
      </c>
      <c r="C161" s="45">
        <f t="shared" si="11"/>
        <v>4</v>
      </c>
      <c r="D161" s="45">
        <f t="shared" si="3"/>
        <v>0</v>
      </c>
      <c r="E161" s="45">
        <f t="shared" si="3"/>
        <v>-8</v>
      </c>
      <c r="F161" s="45">
        <f t="shared" si="3"/>
        <v>0</v>
      </c>
      <c r="G161" s="45"/>
      <c r="H161" s="46">
        <f t="shared" si="12"/>
        <v>0.9199999999999875</v>
      </c>
      <c r="I161" s="45"/>
      <c r="J161" s="45"/>
      <c r="K161" s="45"/>
      <c r="L161" s="45"/>
      <c r="M161" s="45"/>
      <c r="N161" s="45"/>
      <c r="O161" s="1"/>
      <c r="P161" s="36"/>
    </row>
    <row r="162" ht="15" customHeight="1">
      <c r="A162" s="1"/>
      <c r="B162" s="43" t="s">
        <v>71</v>
      </c>
      <c r="C162" s="35">
        <f t="shared" si="13"/>
        <v>-0.045454545454545414</v>
      </c>
      <c r="D162" s="35">
        <f t="shared" si="4"/>
        <v>0</v>
      </c>
      <c r="E162" s="35">
        <f t="shared" si="4"/>
        <v>0.09523809523809534</v>
      </c>
      <c r="F162" s="35">
        <f t="shared" si="4"/>
        <v>0</v>
      </c>
      <c r="G162" s="35"/>
      <c r="H162" s="44">
        <f t="shared" si="14"/>
        <v>-0.009999999999999898</v>
      </c>
      <c r="I162" s="35"/>
      <c r="J162" s="35"/>
      <c r="K162" s="35"/>
      <c r="L162" s="35"/>
      <c r="M162" s="35"/>
      <c r="N162" s="35"/>
      <c r="O162" s="1"/>
      <c r="P162" s="36"/>
    </row>
    <row r="163" ht="15" customHeight="1">
      <c r="A163" s="1"/>
      <c r="B163" s="43" t="s">
        <v>142</v>
      </c>
      <c r="C163" s="35">
        <f t="shared" si="38" ref="C163:N163">_xlfn.IFERROR(-C159/C122,"n/a")</f>
        <v>1.2727272727272727</v>
      </c>
      <c r="D163" s="35">
        <f t="shared" si="38"/>
        <v>0.9032258064516129</v>
      </c>
      <c r="E163" s="35">
        <f t="shared" si="38"/>
        <v>1.4838709677419355</v>
      </c>
      <c r="F163" s="35">
        <f t="shared" si="38"/>
        <v>1.5081967213114753</v>
      </c>
      <c r="G163" s="35">
        <f t="shared" si="38"/>
        <v>1.173202614379085</v>
      </c>
      <c r="H163" s="57">
        <v>1.5</v>
      </c>
      <c r="I163" s="35"/>
      <c r="J163" s="35">
        <f t="shared" si="38"/>
        <v>0.9270833333333334</v>
      </c>
      <c r="K163" s="35">
        <f t="shared" si="38"/>
        <v>0.8421052631578947</v>
      </c>
      <c r="L163" s="35">
        <f t="shared" si="38"/>
        <v>1.3205128205128205</v>
      </c>
      <c r="M163" s="35">
        <f t="shared" si="38"/>
        <v>1.2753623188405796</v>
      </c>
      <c r="N163" s="35">
        <f t="shared" si="38"/>
        <v>0.9210526315789473</v>
      </c>
      <c r="O163" s="1"/>
      <c r="P163" s="36" t="s">
        <v>143</v>
      </c>
    </row>
    <row r="164" ht="15" customHeight="1">
      <c r="A164" s="1"/>
      <c r="B164" s="54" t="s">
        <v>116</v>
      </c>
      <c r="C164" s="62">
        <f t="shared" si="34"/>
        <v>3456.4393939393935</v>
      </c>
      <c r="D164" s="62">
        <f t="shared" si="34"/>
        <v>611.2054329371819</v>
      </c>
      <c r="E164" s="62">
        <f t="shared" si="34"/>
        <v>1633.5814722911502</v>
      </c>
      <c r="F164" s="62">
        <f t="shared" si="34"/>
        <v>2328.344024708957</v>
      </c>
      <c r="G164" s="62">
        <f t="shared" si="34"/>
        <v>2521.499828001377</v>
      </c>
      <c r="H164" s="63">
        <f t="shared" si="36"/>
        <v>2272.727272727273</v>
      </c>
      <c r="I164" s="62"/>
      <c r="J164" s="62"/>
      <c r="K164" s="62"/>
      <c r="L164" s="62"/>
      <c r="M164" s="62"/>
      <c r="N164" s="62"/>
      <c r="O164" s="1"/>
      <c r="P164" s="36"/>
    </row>
    <row r="165" ht="15" customHeight="1">
      <c r="A165" s="1"/>
      <c r="B165" s="43" t="s">
        <v>80</v>
      </c>
      <c r="C165" s="50">
        <v>1</v>
      </c>
      <c r="D165" s="45"/>
      <c r="E165" s="45"/>
      <c r="F165" s="45"/>
      <c r="G165" s="45">
        <f t="shared" si="17"/>
        <v>1</v>
      </c>
      <c r="H165" s="46"/>
      <c r="I165" s="45"/>
      <c r="J165" s="45"/>
      <c r="K165" s="50">
        <v>-1</v>
      </c>
      <c r="L165" s="45"/>
      <c r="M165" s="45"/>
      <c r="N165" s="45"/>
      <c r="O165" s="1"/>
      <c r="P165" s="36" t="s">
        <v>81</v>
      </c>
    </row>
    <row r="166" ht="15" customHeight="1">
      <c r="A166" s="1"/>
      <c r="B166" s="25" t="s">
        <v>144</v>
      </c>
      <c r="C166" s="51">
        <f t="shared" si="39" ref="C166:N166">C158+C159+C165</f>
        <v>-1636</v>
      </c>
      <c r="D166" s="51">
        <f t="shared" si="39"/>
        <v>-1740</v>
      </c>
      <c r="E166" s="51">
        <f t="shared" si="39"/>
        <v>-1758</v>
      </c>
      <c r="F166" s="51">
        <f t="shared" si="39"/>
        <v>-1851</v>
      </c>
      <c r="G166" s="51">
        <f t="shared" si="39"/>
        <v>-6560</v>
      </c>
      <c r="H166" s="52">
        <f t="shared" si="39"/>
        <v>-1921.488624</v>
      </c>
      <c r="I166" s="51"/>
      <c r="J166" s="51">
        <f t="shared" si="39"/>
        <v>-1472</v>
      </c>
      <c r="K166" s="51">
        <f t="shared" si="39"/>
        <v>-1626</v>
      </c>
      <c r="L166" s="51">
        <f t="shared" si="39"/>
        <v>-1591</v>
      </c>
      <c r="M166" s="51">
        <f t="shared" si="39"/>
        <v>-1593</v>
      </c>
      <c r="N166" s="51">
        <f t="shared" si="39"/>
        <v>-6000</v>
      </c>
      <c r="O166" s="1"/>
      <c r="P166" s="36"/>
    </row>
    <row r="167" ht="15" customHeight="1">
      <c r="A167" s="1"/>
      <c r="B167" s="43" t="s">
        <v>80</v>
      </c>
      <c r="C167" s="45"/>
      <c r="D167" s="45"/>
      <c r="E167" s="45"/>
      <c r="F167" s="45"/>
      <c r="G167" s="45">
        <f t="shared" si="17"/>
        <v>-1</v>
      </c>
      <c r="H167" s="46"/>
      <c r="I167" s="45"/>
      <c r="J167" s="50">
        <v>1</v>
      </c>
      <c r="K167" s="45"/>
      <c r="L167" s="50">
        <v>-1</v>
      </c>
      <c r="M167" s="45"/>
      <c r="N167" s="45"/>
      <c r="O167" s="1"/>
      <c r="P167" s="36" t="s">
        <v>81</v>
      </c>
    </row>
    <row r="168" ht="15" customHeight="1">
      <c r="A168" s="1"/>
      <c r="B168" s="25" t="s">
        <v>145</v>
      </c>
      <c r="C168" s="51">
        <f t="shared" si="40" ref="C168:N168">C133+C166+C167</f>
        <v>6446</v>
      </c>
      <c r="D168" s="51">
        <f t="shared" si="40"/>
        <v>6971</v>
      </c>
      <c r="E168" s="51">
        <f t="shared" si="40"/>
        <v>6852</v>
      </c>
      <c r="F168" s="51">
        <f t="shared" si="40"/>
        <v>7061</v>
      </c>
      <c r="G168" s="51">
        <f t="shared" si="40"/>
        <v>26283</v>
      </c>
      <c r="H168" s="52">
        <f t="shared" si="40"/>
        <v>7217.605176000001</v>
      </c>
      <c r="I168" s="51"/>
      <c r="J168" s="51">
        <f t="shared" si="40"/>
        <v>6053</v>
      </c>
      <c r="K168" s="51">
        <f t="shared" si="40"/>
        <v>6755</v>
      </c>
      <c r="L168" s="51">
        <f t="shared" si="40"/>
        <v>6425</v>
      </c>
      <c r="M168" s="51">
        <f t="shared" si="40"/>
        <v>6441</v>
      </c>
      <c r="N168" s="51">
        <f t="shared" si="40"/>
        <v>24248</v>
      </c>
      <c r="O168" s="1"/>
      <c r="P168" s="36"/>
    </row>
    <row r="169" ht="15" customHeight="1">
      <c r="A169" s="1"/>
      <c r="B169" s="43" t="s">
        <v>146</v>
      </c>
      <c r="C169" s="35">
        <f t="shared" si="41" ref="C169:N169">_xlfn.IFERROR(C168/C133,"n/a")</f>
        <v>0.797574857708488</v>
      </c>
      <c r="D169" s="35">
        <f t="shared" si="41"/>
        <v>0.8002525542417633</v>
      </c>
      <c r="E169" s="35">
        <f t="shared" si="41"/>
        <v>0.7958188153310104</v>
      </c>
      <c r="F169" s="35">
        <f t="shared" si="41"/>
        <v>0.792302513464991</v>
      </c>
      <c r="G169" s="35">
        <f t="shared" si="41"/>
        <v>0.8002374862988674</v>
      </c>
      <c r="H169" s="44">
        <f t="shared" si="41"/>
        <v>0.7897506398282071</v>
      </c>
      <c r="I169" s="35"/>
      <c r="J169" s="35">
        <f t="shared" si="41"/>
        <v>0.8044922913343966</v>
      </c>
      <c r="K169" s="35">
        <f t="shared" si="41"/>
        <v>0.8059897386946665</v>
      </c>
      <c r="L169" s="35">
        <f t="shared" si="41"/>
        <v>0.8014219782961207</v>
      </c>
      <c r="M169" s="35">
        <f t="shared" si="41"/>
        <v>0.8017176997759522</v>
      </c>
      <c r="N169" s="35">
        <f t="shared" si="41"/>
        <v>0.8016397778365512</v>
      </c>
      <c r="O169" s="1"/>
      <c r="P169" s="36"/>
    </row>
    <row r="170" ht="15" customHeight="1">
      <c r="A170" s="1"/>
      <c r="B170" s="54" t="s">
        <v>116</v>
      </c>
      <c r="C170" s="62">
        <f t="shared" si="34"/>
        <v>-69.17433625908575</v>
      </c>
      <c r="D170" s="62">
        <f t="shared" si="34"/>
        <v>-57.371844529031655</v>
      </c>
      <c r="E170" s="62">
        <f t="shared" si="34"/>
        <v>-56.0316296511032</v>
      </c>
      <c r="F170" s="62">
        <f t="shared" si="34"/>
        <v>-94.15186310961165</v>
      </c>
      <c r="G170" s="62">
        <f t="shared" si="34"/>
        <v>-14.022915376837863</v>
      </c>
      <c r="H170" s="63">
        <f t="shared" si="36"/>
        <v>-78.24217880280871</v>
      </c>
      <c r="I170" s="62"/>
      <c r="J170" s="62"/>
      <c r="K170" s="62"/>
      <c r="L170" s="62"/>
      <c r="M170" s="62"/>
      <c r="N170" s="62"/>
      <c r="O170" s="1"/>
      <c r="P170" s="36"/>
    </row>
    <row r="171" ht="15" customHeight="1">
      <c r="A171" s="1"/>
      <c r="B171" s="41" t="s">
        <v>147</v>
      </c>
      <c r="C171" s="61">
        <v>-3090</v>
      </c>
      <c r="D171" s="61">
        <v>-3438</v>
      </c>
      <c r="E171" s="61">
        <v>-3263</v>
      </c>
      <c r="F171" s="61">
        <v>-3504</v>
      </c>
      <c r="G171" s="21">
        <f t="shared" si="17"/>
        <v>-12953</v>
      </c>
      <c r="H171" s="59">
        <f>-H133*H175</f>
        <v>-3545.9683944000003</v>
      </c>
      <c r="I171" s="21"/>
      <c r="J171" s="61">
        <v>-3039</v>
      </c>
      <c r="K171" s="61">
        <v>-3483</v>
      </c>
      <c r="L171" s="61">
        <v>-3275</v>
      </c>
      <c r="M171" s="61">
        <v>-3150</v>
      </c>
      <c r="N171" s="61">
        <v>-12995</v>
      </c>
      <c r="O171" s="1"/>
      <c r="P171" s="36"/>
    </row>
    <row r="172" ht="15" customHeight="1">
      <c r="A172" s="1"/>
      <c r="B172" s="43" t="s">
        <v>69</v>
      </c>
      <c r="C172" s="35">
        <f t="shared" si="2"/>
        <v>0.016781836130306038</v>
      </c>
      <c r="D172" s="35">
        <f t="shared" si="2"/>
        <v>-0.012919896640826822</v>
      </c>
      <c r="E172" s="35">
        <f t="shared" si="2"/>
        <v>-0.003664122137404635</v>
      </c>
      <c r="F172" s="35">
        <f t="shared" si="2"/>
        <v>0.11238095238095247</v>
      </c>
      <c r="G172" s="35">
        <f t="shared" si="2"/>
        <v>-0.0032320123124278677</v>
      </c>
      <c r="H172" s="44">
        <f t="shared" si="21"/>
        <v>0.14756258718446613</v>
      </c>
      <c r="I172" s="35"/>
      <c r="J172" s="35"/>
      <c r="K172" s="35"/>
      <c r="L172" s="35"/>
      <c r="M172" s="35"/>
      <c r="N172" s="35"/>
      <c r="O172" s="1"/>
      <c r="P172" s="36"/>
    </row>
    <row r="173" ht="15" customHeight="1">
      <c r="A173" s="1"/>
      <c r="B173" s="43" t="s">
        <v>70</v>
      </c>
      <c r="C173" s="45">
        <f t="shared" si="11"/>
        <v>60</v>
      </c>
      <c r="D173" s="45">
        <f t="shared" si="3"/>
        <v>-348</v>
      </c>
      <c r="E173" s="45">
        <f t="shared" si="3"/>
        <v>175</v>
      </c>
      <c r="F173" s="45">
        <f t="shared" si="3"/>
        <v>-241</v>
      </c>
      <c r="G173" s="45"/>
      <c r="H173" s="46">
        <f t="shared" si="12"/>
        <v>-41.96839440000031</v>
      </c>
      <c r="I173" s="45"/>
      <c r="J173" s="45"/>
      <c r="K173" s="45"/>
      <c r="L173" s="45"/>
      <c r="M173" s="45"/>
      <c r="N173" s="45"/>
      <c r="O173" s="1"/>
      <c r="P173" s="36"/>
    </row>
    <row r="174" ht="15" customHeight="1">
      <c r="A174" s="1"/>
      <c r="B174" s="43" t="s">
        <v>71</v>
      </c>
      <c r="C174" s="35">
        <f t="shared" si="13"/>
        <v>-0.01904761904761909</v>
      </c>
      <c r="D174" s="35">
        <f t="shared" si="4"/>
        <v>0.11262135922330097</v>
      </c>
      <c r="E174" s="35">
        <f t="shared" si="4"/>
        <v>-0.050901687027341436</v>
      </c>
      <c r="F174" s="35">
        <f t="shared" si="4"/>
        <v>0.07385841250383085</v>
      </c>
      <c r="G174" s="35"/>
      <c r="H174" s="44">
        <f t="shared" si="14"/>
        <v>0.011977281506849513</v>
      </c>
      <c r="I174" s="35"/>
      <c r="J174" s="35"/>
      <c r="K174" s="35"/>
      <c r="L174" s="35"/>
      <c r="M174" s="35"/>
      <c r="N174" s="35"/>
      <c r="O174" s="1"/>
      <c r="P174" s="36"/>
    </row>
    <row r="175" ht="15" customHeight="1">
      <c r="A175" s="1"/>
      <c r="B175" s="43" t="s">
        <v>148</v>
      </c>
      <c r="C175" s="35">
        <f t="shared" si="42" ref="C175:N175">_xlfn.IFERROR(-C171/C133,"n/a")</f>
        <v>0.3823311061618411</v>
      </c>
      <c r="D175" s="35">
        <f t="shared" si="42"/>
        <v>0.394673401446447</v>
      </c>
      <c r="E175" s="35">
        <f t="shared" si="42"/>
        <v>0.37897793263646923</v>
      </c>
      <c r="F175" s="35">
        <f t="shared" si="42"/>
        <v>0.39317773788150806</v>
      </c>
      <c r="G175" s="35">
        <f t="shared" si="42"/>
        <v>0.3943794909268055</v>
      </c>
      <c r="H175" s="57">
        <v>0.388</v>
      </c>
      <c r="I175" s="35"/>
      <c r="J175" s="35">
        <f t="shared" si="42"/>
        <v>0.40390749601275916</v>
      </c>
      <c r="K175" s="35">
        <f t="shared" si="42"/>
        <v>0.4155828660064431</v>
      </c>
      <c r="L175" s="35">
        <f t="shared" si="42"/>
        <v>0.40850692278907325</v>
      </c>
      <c r="M175" s="35">
        <f t="shared" si="42"/>
        <v>0.392083644510829</v>
      </c>
      <c r="N175" s="35">
        <f t="shared" si="42"/>
        <v>0.42961518116900294</v>
      </c>
      <c r="O175" s="1"/>
      <c r="P175" s="36" t="s">
        <v>149</v>
      </c>
    </row>
    <row r="176" ht="15" customHeight="1">
      <c r="A176" s="1"/>
      <c r="B176" s="54" t="s">
        <v>116</v>
      </c>
      <c r="C176" s="62">
        <f t="shared" si="34"/>
        <v>-215.7638985091803</v>
      </c>
      <c r="D176" s="62">
        <f t="shared" si="34"/>
        <v>-209.09464559996093</v>
      </c>
      <c r="E176" s="62">
        <f t="shared" si="34"/>
        <v>-295.2899015260402</v>
      </c>
      <c r="F176" s="62">
        <f t="shared" si="34"/>
        <v>10.940933706790613</v>
      </c>
      <c r="G176" s="62">
        <f t="shared" si="34"/>
        <v>-352.35690242197416</v>
      </c>
      <c r="H176" s="63">
        <f t="shared" si="36"/>
        <v>56.68893838158884</v>
      </c>
      <c r="I176" s="62"/>
      <c r="J176" s="62"/>
      <c r="K176" s="62"/>
      <c r="L176" s="62"/>
      <c r="M176" s="62"/>
      <c r="N176" s="62"/>
      <c r="O176" s="1"/>
      <c r="P176" s="36"/>
    </row>
    <row r="177" ht="15" customHeight="1">
      <c r="A177" s="1"/>
      <c r="B177" s="43" t="s">
        <v>80</v>
      </c>
      <c r="C177" s="45"/>
      <c r="D177" s="50">
        <v>-1</v>
      </c>
      <c r="E177" s="45"/>
      <c r="F177" s="45"/>
      <c r="G177" s="45">
        <f t="shared" si="17"/>
        <v>-1</v>
      </c>
      <c r="H177" s="46"/>
      <c r="I177" s="45"/>
      <c r="J177" s="45"/>
      <c r="K177" s="45"/>
      <c r="L177" s="45"/>
      <c r="M177" s="45"/>
      <c r="N177" s="45"/>
      <c r="O177" s="1"/>
      <c r="P177" s="36" t="s">
        <v>81</v>
      </c>
    </row>
    <row r="178" ht="15" customHeight="1">
      <c r="A178" s="1"/>
      <c r="B178" s="25" t="s">
        <v>150</v>
      </c>
      <c r="C178" s="51">
        <f t="shared" si="43" ref="C178:N178">C168+C171+C177</f>
        <v>3356</v>
      </c>
      <c r="D178" s="51">
        <f t="shared" si="43"/>
        <v>3532</v>
      </c>
      <c r="E178" s="51">
        <f t="shared" si="43"/>
        <v>3589</v>
      </c>
      <c r="F178" s="51">
        <f t="shared" si="43"/>
        <v>3557</v>
      </c>
      <c r="G178" s="51">
        <f t="shared" si="43"/>
        <v>13329</v>
      </c>
      <c r="H178" s="52">
        <f t="shared" si="43"/>
        <v>3671.6367816000006</v>
      </c>
      <c r="I178" s="51"/>
      <c r="J178" s="51">
        <f t="shared" si="43"/>
        <v>3014</v>
      </c>
      <c r="K178" s="51">
        <f t="shared" si="43"/>
        <v>3272</v>
      </c>
      <c r="L178" s="51">
        <f t="shared" si="43"/>
        <v>3150</v>
      </c>
      <c r="M178" s="51">
        <f t="shared" si="43"/>
        <v>3291</v>
      </c>
      <c r="N178" s="51">
        <f t="shared" si="43"/>
        <v>11253</v>
      </c>
      <c r="O178" s="1"/>
      <c r="P178" s="36"/>
    </row>
    <row r="179" ht="15" customHeight="1">
      <c r="A179" s="1"/>
      <c r="B179" s="43" t="s">
        <v>69</v>
      </c>
      <c r="C179" s="35">
        <f t="shared" si="2"/>
        <v>0.11347047113470476</v>
      </c>
      <c r="D179" s="35">
        <f t="shared" si="2"/>
        <v>0.07946210268948661</v>
      </c>
      <c r="E179" s="35">
        <f t="shared" si="2"/>
        <v>0.13936507936507936</v>
      </c>
      <c r="F179" s="35">
        <f t="shared" si="2"/>
        <v>0.08082649650562135</v>
      </c>
      <c r="G179" s="35">
        <f t="shared" si="2"/>
        <v>0.18448413756331639</v>
      </c>
      <c r="H179" s="44">
        <f t="shared" si="21"/>
        <v>0.09405148438617417</v>
      </c>
      <c r="I179" s="35"/>
      <c r="J179" s="35"/>
      <c r="K179" s="35"/>
      <c r="L179" s="35"/>
      <c r="M179" s="35"/>
      <c r="N179" s="35"/>
      <c r="O179" s="1"/>
      <c r="P179" s="36"/>
    </row>
    <row r="180" ht="15" customHeight="1">
      <c r="A180" s="1"/>
      <c r="B180" s="43" t="s">
        <v>70</v>
      </c>
      <c r="C180" s="45">
        <f t="shared" si="11"/>
        <v>65</v>
      </c>
      <c r="D180" s="45">
        <f t="shared" si="3"/>
        <v>176</v>
      </c>
      <c r="E180" s="45">
        <f t="shared" si="3"/>
        <v>57</v>
      </c>
      <c r="F180" s="45">
        <f t="shared" si="3"/>
        <v>-32</v>
      </c>
      <c r="G180" s="45"/>
      <c r="H180" s="46">
        <f t="shared" si="12"/>
        <v>114.63678160000063</v>
      </c>
      <c r="I180" s="45"/>
      <c r="J180" s="45"/>
      <c r="K180" s="45"/>
      <c r="L180" s="45"/>
      <c r="M180" s="45"/>
      <c r="N180" s="45"/>
      <c r="O180" s="1"/>
      <c r="P180" s="36"/>
    </row>
    <row r="181" ht="15" customHeight="1">
      <c r="A181" s="1"/>
      <c r="B181" s="43" t="s">
        <v>71</v>
      </c>
      <c r="C181" s="35">
        <f t="shared" si="13"/>
        <v>0.019750835612275974</v>
      </c>
      <c r="D181" s="35">
        <f t="shared" si="4"/>
        <v>0.05244338498212153</v>
      </c>
      <c r="E181" s="35">
        <f t="shared" si="4"/>
        <v>0.016138165345413347</v>
      </c>
      <c r="F181" s="35">
        <f t="shared" si="4"/>
        <v>-0.008916132627472817</v>
      </c>
      <c r="G181" s="35"/>
      <c r="H181" s="44">
        <f t="shared" si="14"/>
        <v>0.032228501996064196</v>
      </c>
      <c r="I181" s="35"/>
      <c r="J181" s="35"/>
      <c r="K181" s="35"/>
      <c r="L181" s="35"/>
      <c r="M181" s="35"/>
      <c r="N181" s="35"/>
      <c r="O181" s="1"/>
      <c r="P181" s="36"/>
    </row>
    <row r="182" ht="15" customHeight="1">
      <c r="A182" s="1"/>
      <c r="B182" s="43" t="s">
        <v>151</v>
      </c>
      <c r="C182" s="35">
        <f t="shared" si="44" ref="C182:N182">_xlfn.IFERROR(C178/C133,"n/a")</f>
        <v>0.4152437515466469</v>
      </c>
      <c r="D182" s="35">
        <f t="shared" si="44"/>
        <v>0.4054643554126966</v>
      </c>
      <c r="E182" s="35">
        <f t="shared" si="44"/>
        <v>0.4168408826945412</v>
      </c>
      <c r="F182" s="35">
        <f t="shared" si="44"/>
        <v>0.39912477558348297</v>
      </c>
      <c r="G182" s="35">
        <f t="shared" si="44"/>
        <v>0.4058275484106686</v>
      </c>
      <c r="H182" s="44">
        <f t="shared" si="44"/>
        <v>0.4017506398282071</v>
      </c>
      <c r="I182" s="35"/>
      <c r="J182" s="35">
        <f t="shared" si="44"/>
        <v>0.40058479532163743</v>
      </c>
      <c r="K182" s="35">
        <f t="shared" si="44"/>
        <v>0.3904068726882234</v>
      </c>
      <c r="L182" s="35">
        <f t="shared" si="44"/>
        <v>0.39291505550704753</v>
      </c>
      <c r="M182" s="35">
        <f t="shared" si="44"/>
        <v>0.40963405526512325</v>
      </c>
      <c r="N182" s="35">
        <f t="shared" si="44"/>
        <v>0.3720245966675483</v>
      </c>
      <c r="O182" s="1"/>
      <c r="P182" s="36"/>
    </row>
    <row r="183" ht="15" customHeight="1">
      <c r="A183" s="1"/>
      <c r="B183" s="54" t="s">
        <v>116</v>
      </c>
      <c r="C183" s="62">
        <f t="shared" si="34"/>
        <v>146.58956225009456</v>
      </c>
      <c r="D183" s="62">
        <f t="shared" si="34"/>
        <v>150.57482724473215</v>
      </c>
      <c r="E183" s="62">
        <f t="shared" si="34"/>
        <v>239.25827187493698</v>
      </c>
      <c r="F183" s="62">
        <f t="shared" si="34"/>
        <v>-105.09279681640282</v>
      </c>
      <c r="G183" s="62">
        <f t="shared" si="34"/>
        <v>338.02951743120315</v>
      </c>
      <c r="H183" s="63">
        <f t="shared" si="36"/>
        <v>-134.9311171843981</v>
      </c>
      <c r="I183" s="62"/>
      <c r="J183" s="62"/>
      <c r="K183" s="62"/>
      <c r="L183" s="62"/>
      <c r="M183" s="62"/>
      <c r="N183" s="62"/>
      <c r="O183" s="1"/>
      <c r="P183" s="36"/>
    </row>
    <row r="184" ht="15" customHeight="1">
      <c r="A184" s="1"/>
      <c r="B184" s="1"/>
      <c r="C184" s="1"/>
      <c r="D184" s="1"/>
      <c r="E184" s="1"/>
      <c r="F184" s="1"/>
      <c r="G184" s="1"/>
      <c r="H184" s="40"/>
      <c r="I184" s="1"/>
      <c r="J184" s="1"/>
      <c r="K184" s="1"/>
      <c r="L184" s="1"/>
      <c r="M184" s="1"/>
      <c r="N184" s="1"/>
      <c r="O184" s="1"/>
      <c r="P184" s="36"/>
    </row>
    <row r="185" ht="15" customHeight="1">
      <c r="A185" s="1"/>
      <c r="B185" s="25" t="s">
        <v>152</v>
      </c>
      <c r="C185" s="1"/>
      <c r="D185" s="1"/>
      <c r="E185" s="1"/>
      <c r="F185" s="1"/>
      <c r="G185" s="1"/>
      <c r="H185" s="40"/>
      <c r="I185" s="1"/>
      <c r="J185" s="1"/>
      <c r="K185" s="1"/>
      <c r="L185" s="1"/>
      <c r="M185" s="1"/>
      <c r="N185" s="1"/>
      <c r="O185" s="1"/>
      <c r="P185" s="36"/>
    </row>
    <row r="186" ht="15" customHeight="1">
      <c r="A186" s="1"/>
      <c r="B186" s="41" t="s">
        <v>153</v>
      </c>
      <c r="C186" s="33">
        <f>'Income Statement'!C198</f>
        <v>14462</v>
      </c>
      <c r="D186" s="33">
        <f>'Income Statement'!D198</f>
        <v>14557</v>
      </c>
      <c r="E186" s="33">
        <f>'Income Statement'!E198</f>
        <v>14684</v>
      </c>
      <c r="F186" s="33">
        <f>'Income Statement'!F198</f>
        <v>14752</v>
      </c>
      <c r="G186" s="33">
        <f>'Income Statement'!G198</f>
        <v>14557</v>
      </c>
      <c r="H186" s="65">
        <f>'Income Statement'!H198</f>
        <v>14800</v>
      </c>
      <c r="I186" s="66"/>
      <c r="J186" s="33">
        <f>'Income Statement'!J198</f>
        <v>13357</v>
      </c>
      <c r="K186" s="33">
        <f>'Income Statement'!K198</f>
        <v>13646</v>
      </c>
      <c r="L186" s="33">
        <f>'Income Statement'!L198</f>
        <v>13862</v>
      </c>
      <c r="M186" s="33">
        <f>'Income Statement'!M198</f>
        <v>14148</v>
      </c>
      <c r="N186" s="33">
        <f>'Income Statement'!N198</f>
        <v>13646</v>
      </c>
      <c r="O186" s="1"/>
      <c r="P186" s="36" t="s">
        <v>154</v>
      </c>
    </row>
    <row r="187" ht="15" customHeight="1">
      <c r="A187" s="1"/>
      <c r="B187" s="43" t="s">
        <v>69</v>
      </c>
      <c r="C187" s="35">
        <f t="shared" si="2"/>
        <v>0.0827281575204013</v>
      </c>
      <c r="D187" s="35">
        <f t="shared" si="2"/>
        <v>0.06675948996042802</v>
      </c>
      <c r="E187" s="35">
        <f t="shared" si="2"/>
        <v>0.05929880248160435</v>
      </c>
      <c r="F187" s="35">
        <f t="shared" si="2"/>
        <v>0.042691546508340394</v>
      </c>
      <c r="G187" s="35">
        <f t="shared" si="2"/>
        <v>0.06675948996042802</v>
      </c>
      <c r="H187" s="44">
        <f t="shared" si="21"/>
        <v>0.023371594523579065</v>
      </c>
      <c r="I187" s="35"/>
      <c r="J187" s="35"/>
      <c r="K187" s="35"/>
      <c r="L187" s="35"/>
      <c r="M187" s="35"/>
      <c r="N187" s="35"/>
      <c r="O187" s="1"/>
      <c r="P187" s="36"/>
    </row>
    <row r="188" ht="15" customHeight="1">
      <c r="A188" s="1"/>
      <c r="B188" s="43" t="s">
        <v>155</v>
      </c>
      <c r="C188" s="62">
        <f t="shared" si="11"/>
        <v>314</v>
      </c>
      <c r="D188" s="62">
        <f t="shared" si="3"/>
        <v>95</v>
      </c>
      <c r="E188" s="62">
        <f t="shared" si="3"/>
        <v>127</v>
      </c>
      <c r="F188" s="62">
        <f t="shared" si="3"/>
        <v>68</v>
      </c>
      <c r="G188" s="62"/>
      <c r="H188" s="63">
        <f t="shared" si="12"/>
        <v>48</v>
      </c>
      <c r="I188" s="62"/>
      <c r="J188" s="62"/>
      <c r="K188" s="62"/>
      <c r="L188" s="62"/>
      <c r="M188" s="62"/>
      <c r="N188" s="62"/>
      <c r="O188" s="1"/>
      <c r="P188" s="36"/>
    </row>
    <row r="189" ht="15" customHeight="1">
      <c r="A189" s="1"/>
      <c r="B189" s="41" t="s">
        <v>156</v>
      </c>
      <c r="C189" s="21">
        <f>_xlfn.IFERROR(C68/((C186+M186)/2)*1000,"n/a")</f>
        <v>369.80076896190144</v>
      </c>
      <c r="D189" s="21">
        <f t="shared" si="45" ref="D189:F189">_xlfn.IFERROR(D68/((D186+C186)/2)*1000,"n/a")</f>
        <v>386.6432337434095</v>
      </c>
      <c r="E189" s="21">
        <f t="shared" si="45"/>
        <v>407.7835915324373</v>
      </c>
      <c r="F189" s="21">
        <f t="shared" si="45"/>
        <v>426.75635276532137</v>
      </c>
      <c r="G189" s="21"/>
      <c r="H189" s="59">
        <f>_xlfn.IFERROR(H68/((H186+F186)/2)*1000,"n/a")</f>
        <v>445.9796020573904</v>
      </c>
      <c r="I189" s="21"/>
      <c r="J189" s="21"/>
      <c r="K189" s="21"/>
      <c r="L189" s="21"/>
      <c r="M189" s="21"/>
      <c r="N189" s="21"/>
      <c r="O189" s="1"/>
      <c r="P189" s="36" t="s">
        <v>157</v>
      </c>
    </row>
    <row r="190" ht="15" customHeight="1">
      <c r="A190" s="1"/>
      <c r="B190" s="43" t="s">
        <v>158</v>
      </c>
      <c r="C190" s="45" t="s">
        <v>41</v>
      </c>
      <c r="D190" s="45" t="s">
        <v>41</v>
      </c>
      <c r="E190" s="45" t="s">
        <v>41</v>
      </c>
      <c r="F190" s="45" t="s">
        <v>41</v>
      </c>
      <c r="G190" s="45"/>
      <c r="H190" s="46">
        <f>_xlfn.IFERROR(H189-C189,"n/a")</f>
        <v>76.17883309548898</v>
      </c>
      <c r="I190" s="45"/>
      <c r="J190" s="45"/>
      <c r="K190" s="45"/>
      <c r="L190" s="45"/>
      <c r="M190" s="45"/>
      <c r="N190" s="45"/>
      <c r="O190" s="1"/>
      <c r="P190" s="36" t="s">
        <v>159</v>
      </c>
    </row>
    <row r="191" ht="15" customHeight="1">
      <c r="A191" s="1"/>
      <c r="B191" s="43" t="s">
        <v>160</v>
      </c>
      <c r="C191" s="45"/>
      <c r="D191" s="45">
        <f t="shared" si="46" ref="D191:F191">_xlfn.IFERROR(D189-C189,"n/a")</f>
        <v>16.842464781508056</v>
      </c>
      <c r="E191" s="45">
        <f t="shared" si="46"/>
        <v>21.140357789027803</v>
      </c>
      <c r="F191" s="45">
        <f t="shared" si="46"/>
        <v>18.972761232884068</v>
      </c>
      <c r="G191" s="45"/>
      <c r="H191" s="46">
        <f>_xlfn.IFERROR(H189-F189,"n/a")</f>
        <v>19.223249292069056</v>
      </c>
      <c r="I191" s="45"/>
      <c r="J191" s="45"/>
      <c r="K191" s="45"/>
      <c r="L191" s="45"/>
      <c r="M191" s="45"/>
      <c r="N191" s="45"/>
      <c r="O191" s="1"/>
      <c r="P191" s="36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03EEE6B-CE09-5298-C598-1571B5118E4E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2.00390625" customWidth="1"/>
    <col min="10" max="14" width="12.00390625" customWidth="1"/>
    <col min="15" max="15" width="2.00390625" customWidth="1"/>
    <col min="16" max="16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15" customHeight="1">
      <c r="A3" s="1"/>
      <c r="B3" s="3" t="s">
        <v>161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4" t="s">
        <v>59</v>
      </c>
      <c r="K5" s="1"/>
      <c r="L5" s="1"/>
      <c r="M5" s="1"/>
      <c r="N5" s="1"/>
      <c r="O5" s="1"/>
      <c r="P5" s="1"/>
    </row>
    <row r="6" ht="15" customHeight="1">
      <c r="A6" s="1"/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7" t="s">
        <v>9</v>
      </c>
      <c r="I6" s="37"/>
      <c r="J6" s="6" t="s">
        <v>60</v>
      </c>
      <c r="K6" s="6" t="s">
        <v>61</v>
      </c>
      <c r="L6" s="6" t="s">
        <v>62</v>
      </c>
      <c r="M6" s="6" t="s">
        <v>63</v>
      </c>
      <c r="N6" s="6" t="s">
        <v>64</v>
      </c>
      <c r="O6" s="1"/>
      <c r="P6" s="3" t="s">
        <v>65</v>
      </c>
    </row>
    <row r="7" ht="15" customHeight="1">
      <c r="A7" s="1"/>
      <c r="B7" s="8" t="s">
        <v>10</v>
      </c>
      <c r="C7" s="9">
        <v>45930</v>
      </c>
      <c r="D7" s="9">
        <v>46022</v>
      </c>
      <c r="E7" s="9">
        <v>46112</v>
      </c>
      <c r="F7" s="9">
        <v>46203</v>
      </c>
      <c r="G7" s="9">
        <v>46022</v>
      </c>
      <c r="H7" s="10">
        <v>46295</v>
      </c>
      <c r="I7" s="38"/>
      <c r="J7" s="9">
        <v>45565</v>
      </c>
      <c r="K7" s="9">
        <v>45657</v>
      </c>
      <c r="L7" s="9">
        <v>45747</v>
      </c>
      <c r="M7" s="9">
        <v>45838</v>
      </c>
      <c r="N7" s="9">
        <v>45657</v>
      </c>
      <c r="O7" s="1"/>
      <c r="P7" s="1"/>
    </row>
    <row r="8" ht="15" customHeight="1">
      <c r="A8" s="1"/>
      <c r="B8" s="11" t="s">
        <v>11</v>
      </c>
      <c r="C8" s="12">
        <v>92</v>
      </c>
      <c r="D8" s="12">
        <v>92</v>
      </c>
      <c r="E8" s="12">
        <v>90</v>
      </c>
      <c r="F8" s="12">
        <v>91</v>
      </c>
      <c r="G8" s="12">
        <v>365</v>
      </c>
      <c r="H8" s="13">
        <v>92</v>
      </c>
      <c r="I8" s="39"/>
      <c r="J8" s="12">
        <v>92</v>
      </c>
      <c r="K8" s="12">
        <v>92</v>
      </c>
      <c r="L8" s="12">
        <v>90</v>
      </c>
      <c r="M8" s="12">
        <v>91</v>
      </c>
      <c r="N8" s="12">
        <v>366</v>
      </c>
      <c r="O8" s="1"/>
      <c r="P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36"/>
    </row>
    <row r="10" ht="15" customHeight="1">
      <c r="A10" s="1"/>
      <c r="B10" s="25" t="s">
        <v>162</v>
      </c>
      <c r="C10" s="1"/>
      <c r="D10" s="1"/>
      <c r="E10" s="1"/>
      <c r="F10" s="1"/>
      <c r="G10" s="1"/>
      <c r="H10" s="40"/>
      <c r="I10" s="1"/>
      <c r="J10" s="1"/>
      <c r="K10" s="1"/>
      <c r="L10" s="1"/>
      <c r="M10" s="1"/>
      <c r="N10" s="1"/>
      <c r="O10" s="1"/>
      <c r="P10" s="36"/>
    </row>
    <row r="11" ht="15" customHeight="1">
      <c r="A11" s="1"/>
      <c r="B11" s="25" t="s">
        <v>163</v>
      </c>
      <c r="C11" s="60">
        <v>994</v>
      </c>
      <c r="D11" s="60">
        <v>973</v>
      </c>
      <c r="E11" s="60">
        <v>945</v>
      </c>
      <c r="F11" s="60">
        <v>966</v>
      </c>
      <c r="G11" s="51">
        <f t="shared" si="12" ref="G11:G64">L11+M11+C11+D11</f>
        <v>3955</v>
      </c>
      <c r="H11" s="52">
        <f>H30*H31/1000</f>
        <v>964.10575</v>
      </c>
      <c r="I11" s="51"/>
      <c r="J11" s="60">
        <v>945</v>
      </c>
      <c r="K11" s="60">
        <v>996</v>
      </c>
      <c r="L11" s="60">
        <v>996</v>
      </c>
      <c r="M11" s="60">
        <v>992</v>
      </c>
      <c r="N11" s="60">
        <v>3927</v>
      </c>
      <c r="O11" s="1"/>
      <c r="P11" s="36" t="s">
        <v>164</v>
      </c>
    </row>
    <row r="12" ht="15" customHeight="1">
      <c r="A12" s="1"/>
      <c r="B12" s="43" t="s">
        <v>69</v>
      </c>
      <c r="C12" s="35">
        <f t="shared" si="0" ref="C12:G66">_xlfn.IFERROR(C11/J11-1,"n/a")</f>
        <v>0.051851851851851816</v>
      </c>
      <c r="D12" s="35">
        <f t="shared" si="0"/>
        <v>-0.0230923694779116</v>
      </c>
      <c r="E12" s="35">
        <f t="shared" si="0"/>
        <v>-0.051204819277108404</v>
      </c>
      <c r="F12" s="35">
        <f t="shared" si="0"/>
        <v>-0.02620967741935487</v>
      </c>
      <c r="G12" s="35">
        <f t="shared" si="0"/>
        <v>0.007130124777183555</v>
      </c>
      <c r="H12" s="44">
        <f t="shared" si="8" ref="H12:H66">_xlfn.IFERROR(H11/C11-1,"n/a")</f>
        <v>-0.030074698189134885</v>
      </c>
      <c r="I12" s="35"/>
      <c r="J12" s="35"/>
      <c r="K12" s="35"/>
      <c r="L12" s="35"/>
      <c r="M12" s="35"/>
      <c r="N12" s="35"/>
      <c r="O12" s="1"/>
      <c r="P12" s="36"/>
    </row>
    <row r="13" ht="15" customHeight="1">
      <c r="A13" s="1"/>
      <c r="B13" s="43" t="s">
        <v>70</v>
      </c>
      <c r="C13" s="45">
        <f t="shared" si="13" ref="C13:C67">C11-M11</f>
        <v>2</v>
      </c>
      <c r="D13" s="45">
        <f t="shared" si="1" ref="D13:F67">D11-C11</f>
        <v>-21</v>
      </c>
      <c r="E13" s="45">
        <f t="shared" si="1"/>
        <v>-28</v>
      </c>
      <c r="F13" s="45">
        <f t="shared" si="1"/>
        <v>21</v>
      </c>
      <c r="G13" s="45"/>
      <c r="H13" s="46">
        <f t="shared" si="14" ref="H13:H67">H11-F11</f>
        <v>-1.8942500000000564</v>
      </c>
      <c r="I13" s="45"/>
      <c r="J13" s="45"/>
      <c r="K13" s="45"/>
      <c r="L13" s="45"/>
      <c r="M13" s="45"/>
      <c r="N13" s="45"/>
      <c r="O13" s="1"/>
      <c r="P13" s="36"/>
    </row>
    <row r="14" ht="15" customHeight="1">
      <c r="A14" s="1"/>
      <c r="B14" s="43" t="s">
        <v>71</v>
      </c>
      <c r="C14" s="35">
        <f t="shared" si="15" ref="C14:C68">_xlfn.IFERROR(C11/M11-1,"n/a")</f>
        <v>0.002016129032258007</v>
      </c>
      <c r="D14" s="35">
        <f t="shared" si="2" ref="D14:F68">_xlfn.IFERROR(D11/C11-1,"n/a")</f>
        <v>-0.021126760563380254</v>
      </c>
      <c r="E14" s="35">
        <f t="shared" si="2"/>
        <v>-0.02877697841726623</v>
      </c>
      <c r="F14" s="35">
        <f t="shared" si="2"/>
        <v>0.022222222222222143</v>
      </c>
      <c r="G14" s="35"/>
      <c r="H14" s="44">
        <f t="shared" si="16" ref="H14:H68">_xlfn.IFERROR(H11/F11-1,"n/a")</f>
        <v>-0.0019609213250517676</v>
      </c>
      <c r="I14" s="35"/>
      <c r="J14" s="35"/>
      <c r="K14" s="35"/>
      <c r="L14" s="35"/>
      <c r="M14" s="35"/>
      <c r="N14" s="35"/>
      <c r="O14" s="1"/>
      <c r="P14" s="36"/>
    </row>
    <row r="15" ht="15" customHeight="1">
      <c r="A15" s="1"/>
      <c r="B15" s="43" t="s">
        <v>72</v>
      </c>
      <c r="C15" s="34">
        <f>_xlfn.IFERROR(C11/'Revenue summary'!C32,"n/a")</f>
        <v>0.10951961216394887</v>
      </c>
      <c r="D15" s="34">
        <f>_xlfn.IFERROR(D11/'Revenue summary'!D32,"n/a")</f>
        <v>0.10047501032631144</v>
      </c>
      <c r="E15" s="34">
        <f>_xlfn.IFERROR(E11/'Revenue summary'!E32,"n/a")</f>
        <v>0.0989010989010989</v>
      </c>
      <c r="F15" s="34">
        <f>_xlfn.IFERROR(F11/'Revenue summary'!F32,"n/a")</f>
        <v>0.0977930755213606</v>
      </c>
      <c r="G15" s="34">
        <f>_xlfn.IFERROR(G11/'Revenue summary'!G32,"n/a")</f>
        <v>0.10747282608695652</v>
      </c>
      <c r="H15" s="49">
        <f>_xlfn.IFERROR(H11/'Revenue summary'!H32,"n/a")</f>
        <v>0.0954257851909893</v>
      </c>
      <c r="I15" s="35"/>
      <c r="J15" s="35"/>
      <c r="K15" s="35"/>
      <c r="L15" s="35"/>
      <c r="M15" s="35"/>
      <c r="N15" s="35"/>
      <c r="O15" s="1"/>
      <c r="P15" s="36"/>
    </row>
    <row r="16" ht="15" customHeight="1">
      <c r="A16" s="1"/>
      <c r="B16" s="43" t="s">
        <v>73</v>
      </c>
      <c r="C16" s="50">
        <v>38</v>
      </c>
      <c r="D16" s="50">
        <v>46</v>
      </c>
      <c r="E16" s="50">
        <v>52</v>
      </c>
      <c r="F16" s="50">
        <v>11</v>
      </c>
      <c r="G16" s="50">
        <v>100</v>
      </c>
      <c r="H16" s="46">
        <f>H11/(1+H18)-H11</f>
        <v>-7.6516329365078946</v>
      </c>
      <c r="I16" s="45"/>
      <c r="J16" s="45"/>
      <c r="K16" s="45"/>
      <c r="L16" s="45"/>
      <c r="M16" s="45"/>
      <c r="N16" s="45"/>
      <c r="O16" s="1"/>
      <c r="P16" s="36" t="s">
        <v>82</v>
      </c>
    </row>
    <row r="17" ht="15" customHeight="1">
      <c r="A17" s="1"/>
      <c r="B17" s="43" t="s">
        <v>75</v>
      </c>
      <c r="C17" s="35">
        <f t="shared" si="3" ref="C17:G17">_xlfn.IFERROR((C11+C16)/J11-1,"n/a")</f>
        <v>0.09206349206349196</v>
      </c>
      <c r="D17" s="35">
        <f t="shared" si="3"/>
        <v>0.02309236947791171</v>
      </c>
      <c r="E17" s="35">
        <f t="shared" si="3"/>
        <v>0.0010040160642570406</v>
      </c>
      <c r="F17" s="35">
        <f t="shared" si="3"/>
        <v>-0.015120967741935498</v>
      </c>
      <c r="G17" s="35">
        <f t="shared" si="3"/>
        <v>0.032594856124267935</v>
      </c>
      <c r="H17" s="44">
        <f>_xlfn.IFERROR((H11+H16)/C11-1,"n/a")</f>
        <v>-0.03777251804477666</v>
      </c>
      <c r="I17" s="35"/>
      <c r="J17" s="35"/>
      <c r="K17" s="35"/>
      <c r="L17" s="35"/>
      <c r="M17" s="35"/>
      <c r="N17" s="35"/>
      <c r="O17" s="1"/>
      <c r="P17" s="36"/>
    </row>
    <row r="18" ht="15" customHeight="1">
      <c r="A18" s="1"/>
      <c r="B18" s="43" t="s">
        <v>76</v>
      </c>
      <c r="C18" s="35">
        <f t="shared" si="4" ref="C18:G18">_xlfn.IFERROR((1+C12)/(1+C17)-1,"n/a")</f>
        <v>-0.036821705426356544</v>
      </c>
      <c r="D18" s="35">
        <f t="shared" si="4"/>
        <v>-0.045142296368989254</v>
      </c>
      <c r="E18" s="35">
        <f t="shared" si="4"/>
        <v>-0.052156469408224604</v>
      </c>
      <c r="F18" s="35">
        <f t="shared" si="4"/>
        <v>-0.011258955987717534</v>
      </c>
      <c r="G18" s="35">
        <f t="shared" si="4"/>
        <v>-0.024660912453760897</v>
      </c>
      <c r="H18" s="57">
        <v>0.008</v>
      </c>
      <c r="I18" s="35"/>
      <c r="J18" s="35"/>
      <c r="K18" s="35"/>
      <c r="L18" s="35"/>
      <c r="M18" s="35"/>
      <c r="N18" s="35"/>
      <c r="O18" s="1"/>
      <c r="P18" s="36" t="s">
        <v>109</v>
      </c>
    </row>
    <row r="19" ht="15" customHeight="1">
      <c r="A19" s="1"/>
      <c r="B19" s="43" t="s">
        <v>77</v>
      </c>
      <c r="C19" s="35" t="s">
        <v>41</v>
      </c>
      <c r="D19" s="56">
        <v>0</v>
      </c>
      <c r="E19" s="35" t="s">
        <v>41</v>
      </c>
      <c r="F19" s="35" t="s">
        <v>41</v>
      </c>
      <c r="G19" s="35" t="s">
        <v>41</v>
      </c>
      <c r="H19" s="57">
        <v>0</v>
      </c>
      <c r="I19" s="35"/>
      <c r="J19" s="35"/>
      <c r="K19" s="35"/>
      <c r="L19" s="35"/>
      <c r="M19" s="35"/>
      <c r="N19" s="35"/>
      <c r="O19" s="1"/>
      <c r="P19" s="36" t="s">
        <v>83</v>
      </c>
    </row>
    <row r="20" ht="15" customHeight="1">
      <c r="A20" s="1"/>
      <c r="B20" s="43" t="s">
        <v>78</v>
      </c>
      <c r="C20" s="35" t="str">
        <f t="shared" si="5" ref="C20:H20">IF(AND(ISNUMBER(C19),ISNUMBER(C18),ISNUMBER(C12)),(1+C12)/((1+C19)*(1+C18))-1,"n/a")</f>
        <v>n/a</v>
      </c>
      <c r="D20" s="35">
        <f t="shared" si="5"/>
        <v>0.02309236947791171</v>
      </c>
      <c r="E20" s="35" t="str">
        <f t="shared" si="5"/>
        <v>n/a</v>
      </c>
      <c r="F20" s="35" t="str">
        <f t="shared" si="5"/>
        <v>n/a</v>
      </c>
      <c r="G20" s="35" t="str">
        <f t="shared" si="5"/>
        <v>n/a</v>
      </c>
      <c r="H20" s="44">
        <f t="shared" si="5"/>
        <v>-0.03777251804477666</v>
      </c>
      <c r="I20" s="35"/>
      <c r="J20" s="35"/>
      <c r="K20" s="35"/>
      <c r="L20" s="35"/>
      <c r="M20" s="35"/>
      <c r="N20" s="35"/>
      <c r="O20" s="1"/>
      <c r="P20" s="36"/>
    </row>
    <row r="21" ht="15" customHeight="1">
      <c r="A21" s="1"/>
      <c r="B21" s="43" t="s">
        <v>165</v>
      </c>
      <c r="C21" s="34">
        <f>_xlfn.IFERROR(C11/'Revenue summary'!C76,"n/a")</f>
        <v>0.9377358490566038</v>
      </c>
      <c r="D21" s="34">
        <f>_xlfn.IFERROR(D11/'Revenue summary'!D76,"n/a")</f>
        <v>0.9127579737335835</v>
      </c>
      <c r="E21" s="34">
        <f>_xlfn.IFERROR(E11/'Revenue summary'!E76,"n/a")</f>
        <v>0.9384309831181727</v>
      </c>
      <c r="F21" s="34">
        <f>_xlfn.IFERROR(F11/'Revenue summary'!F76,"n/a")</f>
        <v>0.9406037000973709</v>
      </c>
      <c r="G21" s="34">
        <f>_xlfn.IFERROR(G11/'Revenue summary'!G76,"n/a")</f>
        <v>0.9279680900985453</v>
      </c>
      <c r="H21" s="49">
        <f>_xlfn.IFERROR(H11/'Revenue summary'!H76,"n/a")</f>
        <v>0.9407509032633108</v>
      </c>
      <c r="I21" s="35"/>
      <c r="J21" s="35"/>
      <c r="K21" s="35"/>
      <c r="L21" s="35"/>
      <c r="M21" s="35"/>
      <c r="N21" s="35"/>
      <c r="O21" s="1"/>
      <c r="P21" s="36"/>
    </row>
    <row r="22" ht="15" customHeight="1">
      <c r="A22" s="1"/>
      <c r="B22" s="1"/>
      <c r="C22" s="1"/>
      <c r="D22" s="1"/>
      <c r="E22" s="1"/>
      <c r="F22" s="1"/>
      <c r="G22" s="1"/>
      <c r="H22" s="40"/>
      <c r="I22" s="1"/>
      <c r="J22" s="1"/>
      <c r="K22" s="1"/>
      <c r="L22" s="1"/>
      <c r="M22" s="1"/>
      <c r="N22" s="1"/>
      <c r="O22" s="1"/>
      <c r="P22" s="36"/>
    </row>
    <row r="23" ht="15" customHeight="1">
      <c r="A23" s="1"/>
      <c r="B23" s="25" t="s">
        <v>166</v>
      </c>
      <c r="C23" s="1"/>
      <c r="D23" s="1"/>
      <c r="E23" s="1"/>
      <c r="F23" s="1"/>
      <c r="G23" s="1"/>
      <c r="H23" s="40"/>
      <c r="I23" s="1"/>
      <c r="J23" s="1"/>
      <c r="K23" s="1"/>
      <c r="L23" s="1"/>
      <c r="M23" s="1"/>
      <c r="N23" s="1"/>
      <c r="O23" s="1"/>
      <c r="P23" s="36"/>
    </row>
    <row r="24" ht="15" customHeight="1">
      <c r="A24" s="1"/>
      <c r="B24" s="41" t="s">
        <v>167</v>
      </c>
      <c r="C24" s="66">
        <f>M28</f>
        <v>18732</v>
      </c>
      <c r="D24" s="66">
        <f t="shared" si="6" ref="D24:F24">C28</f>
        <v>18899</v>
      </c>
      <c r="E24" s="66">
        <f t="shared" si="6"/>
        <v>18691</v>
      </c>
      <c r="F24" s="66">
        <f t="shared" si="6"/>
        <v>18640</v>
      </c>
      <c r="G24" s="66"/>
      <c r="H24" s="67">
        <f>F28</f>
        <v>18741</v>
      </c>
      <c r="I24" s="66"/>
      <c r="J24" s="66"/>
      <c r="K24" s="66"/>
      <c r="L24" s="66"/>
      <c r="M24" s="66"/>
      <c r="N24" s="66"/>
      <c r="O24" s="1"/>
      <c r="P24" s="36"/>
    </row>
    <row r="25" ht="15" customHeight="1">
      <c r="A25" s="1"/>
      <c r="B25" s="41" t="s">
        <v>168</v>
      </c>
      <c r="C25" s="66" t="s">
        <v>41</v>
      </c>
      <c r="D25" s="66" t="s">
        <v>41</v>
      </c>
      <c r="E25" s="66" t="s">
        <v>41</v>
      </c>
      <c r="F25" s="66" t="s">
        <v>41</v>
      </c>
      <c r="G25" s="66"/>
      <c r="H25" s="67" t="s">
        <v>41</v>
      </c>
      <c r="I25" s="66"/>
      <c r="J25" s="66"/>
      <c r="K25" s="66"/>
      <c r="L25" s="66"/>
      <c r="M25" s="66"/>
      <c r="N25" s="66"/>
      <c r="O25" s="1"/>
      <c r="P25" s="36" t="s">
        <v>169</v>
      </c>
    </row>
    <row r="26" ht="15" customHeight="1">
      <c r="A26" s="1"/>
      <c r="B26" s="41" t="s">
        <v>170</v>
      </c>
      <c r="C26" s="66" t="s">
        <v>41</v>
      </c>
      <c r="D26" s="66" t="s">
        <v>41</v>
      </c>
      <c r="E26" s="66" t="s">
        <v>41</v>
      </c>
      <c r="F26" s="66" t="s">
        <v>41</v>
      </c>
      <c r="G26" s="66"/>
      <c r="H26" s="67" t="s">
        <v>41</v>
      </c>
      <c r="I26" s="66"/>
      <c r="J26" s="66"/>
      <c r="K26" s="66"/>
      <c r="L26" s="66"/>
      <c r="M26" s="66"/>
      <c r="N26" s="66"/>
      <c r="O26" s="1"/>
      <c r="P26" s="36" t="s">
        <v>169</v>
      </c>
    </row>
    <row r="27" ht="15" customHeight="1">
      <c r="A27" s="1"/>
      <c r="B27" s="41" t="s">
        <v>171</v>
      </c>
      <c r="C27" s="66">
        <f t="shared" si="7" ref="C27:H27">C28-C24</f>
        <v>167</v>
      </c>
      <c r="D27" s="66">
        <f t="shared" si="7"/>
        <v>-208</v>
      </c>
      <c r="E27" s="66">
        <f t="shared" si="7"/>
        <v>-51</v>
      </c>
      <c r="F27" s="66">
        <f t="shared" si="7"/>
        <v>101</v>
      </c>
      <c r="G27" s="66"/>
      <c r="H27" s="67">
        <f t="shared" si="7"/>
        <v>-41</v>
      </c>
      <c r="I27" s="66"/>
      <c r="J27" s="66"/>
      <c r="K27" s="66"/>
      <c r="L27" s="66"/>
      <c r="M27" s="66"/>
      <c r="N27" s="66"/>
      <c r="O27" s="1"/>
      <c r="P27" s="36"/>
    </row>
    <row r="28" ht="15" customHeight="1">
      <c r="A28" s="1"/>
      <c r="B28" s="41" t="s">
        <v>172</v>
      </c>
      <c r="C28" s="33">
        <f>'Income Statement'!C201</f>
        <v>18899</v>
      </c>
      <c r="D28" s="33">
        <f>'Income Statement'!D201</f>
        <v>18691</v>
      </c>
      <c r="E28" s="33">
        <f>'Income Statement'!E201</f>
        <v>18640</v>
      </c>
      <c r="F28" s="33">
        <f>'Income Statement'!F201</f>
        <v>18741</v>
      </c>
      <c r="G28" s="33">
        <f>'Income Statement'!G201</f>
        <v>18691</v>
      </c>
      <c r="H28" s="65">
        <f>'Income Statement'!H201</f>
        <v>18700</v>
      </c>
      <c r="I28" s="66"/>
      <c r="J28" s="33">
        <f>'Income Statement'!J201</f>
        <v>18582</v>
      </c>
      <c r="K28" s="33">
        <f>'Income Statement'!K201</f>
        <v>18770</v>
      </c>
      <c r="L28" s="33">
        <f>'Income Statement'!L201</f>
        <v>18639</v>
      </c>
      <c r="M28" s="33">
        <f>'Income Statement'!M201</f>
        <v>18732</v>
      </c>
      <c r="N28" s="33">
        <f>'Income Statement'!N201</f>
        <v>18770</v>
      </c>
      <c r="O28" s="1"/>
      <c r="P28" s="36" t="s">
        <v>173</v>
      </c>
    </row>
    <row r="29" ht="15" customHeight="1">
      <c r="A29" s="1"/>
      <c r="B29" s="43" t="s">
        <v>69</v>
      </c>
      <c r="C29" s="35">
        <f t="shared" si="0"/>
        <v>0.0170595199655581</v>
      </c>
      <c r="D29" s="35">
        <f t="shared" si="0"/>
        <v>-0.00420884389984022</v>
      </c>
      <c r="E29" s="35">
        <f t="shared" si="0"/>
        <v>0.00005365094693932093</v>
      </c>
      <c r="F29" s="35">
        <f t="shared" si="0"/>
        <v>0.00048046124279310654</v>
      </c>
      <c r="G29" s="35">
        <f t="shared" si="0"/>
        <v>-0.00420884389984022</v>
      </c>
      <c r="H29" s="44">
        <f t="shared" si="8"/>
        <v>-0.010529657653844171</v>
      </c>
      <c r="I29" s="35"/>
      <c r="J29" s="35"/>
      <c r="K29" s="35"/>
      <c r="L29" s="35"/>
      <c r="M29" s="35"/>
      <c r="N29" s="35"/>
      <c r="O29" s="1"/>
      <c r="P29" s="36"/>
    </row>
    <row r="30" ht="15" customHeight="1">
      <c r="A30" s="1"/>
      <c r="B30" s="41" t="s">
        <v>174</v>
      </c>
      <c r="C30" s="66">
        <f>(C28+M28)/2</f>
        <v>18815.5</v>
      </c>
      <c r="D30" s="66">
        <f t="shared" si="9" ref="D30:F30">(D28+C28)/2</f>
        <v>18795</v>
      </c>
      <c r="E30" s="66">
        <f t="shared" si="9"/>
        <v>18665.5</v>
      </c>
      <c r="F30" s="66">
        <f t="shared" si="9"/>
        <v>18690.5</v>
      </c>
      <c r="G30" s="66"/>
      <c r="H30" s="67">
        <f>(H28+F28)/2</f>
        <v>18720.5</v>
      </c>
      <c r="I30" s="66"/>
      <c r="J30" s="66"/>
      <c r="K30" s="66"/>
      <c r="L30" s="66"/>
      <c r="M30" s="66"/>
      <c r="N30" s="66"/>
      <c r="O30" s="1"/>
      <c r="P30" s="36"/>
    </row>
    <row r="31" ht="15" customHeight="1">
      <c r="A31" s="1"/>
      <c r="B31" s="41" t="s">
        <v>175</v>
      </c>
      <c r="C31" s="21">
        <f t="shared" si="10" ref="C31:F31">_xlfn.IFERROR(C11/C30*1000,"n/a")</f>
        <v>52.828784778507085</v>
      </c>
      <c r="D31" s="21">
        <f t="shared" si="10"/>
        <v>51.76908752327747</v>
      </c>
      <c r="E31" s="21">
        <f t="shared" si="10"/>
        <v>50.62816426026626</v>
      </c>
      <c r="F31" s="21">
        <f t="shared" si="10"/>
        <v>51.68401059361708</v>
      </c>
      <c r="G31" s="21"/>
      <c r="H31" s="68">
        <v>51.5</v>
      </c>
      <c r="I31" s="21"/>
      <c r="J31" s="21"/>
      <c r="K31" s="21"/>
      <c r="L31" s="21"/>
      <c r="M31" s="21"/>
      <c r="N31" s="21"/>
      <c r="O31" s="1"/>
      <c r="P31" s="36" t="s">
        <v>176</v>
      </c>
    </row>
    <row r="32" ht="15" customHeight="1">
      <c r="A32" s="1"/>
      <c r="B32" s="43" t="s">
        <v>158</v>
      </c>
      <c r="C32" s="45" t="s">
        <v>41</v>
      </c>
      <c r="D32" s="45" t="s">
        <v>41</v>
      </c>
      <c r="E32" s="45" t="s">
        <v>41</v>
      </c>
      <c r="F32" s="45" t="s">
        <v>41</v>
      </c>
      <c r="G32" s="45"/>
      <c r="H32" s="46">
        <f>_xlfn.IFERROR(H31-C31,"n/a")</f>
        <v>-1.3287847785070852</v>
      </c>
      <c r="I32" s="45"/>
      <c r="J32" s="45"/>
      <c r="K32" s="45"/>
      <c r="L32" s="45"/>
      <c r="M32" s="45"/>
      <c r="N32" s="45"/>
      <c r="O32" s="1"/>
      <c r="P32" s="36" t="s">
        <v>159</v>
      </c>
    </row>
    <row r="33" ht="15" customHeight="1">
      <c r="A33" s="1"/>
      <c r="B33" s="43" t="s">
        <v>160</v>
      </c>
      <c r="C33" s="45"/>
      <c r="D33" s="45">
        <f t="shared" si="11" ref="D33:F33">_xlfn.IFERROR(D31-C31,"n/a")</f>
        <v>-1.059697255229615</v>
      </c>
      <c r="E33" s="45">
        <f t="shared" si="11"/>
        <v>-1.14092326301121</v>
      </c>
      <c r="F33" s="45">
        <f t="shared" si="11"/>
        <v>1.0558463333508215</v>
      </c>
      <c r="G33" s="45"/>
      <c r="H33" s="46">
        <f>_xlfn.IFERROR(H31-F31,"n/a")</f>
        <v>-0.1840105936170815</v>
      </c>
      <c r="I33" s="45"/>
      <c r="J33" s="45"/>
      <c r="K33" s="45"/>
      <c r="L33" s="45"/>
      <c r="M33" s="45"/>
      <c r="N33" s="45"/>
      <c r="O33" s="1"/>
      <c r="P33" s="36"/>
    </row>
    <row r="34" ht="15" customHeight="1">
      <c r="A34" s="1"/>
      <c r="B34" s="1"/>
      <c r="C34" s="1"/>
      <c r="D34" s="1"/>
      <c r="E34" s="1"/>
      <c r="F34" s="1"/>
      <c r="G34" s="1"/>
      <c r="H34" s="40"/>
      <c r="I34" s="1"/>
      <c r="J34" s="1"/>
      <c r="K34" s="1"/>
      <c r="L34" s="1"/>
      <c r="M34" s="1"/>
      <c r="N34" s="1"/>
      <c r="O34" s="1"/>
      <c r="P34" s="36"/>
    </row>
    <row r="35" ht="15" customHeight="1">
      <c r="A35" s="1"/>
      <c r="B35" s="25" t="s">
        <v>135</v>
      </c>
      <c r="C35" s="1"/>
      <c r="D35" s="1"/>
      <c r="E35" s="1"/>
      <c r="F35" s="1"/>
      <c r="G35" s="1"/>
      <c r="H35" s="40"/>
      <c r="I35" s="1"/>
      <c r="J35" s="1"/>
      <c r="K35" s="1"/>
      <c r="L35" s="1"/>
      <c r="M35" s="1"/>
      <c r="N35" s="1"/>
      <c r="O35" s="1"/>
      <c r="P35" s="36"/>
    </row>
    <row r="36" ht="15" customHeight="1">
      <c r="A36" s="1"/>
      <c r="B36" s="41" t="s">
        <v>136</v>
      </c>
      <c r="C36" s="61">
        <v>-27</v>
      </c>
      <c r="D36" s="61">
        <v>-34</v>
      </c>
      <c r="E36" s="61">
        <v>-56</v>
      </c>
      <c r="F36" s="61">
        <v>-62</v>
      </c>
      <c r="G36" s="21">
        <f t="shared" si="12"/>
        <v>-116</v>
      </c>
      <c r="H36" s="68">
        <v>-63</v>
      </c>
      <c r="I36" s="21"/>
      <c r="J36" s="61">
        <v>-24</v>
      </c>
      <c r="K36" s="61">
        <v>-32</v>
      </c>
      <c r="L36" s="61">
        <v>-28</v>
      </c>
      <c r="M36" s="61">
        <v>-27</v>
      </c>
      <c r="N36" s="61">
        <v>-108</v>
      </c>
      <c r="O36" s="1"/>
      <c r="P36" s="36" t="s">
        <v>177</v>
      </c>
    </row>
    <row r="37" ht="15" customHeight="1">
      <c r="A37" s="1"/>
      <c r="B37" s="43" t="s">
        <v>69</v>
      </c>
      <c r="C37" s="35">
        <f t="shared" si="0"/>
        <v>0.125</v>
      </c>
      <c r="D37" s="35">
        <f t="shared" si="0"/>
        <v>0.0625</v>
      </c>
      <c r="E37" s="35">
        <f t="shared" si="0"/>
        <v>1</v>
      </c>
      <c r="F37" s="35">
        <f t="shared" si="0"/>
        <v>1.2962962962962963</v>
      </c>
      <c r="G37" s="35">
        <f t="shared" si="0"/>
        <v>0.07407407407407418</v>
      </c>
      <c r="H37" s="44">
        <f t="shared" si="8"/>
        <v>1.3333333333333335</v>
      </c>
      <c r="I37" s="35"/>
      <c r="J37" s="35"/>
      <c r="K37" s="35"/>
      <c r="L37" s="35"/>
      <c r="M37" s="35"/>
      <c r="N37" s="35"/>
      <c r="O37" s="1"/>
      <c r="P37" s="36"/>
    </row>
    <row r="38" ht="15" customHeight="1">
      <c r="A38" s="1"/>
      <c r="B38" s="43" t="s">
        <v>70</v>
      </c>
      <c r="C38" s="45">
        <f t="shared" si="13"/>
        <v>0</v>
      </c>
      <c r="D38" s="45">
        <f t="shared" si="1"/>
        <v>-7</v>
      </c>
      <c r="E38" s="45">
        <f t="shared" si="1"/>
        <v>-22</v>
      </c>
      <c r="F38" s="45">
        <f t="shared" si="1"/>
        <v>-6</v>
      </c>
      <c r="G38" s="45"/>
      <c r="H38" s="46">
        <f t="shared" si="14"/>
        <v>-1</v>
      </c>
      <c r="I38" s="45"/>
      <c r="J38" s="45"/>
      <c r="K38" s="45"/>
      <c r="L38" s="45"/>
      <c r="M38" s="45"/>
      <c r="N38" s="45"/>
      <c r="O38" s="1"/>
      <c r="P38" s="36"/>
    </row>
    <row r="39" ht="15" customHeight="1">
      <c r="A39" s="1"/>
      <c r="B39" s="43" t="s">
        <v>71</v>
      </c>
      <c r="C39" s="35">
        <f t="shared" si="15"/>
        <v>0</v>
      </c>
      <c r="D39" s="35">
        <f t="shared" si="2"/>
        <v>0.2592592592592593</v>
      </c>
      <c r="E39" s="35">
        <f t="shared" si="2"/>
        <v>0.6470588235294117</v>
      </c>
      <c r="F39" s="35">
        <f t="shared" si="2"/>
        <v>0.1071428571428572</v>
      </c>
      <c r="G39" s="35"/>
      <c r="H39" s="44">
        <f t="shared" si="16"/>
        <v>0.016129032258064502</v>
      </c>
      <c r="I39" s="35"/>
      <c r="J39" s="35"/>
      <c r="K39" s="35"/>
      <c r="L39" s="35"/>
      <c r="M39" s="35"/>
      <c r="N39" s="35"/>
      <c r="O39" s="1"/>
      <c r="P39" s="36"/>
    </row>
    <row r="40" ht="15" customHeight="1">
      <c r="A40" s="1"/>
      <c r="B40" s="41" t="s">
        <v>138</v>
      </c>
      <c r="C40" s="61">
        <v>-9</v>
      </c>
      <c r="D40" s="61">
        <v>-10</v>
      </c>
      <c r="E40" s="61">
        <v>-1</v>
      </c>
      <c r="F40" s="61">
        <v>-1</v>
      </c>
      <c r="G40" s="21">
        <f t="shared" si="12"/>
        <v>-28</v>
      </c>
      <c r="H40" s="68">
        <v>-1</v>
      </c>
      <c r="I40" s="21"/>
      <c r="J40" s="61">
        <v>-10</v>
      </c>
      <c r="K40" s="61">
        <v>-13</v>
      </c>
      <c r="L40" s="61">
        <v>-5</v>
      </c>
      <c r="M40" s="61">
        <v>-4</v>
      </c>
      <c r="N40" s="61">
        <v>-49</v>
      </c>
      <c r="O40" s="1"/>
      <c r="P40" s="36"/>
    </row>
    <row r="41" ht="15" customHeight="1">
      <c r="A41" s="1"/>
      <c r="B41" s="43" t="s">
        <v>69</v>
      </c>
      <c r="C41" s="35">
        <f t="shared" si="0"/>
        <v>-0.09999999999999998</v>
      </c>
      <c r="D41" s="35">
        <f t="shared" si="0"/>
        <v>-0.23076923076923073</v>
      </c>
      <c r="E41" s="35">
        <f t="shared" si="0"/>
        <v>-0.8</v>
      </c>
      <c r="F41" s="35">
        <f t="shared" si="0"/>
        <v>-0.75</v>
      </c>
      <c r="G41" s="35">
        <f t="shared" si="0"/>
        <v>-0.4285714285714286</v>
      </c>
      <c r="H41" s="44">
        <f t="shared" si="8"/>
        <v>-0.8888888888888888</v>
      </c>
      <c r="I41" s="35"/>
      <c r="J41" s="35"/>
      <c r="K41" s="35"/>
      <c r="L41" s="35"/>
      <c r="M41" s="35"/>
      <c r="N41" s="35"/>
      <c r="O41" s="1"/>
      <c r="P41" s="36"/>
    </row>
    <row r="42" ht="15" customHeight="1">
      <c r="A42" s="1"/>
      <c r="B42" s="43" t="s">
        <v>70</v>
      </c>
      <c r="C42" s="45">
        <f t="shared" si="13"/>
        <v>-5</v>
      </c>
      <c r="D42" s="45">
        <f t="shared" si="1"/>
        <v>-1</v>
      </c>
      <c r="E42" s="45">
        <f t="shared" si="1"/>
        <v>9</v>
      </c>
      <c r="F42" s="45">
        <f t="shared" si="1"/>
        <v>0</v>
      </c>
      <c r="G42" s="45"/>
      <c r="H42" s="46">
        <f t="shared" si="14"/>
        <v>0</v>
      </c>
      <c r="I42" s="45"/>
      <c r="J42" s="45"/>
      <c r="K42" s="45"/>
      <c r="L42" s="45"/>
      <c r="M42" s="45"/>
      <c r="N42" s="45"/>
      <c r="O42" s="1"/>
      <c r="P42" s="36"/>
    </row>
    <row r="43" ht="15" customHeight="1">
      <c r="A43" s="1"/>
      <c r="B43" s="43" t="s">
        <v>71</v>
      </c>
      <c r="C43" s="35">
        <f t="shared" si="15"/>
        <v>1.25</v>
      </c>
      <c r="D43" s="35">
        <f t="shared" si="2"/>
        <v>0.11111111111111116</v>
      </c>
      <c r="E43" s="35">
        <f t="shared" si="2"/>
        <v>-0.9</v>
      </c>
      <c r="F43" s="35">
        <f t="shared" si="2"/>
        <v>0</v>
      </c>
      <c r="G43" s="35"/>
      <c r="H43" s="44">
        <f t="shared" si="16"/>
        <v>0</v>
      </c>
      <c r="I43" s="35"/>
      <c r="J43" s="35"/>
      <c r="K43" s="35"/>
      <c r="L43" s="35"/>
      <c r="M43" s="35"/>
      <c r="N43" s="35"/>
      <c r="O43" s="1"/>
      <c r="P43" s="36"/>
    </row>
    <row r="44" ht="15" customHeight="1">
      <c r="A44" s="1"/>
      <c r="B44" s="54" t="s">
        <v>80</v>
      </c>
      <c r="C44" s="45"/>
      <c r="D44" s="45"/>
      <c r="E44" s="45"/>
      <c r="F44" s="45"/>
      <c r="G44" s="45">
        <f t="shared" si="12"/>
        <v>0</v>
      </c>
      <c r="H44" s="46"/>
      <c r="I44" s="45"/>
      <c r="J44" s="45"/>
      <c r="K44" s="45"/>
      <c r="L44" s="45"/>
      <c r="M44" s="45"/>
      <c r="N44" s="50">
        <v>-1</v>
      </c>
      <c r="O44" s="1"/>
      <c r="P44" s="36" t="s">
        <v>81</v>
      </c>
    </row>
    <row r="45" ht="15" customHeight="1">
      <c r="A45" s="1"/>
      <c r="B45" s="55" t="s">
        <v>140</v>
      </c>
      <c r="C45" s="51">
        <f t="shared" si="17" ref="C45:N45">C36+C40+C44</f>
        <v>-36</v>
      </c>
      <c r="D45" s="51">
        <f t="shared" si="17"/>
        <v>-44</v>
      </c>
      <c r="E45" s="51">
        <f t="shared" si="17"/>
        <v>-57</v>
      </c>
      <c r="F45" s="51">
        <f t="shared" si="17"/>
        <v>-63</v>
      </c>
      <c r="G45" s="51">
        <f t="shared" si="17"/>
        <v>-144</v>
      </c>
      <c r="H45" s="52">
        <f t="shared" si="17"/>
        <v>-64</v>
      </c>
      <c r="I45" s="51"/>
      <c r="J45" s="51">
        <f t="shared" si="17"/>
        <v>-34</v>
      </c>
      <c r="K45" s="51">
        <f t="shared" si="17"/>
        <v>-45</v>
      </c>
      <c r="L45" s="51">
        <f t="shared" si="17"/>
        <v>-33</v>
      </c>
      <c r="M45" s="51">
        <f t="shared" si="17"/>
        <v>-31</v>
      </c>
      <c r="N45" s="51">
        <f t="shared" si="17"/>
        <v>-158</v>
      </c>
      <c r="O45" s="1"/>
      <c r="P45" s="36"/>
    </row>
    <row r="46" ht="15" customHeight="1">
      <c r="A46" s="1"/>
      <c r="B46" s="41" t="s">
        <v>141</v>
      </c>
      <c r="C46" s="61">
        <v>-656</v>
      </c>
      <c r="D46" s="61">
        <v>-704</v>
      </c>
      <c r="E46" s="61">
        <v>-659</v>
      </c>
      <c r="F46" s="61">
        <v>-657</v>
      </c>
      <c r="G46" s="21">
        <f t="shared" si="12"/>
        <v>-2760</v>
      </c>
      <c r="H46" s="59">
        <f>-H11*H50</f>
        <v>-655.59191</v>
      </c>
      <c r="I46" s="21"/>
      <c r="J46" s="61">
        <v>-668</v>
      </c>
      <c r="K46" s="61">
        <v>-743</v>
      </c>
      <c r="L46" s="61">
        <v>-713</v>
      </c>
      <c r="M46" s="61">
        <v>-687</v>
      </c>
      <c r="N46" s="61">
        <v>-2850</v>
      </c>
      <c r="O46" s="1"/>
      <c r="P46" s="36"/>
    </row>
    <row r="47" ht="15" customHeight="1">
      <c r="A47" s="1"/>
      <c r="B47" s="43" t="s">
        <v>69</v>
      </c>
      <c r="C47" s="35">
        <f t="shared" si="0"/>
        <v>-0.017964071856287456</v>
      </c>
      <c r="D47" s="35">
        <f t="shared" si="0"/>
        <v>-0.05248990578734858</v>
      </c>
      <c r="E47" s="35">
        <f t="shared" si="0"/>
        <v>-0.0757363253856943</v>
      </c>
      <c r="F47" s="35">
        <f t="shared" si="0"/>
        <v>-0.04366812227074235</v>
      </c>
      <c r="G47" s="35">
        <f t="shared" si="0"/>
        <v>-0.03157894736842104</v>
      </c>
      <c r="H47" s="44">
        <f t="shared" si="8"/>
        <v>-0.000622088414634181</v>
      </c>
      <c r="I47" s="35"/>
      <c r="J47" s="35"/>
      <c r="K47" s="35"/>
      <c r="L47" s="35"/>
      <c r="M47" s="35"/>
      <c r="N47" s="35"/>
      <c r="O47" s="1"/>
      <c r="P47" s="36"/>
    </row>
    <row r="48" ht="15" customHeight="1">
      <c r="A48" s="1"/>
      <c r="B48" s="43" t="s">
        <v>70</v>
      </c>
      <c r="C48" s="45">
        <f t="shared" si="13"/>
        <v>31</v>
      </c>
      <c r="D48" s="45">
        <f t="shared" si="1"/>
        <v>-48</v>
      </c>
      <c r="E48" s="45">
        <f t="shared" si="1"/>
        <v>45</v>
      </c>
      <c r="F48" s="45">
        <f t="shared" si="1"/>
        <v>2</v>
      </c>
      <c r="G48" s="45"/>
      <c r="H48" s="46">
        <f t="shared" si="14"/>
        <v>1.4080900000000156</v>
      </c>
      <c r="I48" s="45"/>
      <c r="J48" s="45"/>
      <c r="K48" s="45"/>
      <c r="L48" s="45"/>
      <c r="M48" s="45"/>
      <c r="N48" s="45"/>
      <c r="O48" s="1"/>
      <c r="P48" s="36"/>
    </row>
    <row r="49" ht="15" customHeight="1">
      <c r="A49" s="1"/>
      <c r="B49" s="43" t="s">
        <v>71</v>
      </c>
      <c r="C49" s="35">
        <f t="shared" si="15"/>
        <v>-0.0451237263464338</v>
      </c>
      <c r="D49" s="35">
        <f t="shared" si="2"/>
        <v>0.07317073170731714</v>
      </c>
      <c r="E49" s="35">
        <f t="shared" si="2"/>
        <v>-0.06392045454545459</v>
      </c>
      <c r="F49" s="35">
        <f t="shared" si="2"/>
        <v>-0.003034901365705611</v>
      </c>
      <c r="G49" s="35"/>
      <c r="H49" s="44">
        <f t="shared" si="16"/>
        <v>-0.0021432115677321173</v>
      </c>
      <c r="I49" s="35"/>
      <c r="J49" s="35"/>
      <c r="K49" s="35"/>
      <c r="L49" s="35"/>
      <c r="M49" s="35"/>
      <c r="N49" s="35"/>
      <c r="O49" s="1"/>
      <c r="P49" s="36"/>
    </row>
    <row r="50" ht="15" customHeight="1">
      <c r="A50" s="1"/>
      <c r="B50" s="43" t="s">
        <v>178</v>
      </c>
      <c r="C50" s="35">
        <f t="shared" si="18" ref="C50:N50">_xlfn.IFERROR(-C46/C11,"n/a")</f>
        <v>0.6599597585513078</v>
      </c>
      <c r="D50" s="35">
        <f t="shared" si="18"/>
        <v>0.723535457348407</v>
      </c>
      <c r="E50" s="35">
        <f t="shared" si="18"/>
        <v>0.6973544973544974</v>
      </c>
      <c r="F50" s="35">
        <f t="shared" si="18"/>
        <v>0.6801242236024845</v>
      </c>
      <c r="G50" s="35">
        <f t="shared" si="18"/>
        <v>0.6978508217446271</v>
      </c>
      <c r="H50" s="57">
        <v>0.68</v>
      </c>
      <c r="I50" s="35"/>
      <c r="J50" s="35">
        <f t="shared" si="18"/>
        <v>0.7068783068783069</v>
      </c>
      <c r="K50" s="35">
        <f t="shared" si="18"/>
        <v>0.7459839357429718</v>
      </c>
      <c r="L50" s="35">
        <f t="shared" si="18"/>
        <v>0.7158634538152611</v>
      </c>
      <c r="M50" s="35">
        <f t="shared" si="18"/>
        <v>0.6925403225806451</v>
      </c>
      <c r="N50" s="35">
        <f t="shared" si="18"/>
        <v>0.7257448433919023</v>
      </c>
      <c r="O50" s="1"/>
      <c r="P50" s="36" t="s">
        <v>179</v>
      </c>
    </row>
    <row r="51" ht="15" customHeight="1">
      <c r="A51" s="1"/>
      <c r="B51" s="54" t="s">
        <v>116</v>
      </c>
      <c r="C51" s="62">
        <f t="shared" si="19" ref="C51:G70">_xlfn.IFERROR((C50-J50)*10000,"n/a")</f>
        <v>-469.1854832699904</v>
      </c>
      <c r="D51" s="62">
        <f t="shared" si="19"/>
        <v>-224.48478394564876</v>
      </c>
      <c r="E51" s="62">
        <f t="shared" si="19"/>
        <v>-185.0895646076367</v>
      </c>
      <c r="F51" s="62">
        <f t="shared" si="19"/>
        <v>-124.1609897816065</v>
      </c>
      <c r="G51" s="62">
        <f t="shared" si="19"/>
        <v>-278.9402164727517</v>
      </c>
      <c r="H51" s="63">
        <f t="shared" si="23" ref="H51:H70">_xlfn.IFERROR((H50-C50)*10000,"n/a")</f>
        <v>200.40241448692208</v>
      </c>
      <c r="I51" s="62"/>
      <c r="J51" s="62"/>
      <c r="K51" s="62"/>
      <c r="L51" s="62"/>
      <c r="M51" s="62"/>
      <c r="N51" s="62"/>
      <c r="O51" s="1"/>
      <c r="P51" s="36"/>
    </row>
    <row r="52" ht="15" customHeight="1">
      <c r="A52" s="1"/>
      <c r="B52" s="43" t="s">
        <v>80</v>
      </c>
      <c r="C52" s="45"/>
      <c r="D52" s="50">
        <v>1</v>
      </c>
      <c r="E52" s="45"/>
      <c r="F52" s="45"/>
      <c r="G52" s="45">
        <f t="shared" si="12"/>
        <v>1</v>
      </c>
      <c r="H52" s="46"/>
      <c r="I52" s="45"/>
      <c r="J52" s="45"/>
      <c r="K52" s="45"/>
      <c r="L52" s="45"/>
      <c r="M52" s="45"/>
      <c r="N52" s="45"/>
      <c r="O52" s="1"/>
      <c r="P52" s="36" t="s">
        <v>81</v>
      </c>
    </row>
    <row r="53" ht="15" customHeight="1">
      <c r="A53" s="1"/>
      <c r="B53" s="25" t="s">
        <v>144</v>
      </c>
      <c r="C53" s="51">
        <f t="shared" si="20" ref="C53:N53">C45+C46+C52</f>
        <v>-692</v>
      </c>
      <c r="D53" s="51">
        <f t="shared" si="20"/>
        <v>-747</v>
      </c>
      <c r="E53" s="51">
        <f t="shared" si="20"/>
        <v>-716</v>
      </c>
      <c r="F53" s="51">
        <f t="shared" si="20"/>
        <v>-720</v>
      </c>
      <c r="G53" s="51">
        <f t="shared" si="20"/>
        <v>-2903</v>
      </c>
      <c r="H53" s="52">
        <f t="shared" si="20"/>
        <v>-719.59191</v>
      </c>
      <c r="I53" s="51"/>
      <c r="J53" s="51">
        <f t="shared" si="20"/>
        <v>-702</v>
      </c>
      <c r="K53" s="51">
        <f t="shared" si="20"/>
        <v>-788</v>
      </c>
      <c r="L53" s="51">
        <f t="shared" si="20"/>
        <v>-746</v>
      </c>
      <c r="M53" s="51">
        <f t="shared" si="20"/>
        <v>-718</v>
      </c>
      <c r="N53" s="51">
        <f t="shared" si="20"/>
        <v>-3008</v>
      </c>
      <c r="O53" s="1"/>
      <c r="P53" s="36"/>
    </row>
    <row r="54" ht="15" customHeight="1">
      <c r="A54" s="1"/>
      <c r="B54" s="43" t="s">
        <v>80</v>
      </c>
      <c r="C54" s="45"/>
      <c r="D54" s="45"/>
      <c r="E54" s="45"/>
      <c r="F54" s="50">
        <v>-1</v>
      </c>
      <c r="G54" s="45">
        <f t="shared" si="12"/>
        <v>1</v>
      </c>
      <c r="H54" s="46"/>
      <c r="I54" s="45"/>
      <c r="J54" s="50">
        <v>-1</v>
      </c>
      <c r="K54" s="50">
        <v>1</v>
      </c>
      <c r="L54" s="50">
        <v>1</v>
      </c>
      <c r="M54" s="45"/>
      <c r="N54" s="50">
        <v>1</v>
      </c>
      <c r="O54" s="1"/>
      <c r="P54" s="36" t="s">
        <v>81</v>
      </c>
    </row>
    <row r="55" ht="15" customHeight="1">
      <c r="A55" s="1"/>
      <c r="B55" s="25" t="s">
        <v>145</v>
      </c>
      <c r="C55" s="51">
        <f t="shared" si="21" ref="C55:N55">C11+C53+C54</f>
        <v>302</v>
      </c>
      <c r="D55" s="51">
        <f t="shared" si="21"/>
        <v>226</v>
      </c>
      <c r="E55" s="51">
        <f t="shared" si="21"/>
        <v>229</v>
      </c>
      <c r="F55" s="51">
        <f t="shared" si="21"/>
        <v>245</v>
      </c>
      <c r="G55" s="51">
        <f t="shared" si="21"/>
        <v>1053</v>
      </c>
      <c r="H55" s="52">
        <f t="shared" si="21"/>
        <v>244.51383999999996</v>
      </c>
      <c r="I55" s="51"/>
      <c r="J55" s="51">
        <f t="shared" si="21"/>
        <v>242</v>
      </c>
      <c r="K55" s="51">
        <f t="shared" si="21"/>
        <v>209</v>
      </c>
      <c r="L55" s="51">
        <f t="shared" si="21"/>
        <v>251</v>
      </c>
      <c r="M55" s="51">
        <f t="shared" si="21"/>
        <v>274</v>
      </c>
      <c r="N55" s="51">
        <f t="shared" si="21"/>
        <v>920</v>
      </c>
      <c r="O55" s="1"/>
      <c r="P55" s="36"/>
    </row>
    <row r="56" ht="15" customHeight="1">
      <c r="A56" s="1"/>
      <c r="B56" s="43" t="s">
        <v>146</v>
      </c>
      <c r="C56" s="35">
        <f t="shared" si="22" ref="C56:N56">_xlfn.IFERROR(C55/C11,"n/a")</f>
        <v>0.3038229376257545</v>
      </c>
      <c r="D56" s="35">
        <f t="shared" si="22"/>
        <v>0.23227132579650564</v>
      </c>
      <c r="E56" s="35">
        <f t="shared" si="22"/>
        <v>0.24232804232804234</v>
      </c>
      <c r="F56" s="35">
        <f t="shared" si="22"/>
        <v>0.2536231884057971</v>
      </c>
      <c r="G56" s="35">
        <f t="shared" si="22"/>
        <v>0.26624525916561315</v>
      </c>
      <c r="H56" s="44">
        <f t="shared" si="22"/>
        <v>0.2536172406398364</v>
      </c>
      <c r="I56" s="35"/>
      <c r="J56" s="35">
        <f t="shared" si="22"/>
        <v>0.2560846560846561</v>
      </c>
      <c r="K56" s="35">
        <f t="shared" si="22"/>
        <v>0.20983935742971888</v>
      </c>
      <c r="L56" s="35">
        <f t="shared" si="22"/>
        <v>0.2520080321285141</v>
      </c>
      <c r="M56" s="35">
        <f t="shared" si="22"/>
        <v>0.2762096774193548</v>
      </c>
      <c r="N56" s="35">
        <f t="shared" si="22"/>
        <v>0.23427552839317545</v>
      </c>
      <c r="O56" s="1"/>
      <c r="P56" s="36"/>
    </row>
    <row r="57" ht="15" customHeight="1">
      <c r="A57" s="1"/>
      <c r="B57" s="54" t="s">
        <v>116</v>
      </c>
      <c r="C57" s="62">
        <f t="shared" si="19"/>
        <v>477.3828154109844</v>
      </c>
      <c r="D57" s="62">
        <f t="shared" si="19"/>
        <v>224.31968366786765</v>
      </c>
      <c r="E57" s="62">
        <f t="shared" si="19"/>
        <v>-96.79989800471745</v>
      </c>
      <c r="F57" s="62">
        <f t="shared" si="19"/>
        <v>-225.86489013557699</v>
      </c>
      <c r="G57" s="62">
        <f t="shared" si="19"/>
        <v>319.69730772437697</v>
      </c>
      <c r="H57" s="63">
        <f t="shared" si="23"/>
        <v>-502.0569698591809</v>
      </c>
      <c r="I57" s="62"/>
      <c r="J57" s="62"/>
      <c r="K57" s="62"/>
      <c r="L57" s="62"/>
      <c r="M57" s="62"/>
      <c r="N57" s="62"/>
      <c r="O57" s="1"/>
      <c r="P57" s="36"/>
    </row>
    <row r="58" ht="15" customHeight="1">
      <c r="A58" s="1"/>
      <c r="B58" s="41" t="s">
        <v>147</v>
      </c>
      <c r="C58" s="61">
        <v>-144</v>
      </c>
      <c r="D58" s="61">
        <v>-160</v>
      </c>
      <c r="E58" s="61">
        <v>-145</v>
      </c>
      <c r="F58" s="61">
        <v>-153</v>
      </c>
      <c r="G58" s="21">
        <f t="shared" si="12"/>
        <v>-592</v>
      </c>
      <c r="H58" s="59">
        <f>-H11*H62</f>
        <v>-150.400497</v>
      </c>
      <c r="I58" s="21"/>
      <c r="J58" s="61">
        <v>-140</v>
      </c>
      <c r="K58" s="61">
        <v>-177</v>
      </c>
      <c r="L58" s="61">
        <v>-152</v>
      </c>
      <c r="M58" s="61">
        <v>-136</v>
      </c>
      <c r="N58" s="61">
        <v>-637</v>
      </c>
      <c r="O58" s="1"/>
      <c r="P58" s="36"/>
    </row>
    <row r="59" ht="15" customHeight="1">
      <c r="A59" s="1"/>
      <c r="B59" s="43" t="s">
        <v>69</v>
      </c>
      <c r="C59" s="35">
        <f t="shared" si="0"/>
        <v>0.02857142857142847</v>
      </c>
      <c r="D59" s="35">
        <f t="shared" si="0"/>
        <v>-0.096045197740113</v>
      </c>
      <c r="E59" s="35">
        <f t="shared" si="0"/>
        <v>-0.046052631578947345</v>
      </c>
      <c r="F59" s="35">
        <f t="shared" si="0"/>
        <v>0.125</v>
      </c>
      <c r="G59" s="35">
        <f t="shared" si="0"/>
        <v>-0.07064364207221352</v>
      </c>
      <c r="H59" s="44">
        <f t="shared" si="8"/>
        <v>0.04444789583333342</v>
      </c>
      <c r="I59" s="35"/>
      <c r="J59" s="35"/>
      <c r="K59" s="35"/>
      <c r="L59" s="35"/>
      <c r="M59" s="35"/>
      <c r="N59" s="35"/>
      <c r="O59" s="1"/>
      <c r="P59" s="36"/>
    </row>
    <row r="60" ht="15" customHeight="1">
      <c r="A60" s="1"/>
      <c r="B60" s="43" t="s">
        <v>70</v>
      </c>
      <c r="C60" s="45">
        <f t="shared" si="13"/>
        <v>-8</v>
      </c>
      <c r="D60" s="45">
        <f t="shared" si="1"/>
        <v>-16</v>
      </c>
      <c r="E60" s="45">
        <f t="shared" si="1"/>
        <v>15</v>
      </c>
      <c r="F60" s="45">
        <f t="shared" si="1"/>
        <v>-8</v>
      </c>
      <c r="G60" s="45"/>
      <c r="H60" s="46">
        <f t="shared" si="14"/>
        <v>2.5995029999999986</v>
      </c>
      <c r="I60" s="45"/>
      <c r="J60" s="45"/>
      <c r="K60" s="45"/>
      <c r="L60" s="45"/>
      <c r="M60" s="45"/>
      <c r="N60" s="45"/>
      <c r="O60" s="1"/>
      <c r="P60" s="36"/>
    </row>
    <row r="61" ht="15" customHeight="1">
      <c r="A61" s="1"/>
      <c r="B61" s="43" t="s">
        <v>71</v>
      </c>
      <c r="C61" s="35">
        <f t="shared" si="15"/>
        <v>0.05882352941176472</v>
      </c>
      <c r="D61" s="35">
        <f t="shared" si="2"/>
        <v>0.11111111111111116</v>
      </c>
      <c r="E61" s="35">
        <f t="shared" si="2"/>
        <v>-0.09375</v>
      </c>
      <c r="F61" s="35">
        <f t="shared" si="2"/>
        <v>0.05517241379310356</v>
      </c>
      <c r="G61" s="35"/>
      <c r="H61" s="44">
        <f t="shared" si="16"/>
        <v>-0.016990215686274457</v>
      </c>
      <c r="I61" s="35"/>
      <c r="J61" s="35"/>
      <c r="K61" s="35"/>
      <c r="L61" s="35"/>
      <c r="M61" s="35"/>
      <c r="N61" s="35"/>
      <c r="O61" s="1"/>
      <c r="P61" s="36"/>
    </row>
    <row r="62" ht="15" customHeight="1">
      <c r="A62" s="1"/>
      <c r="B62" s="43" t="s">
        <v>148</v>
      </c>
      <c r="C62" s="35">
        <f t="shared" si="24" ref="C62:N62">_xlfn.IFERROR(-C58/C11,"n/a")</f>
        <v>0.1448692152917505</v>
      </c>
      <c r="D62" s="35">
        <f t="shared" si="24"/>
        <v>0.1644398766700925</v>
      </c>
      <c r="E62" s="35">
        <f t="shared" si="24"/>
        <v>0.15343915343915343</v>
      </c>
      <c r="F62" s="35">
        <f t="shared" si="24"/>
        <v>0.15838509316770186</v>
      </c>
      <c r="G62" s="35">
        <f t="shared" si="24"/>
        <v>0.14968394437420987</v>
      </c>
      <c r="H62" s="57">
        <v>0.156</v>
      </c>
      <c r="I62" s="35"/>
      <c r="J62" s="35">
        <f t="shared" si="24"/>
        <v>0.14814814814814814</v>
      </c>
      <c r="K62" s="35">
        <f t="shared" si="24"/>
        <v>0.17771084337349397</v>
      </c>
      <c r="L62" s="35">
        <f t="shared" si="24"/>
        <v>0.15261044176706828</v>
      </c>
      <c r="M62" s="35">
        <f t="shared" si="24"/>
        <v>0.13709677419354838</v>
      </c>
      <c r="N62" s="35">
        <f t="shared" si="24"/>
        <v>0.1622103386809269</v>
      </c>
      <c r="O62" s="1"/>
      <c r="P62" s="36" t="s">
        <v>149</v>
      </c>
    </row>
    <row r="63" ht="15" customHeight="1">
      <c r="A63" s="1"/>
      <c r="B63" s="54" t="s">
        <v>116</v>
      </c>
      <c r="C63" s="62">
        <f t="shared" si="19"/>
        <v>-32.78932856397632</v>
      </c>
      <c r="D63" s="62">
        <f t="shared" si="19"/>
        <v>-132.7096670340147</v>
      </c>
      <c r="E63" s="62">
        <f t="shared" si="19"/>
        <v>8.287116720851472</v>
      </c>
      <c r="F63" s="62">
        <f t="shared" si="19"/>
        <v>212.8831897415348</v>
      </c>
      <c r="G63" s="62">
        <f t="shared" si="19"/>
        <v>-125.26394306717037</v>
      </c>
      <c r="H63" s="63">
        <f t="shared" si="23"/>
        <v>111.30784708249492</v>
      </c>
      <c r="I63" s="62"/>
      <c r="J63" s="62"/>
      <c r="K63" s="62"/>
      <c r="L63" s="62"/>
      <c r="M63" s="62"/>
      <c r="N63" s="62"/>
      <c r="O63" s="1"/>
      <c r="P63" s="36"/>
    </row>
    <row r="64" ht="15" customHeight="1">
      <c r="A64" s="1"/>
      <c r="B64" s="43" t="s">
        <v>80</v>
      </c>
      <c r="C64" s="45"/>
      <c r="D64" s="45"/>
      <c r="E64" s="45"/>
      <c r="F64" s="45"/>
      <c r="G64" s="45">
        <f t="shared" si="12"/>
        <v>1</v>
      </c>
      <c r="H64" s="46"/>
      <c r="I64" s="45"/>
      <c r="J64" s="45"/>
      <c r="K64" s="45"/>
      <c r="L64" s="45"/>
      <c r="M64" s="50">
        <v>1</v>
      </c>
      <c r="N64" s="45"/>
      <c r="O64" s="1"/>
      <c r="P64" s="36" t="s">
        <v>81</v>
      </c>
    </row>
    <row r="65" ht="15" customHeight="1">
      <c r="A65" s="1"/>
      <c r="B65" s="25" t="s">
        <v>180</v>
      </c>
      <c r="C65" s="51">
        <f t="shared" si="25" ref="C65:N65">C55+C58+C64</f>
        <v>158</v>
      </c>
      <c r="D65" s="51">
        <f t="shared" si="25"/>
        <v>66</v>
      </c>
      <c r="E65" s="51">
        <f t="shared" si="25"/>
        <v>84</v>
      </c>
      <c r="F65" s="51">
        <f t="shared" si="25"/>
        <v>92</v>
      </c>
      <c r="G65" s="51">
        <f t="shared" si="25"/>
        <v>462</v>
      </c>
      <c r="H65" s="52">
        <f t="shared" si="25"/>
        <v>94.11334299999996</v>
      </c>
      <c r="I65" s="51"/>
      <c r="J65" s="51">
        <f t="shared" si="25"/>
        <v>102</v>
      </c>
      <c r="K65" s="51">
        <f t="shared" si="25"/>
        <v>32</v>
      </c>
      <c r="L65" s="51">
        <f t="shared" si="25"/>
        <v>99</v>
      </c>
      <c r="M65" s="51">
        <f t="shared" si="25"/>
        <v>139</v>
      </c>
      <c r="N65" s="51">
        <f t="shared" si="25"/>
        <v>283</v>
      </c>
      <c r="O65" s="1"/>
      <c r="P65" s="36"/>
    </row>
    <row r="66" ht="15" customHeight="1">
      <c r="A66" s="1"/>
      <c r="B66" s="43" t="s">
        <v>69</v>
      </c>
      <c r="C66" s="35">
        <f t="shared" si="0"/>
        <v>0.5490196078431373</v>
      </c>
      <c r="D66" s="35">
        <f t="shared" si="0"/>
        <v>1.0625</v>
      </c>
      <c r="E66" s="35">
        <f t="shared" si="0"/>
        <v>-0.1515151515151515</v>
      </c>
      <c r="F66" s="35">
        <f t="shared" si="0"/>
        <v>-0.3381294964028777</v>
      </c>
      <c r="G66" s="35">
        <f t="shared" si="0"/>
        <v>0.6325088339222615</v>
      </c>
      <c r="H66" s="44">
        <f t="shared" si="8"/>
        <v>-0.4043459303797471</v>
      </c>
      <c r="I66" s="35"/>
      <c r="J66" s="35"/>
      <c r="K66" s="35"/>
      <c r="L66" s="35"/>
      <c r="M66" s="35"/>
      <c r="N66" s="35"/>
      <c r="O66" s="1"/>
      <c r="P66" s="36"/>
    </row>
    <row r="67" ht="15" customHeight="1">
      <c r="A67" s="1"/>
      <c r="B67" s="43" t="s">
        <v>70</v>
      </c>
      <c r="C67" s="45">
        <f t="shared" si="13"/>
        <v>19</v>
      </c>
      <c r="D67" s="45">
        <f t="shared" si="1"/>
        <v>-92</v>
      </c>
      <c r="E67" s="45">
        <f t="shared" si="1"/>
        <v>18</v>
      </c>
      <c r="F67" s="45">
        <f t="shared" si="1"/>
        <v>8</v>
      </c>
      <c r="G67" s="45"/>
      <c r="H67" s="46">
        <f t="shared" si="14"/>
        <v>2.113342999999958</v>
      </c>
      <c r="I67" s="45"/>
      <c r="J67" s="45"/>
      <c r="K67" s="45"/>
      <c r="L67" s="45"/>
      <c r="M67" s="45"/>
      <c r="N67" s="45"/>
      <c r="O67" s="1"/>
      <c r="P67" s="36"/>
    </row>
    <row r="68" ht="15" customHeight="1">
      <c r="A68" s="1"/>
      <c r="B68" s="43" t="s">
        <v>71</v>
      </c>
      <c r="C68" s="35">
        <f t="shared" si="15"/>
        <v>0.13669064748201443</v>
      </c>
      <c r="D68" s="35">
        <f t="shared" si="2"/>
        <v>-0.5822784810126582</v>
      </c>
      <c r="E68" s="35">
        <f t="shared" si="2"/>
        <v>0.2727272727272727</v>
      </c>
      <c r="F68" s="35">
        <f t="shared" si="2"/>
        <v>0.09523809523809534</v>
      </c>
      <c r="G68" s="35"/>
      <c r="H68" s="44">
        <f t="shared" si="16"/>
        <v>0.022971119565216913</v>
      </c>
      <c r="I68" s="35"/>
      <c r="J68" s="35"/>
      <c r="K68" s="35"/>
      <c r="L68" s="35"/>
      <c r="M68" s="35"/>
      <c r="N68" s="35"/>
      <c r="O68" s="1"/>
      <c r="P68" s="36"/>
    </row>
    <row r="69" ht="15" customHeight="1">
      <c r="A69" s="1"/>
      <c r="B69" s="43" t="s">
        <v>151</v>
      </c>
      <c r="C69" s="35">
        <f t="shared" si="26" ref="C69:N69">_xlfn.IFERROR(C65/C11,"n/a")</f>
        <v>0.158953722334004</v>
      </c>
      <c r="D69" s="35">
        <f t="shared" si="26"/>
        <v>0.06783144912641316</v>
      </c>
      <c r="E69" s="35">
        <f t="shared" si="26"/>
        <v>0.08888888888888889</v>
      </c>
      <c r="F69" s="35">
        <f t="shared" si="26"/>
        <v>0.09523809523809523</v>
      </c>
      <c r="G69" s="35">
        <f t="shared" si="26"/>
        <v>0.1168141592920354</v>
      </c>
      <c r="H69" s="44">
        <f t="shared" si="26"/>
        <v>0.09761724063983641</v>
      </c>
      <c r="I69" s="35"/>
      <c r="J69" s="35">
        <f t="shared" si="26"/>
        <v>0.10793650793650794</v>
      </c>
      <c r="K69" s="35">
        <f t="shared" si="26"/>
        <v>0.0321285140562249</v>
      </c>
      <c r="L69" s="35">
        <f t="shared" si="26"/>
        <v>0.09939759036144578</v>
      </c>
      <c r="M69" s="35">
        <f t="shared" si="26"/>
        <v>0.14012096774193547</v>
      </c>
      <c r="N69" s="35">
        <f t="shared" si="26"/>
        <v>0.07206518971224854</v>
      </c>
      <c r="O69" s="1"/>
      <c r="P69" s="36"/>
    </row>
    <row r="70" ht="15" customHeight="1">
      <c r="A70" s="1"/>
      <c r="B70" s="54" t="s">
        <v>116</v>
      </c>
      <c r="C70" s="62">
        <f t="shared" si="19"/>
        <v>510.1721439749607</v>
      </c>
      <c r="D70" s="62">
        <f t="shared" si="19"/>
        <v>357.0293507018826</v>
      </c>
      <c r="E70" s="62">
        <f t="shared" si="19"/>
        <v>-105.08701472556892</v>
      </c>
      <c r="F70" s="62">
        <f t="shared" si="19"/>
        <v>-448.82872503840235</v>
      </c>
      <c r="G70" s="62">
        <f t="shared" si="19"/>
        <v>447.4896957978686</v>
      </c>
      <c r="H70" s="63">
        <f t="shared" si="23"/>
        <v>-613.3648169416759</v>
      </c>
      <c r="I70" s="62"/>
      <c r="J70" s="62"/>
      <c r="K70" s="62"/>
      <c r="L70" s="62"/>
      <c r="M70" s="62"/>
      <c r="N70" s="62"/>
      <c r="O70" s="1"/>
      <c r="P70" s="36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32ED858-BB98-FE11-DA07-68ECD18C288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2.00390625" customWidth="1"/>
    <col min="10" max="14" width="12.00390625" customWidth="1"/>
    <col min="15" max="15" width="2.00390625" customWidth="1"/>
    <col min="16" max="16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15" customHeight="1">
      <c r="A3" s="1"/>
      <c r="B3" s="3" t="s">
        <v>181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4" t="s">
        <v>59</v>
      </c>
      <c r="K5" s="1"/>
      <c r="L5" s="1"/>
      <c r="M5" s="1"/>
      <c r="N5" s="1"/>
      <c r="O5" s="1"/>
      <c r="P5" s="1"/>
    </row>
    <row r="6" ht="15" customHeight="1">
      <c r="A6" s="1"/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7" t="s">
        <v>9</v>
      </c>
      <c r="I6" s="37"/>
      <c r="J6" s="6" t="s">
        <v>60</v>
      </c>
      <c r="K6" s="6" t="s">
        <v>61</v>
      </c>
      <c r="L6" s="6" t="s">
        <v>62</v>
      </c>
      <c r="M6" s="6" t="s">
        <v>63</v>
      </c>
      <c r="N6" s="6" t="s">
        <v>64</v>
      </c>
      <c r="O6" s="1"/>
      <c r="P6" s="3" t="s">
        <v>65</v>
      </c>
    </row>
    <row r="7" ht="15" customHeight="1">
      <c r="A7" s="1"/>
      <c r="B7" s="8" t="s">
        <v>10</v>
      </c>
      <c r="C7" s="9">
        <v>45930</v>
      </c>
      <c r="D7" s="9">
        <v>46022</v>
      </c>
      <c r="E7" s="9">
        <v>46112</v>
      </c>
      <c r="F7" s="9">
        <v>46203</v>
      </c>
      <c r="G7" s="9">
        <v>46022</v>
      </c>
      <c r="H7" s="10">
        <v>46295</v>
      </c>
      <c r="I7" s="38"/>
      <c r="J7" s="9">
        <v>45565</v>
      </c>
      <c r="K7" s="9">
        <v>45657</v>
      </c>
      <c r="L7" s="9">
        <v>45747</v>
      </c>
      <c r="M7" s="9">
        <v>45838</v>
      </c>
      <c r="N7" s="9">
        <v>45657</v>
      </c>
      <c r="O7" s="1"/>
      <c r="P7" s="1"/>
    </row>
    <row r="8" ht="15" customHeight="1">
      <c r="A8" s="1"/>
      <c r="B8" s="11" t="s">
        <v>11</v>
      </c>
      <c r="C8" s="12">
        <v>92</v>
      </c>
      <c r="D8" s="12">
        <v>92</v>
      </c>
      <c r="E8" s="12">
        <v>90</v>
      </c>
      <c r="F8" s="12">
        <v>91</v>
      </c>
      <c r="G8" s="12">
        <v>365</v>
      </c>
      <c r="H8" s="13">
        <v>92</v>
      </c>
      <c r="I8" s="39"/>
      <c r="J8" s="12">
        <v>92</v>
      </c>
      <c r="K8" s="12">
        <v>92</v>
      </c>
      <c r="L8" s="12">
        <v>90</v>
      </c>
      <c r="M8" s="12">
        <v>91</v>
      </c>
      <c r="N8" s="12">
        <v>366</v>
      </c>
      <c r="O8" s="1"/>
      <c r="P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36"/>
    </row>
    <row r="10" ht="15" customHeight="1">
      <c r="A10" s="1"/>
      <c r="B10" s="25" t="s">
        <v>182</v>
      </c>
      <c r="C10" s="1"/>
      <c r="D10" s="1"/>
      <c r="E10" s="1"/>
      <c r="F10" s="1"/>
      <c r="G10" s="1"/>
      <c r="H10" s="40"/>
      <c r="I10" s="1"/>
      <c r="J10" s="1"/>
      <c r="K10" s="1"/>
      <c r="L10" s="1"/>
      <c r="M10" s="1"/>
      <c r="N10" s="1"/>
      <c r="O10" s="1"/>
      <c r="P10" s="36"/>
    </row>
    <row r="11" ht="15" customHeight="1">
      <c r="A11" s="1"/>
      <c r="B11" s="41" t="s">
        <v>85</v>
      </c>
      <c r="C11" s="20">
        <f>'Revenue summary'!C43</f>
        <v>5290</v>
      </c>
      <c r="D11" s="20">
        <f>'Revenue summary'!D43</f>
        <v>5610</v>
      </c>
      <c r="E11" s="20">
        <f>'Revenue summary'!E43</f>
        <v>5962</v>
      </c>
      <c r="F11" s="20">
        <f>'Revenue summary'!F43</f>
        <v>6281</v>
      </c>
      <c r="G11" s="20">
        <f>'Revenue summary'!G43</f>
        <v>21023</v>
      </c>
      <c r="H11" s="42">
        <f>'Revenue summary'!H43</f>
        <v>6589.7946</v>
      </c>
      <c r="I11" s="21"/>
      <c r="J11" s="20">
        <f>'Revenue summary'!J43</f>
        <v>4351</v>
      </c>
      <c r="K11" s="20">
        <f>'Revenue summary'!K43</f>
        <v>4708</v>
      </c>
      <c r="L11" s="20">
        <f>'Revenue summary'!L43</f>
        <v>4993</v>
      </c>
      <c r="M11" s="20">
        <f>'Revenue summary'!M43</f>
        <v>5130</v>
      </c>
      <c r="N11" s="20">
        <f>'Revenue summary'!N43</f>
        <v>17141</v>
      </c>
      <c r="O11" s="1"/>
      <c r="P11" s="36"/>
    </row>
    <row r="12" ht="15" customHeight="1">
      <c r="A12" s="1"/>
      <c r="B12" s="41" t="s">
        <v>86</v>
      </c>
      <c r="C12" s="20">
        <f>'Revenue summary'!C53</f>
        <v>161</v>
      </c>
      <c r="D12" s="20">
        <f>'Revenue summary'!D53</f>
        <v>452</v>
      </c>
      <c r="E12" s="20">
        <f>'Revenue summary'!E53</f>
        <v>116</v>
      </c>
      <c r="F12" s="20">
        <f>'Revenue summary'!F53</f>
        <v>131</v>
      </c>
      <c r="G12" s="20">
        <f>'Revenue summary'!G53</f>
        <v>990</v>
      </c>
      <c r="H12" s="42">
        <f>'Revenue summary'!H53</f>
        <v>115.92</v>
      </c>
      <c r="I12" s="21"/>
      <c r="J12" s="20">
        <f>'Revenue summary'!J53</f>
        <v>285</v>
      </c>
      <c r="K12" s="20">
        <f>'Revenue summary'!K53</f>
        <v>683</v>
      </c>
      <c r="L12" s="20">
        <f>'Revenue summary'!L53</f>
        <v>183</v>
      </c>
      <c r="M12" s="20">
        <f>'Revenue summary'!M53</f>
        <v>194</v>
      </c>
      <c r="N12" s="20">
        <f>'Revenue summary'!N53</f>
        <v>1399</v>
      </c>
      <c r="O12" s="1"/>
      <c r="P12" s="36"/>
    </row>
    <row r="13" ht="15" customHeight="1">
      <c r="A13" s="1"/>
      <c r="B13" s="41" t="s">
        <v>87</v>
      </c>
      <c r="C13" s="20">
        <f>'Revenue summary'!C63</f>
        <v>2565</v>
      </c>
      <c r="D13" s="20">
        <f>'Revenue summary'!D63</f>
        <v>2557</v>
      </c>
      <c r="E13" s="20">
        <f>'Revenue summary'!E63</f>
        <v>2469</v>
      </c>
      <c r="F13" s="20">
        <f>'Revenue summary'!F63</f>
        <v>2439</v>
      </c>
      <c r="G13" s="20">
        <f>'Revenue summary'!G63</f>
        <v>10525</v>
      </c>
      <c r="H13" s="42">
        <f>'Revenue summary'!H63</f>
        <v>2372.6592</v>
      </c>
      <c r="I13" s="21"/>
      <c r="J13" s="20">
        <f>'Revenue summary'!J63</f>
        <v>2793</v>
      </c>
      <c r="K13" s="20">
        <f>'Revenue summary'!K63</f>
        <v>2876</v>
      </c>
      <c r="L13" s="20">
        <f>'Revenue summary'!L63</f>
        <v>2761</v>
      </c>
      <c r="M13" s="20">
        <f>'Revenue summary'!M63</f>
        <v>2642</v>
      </c>
      <c r="N13" s="20">
        <f>'Revenue summary'!N63</f>
        <v>11290</v>
      </c>
      <c r="O13" s="1"/>
      <c r="P13" s="36"/>
    </row>
    <row r="14" ht="15" customHeight="1">
      <c r="A14" s="1"/>
      <c r="B14" s="55" t="s">
        <v>131</v>
      </c>
      <c r="C14" s="69">
        <f>'Segment - ATS'!C101</f>
        <v>2726</v>
      </c>
      <c r="D14" s="69">
        <f>'Segment - ATS'!D101</f>
        <v>3008</v>
      </c>
      <c r="E14" s="69">
        <f>'Segment - ATS'!E101</f>
        <v>2586</v>
      </c>
      <c r="F14" s="69">
        <f>'Segment - ATS'!F101</f>
        <v>2570</v>
      </c>
      <c r="G14" s="69">
        <f>'Segment - ATS'!G101</f>
        <v>11514</v>
      </c>
      <c r="H14" s="70">
        <f>'Segment - ATS'!H101</f>
        <v>2488.5792</v>
      </c>
      <c r="I14" s="51"/>
      <c r="J14" s="69">
        <f>'Segment - ATS'!J101</f>
        <v>3078</v>
      </c>
      <c r="K14" s="69">
        <f>'Segment - ATS'!K101</f>
        <v>3559</v>
      </c>
      <c r="L14" s="69">
        <f>'Segment - ATS'!L101</f>
        <v>2945</v>
      </c>
      <c r="M14" s="69">
        <f>'Segment - ATS'!M101</f>
        <v>2835</v>
      </c>
      <c r="N14" s="69">
        <f>'Segment - ATS'!N101</f>
        <v>12689</v>
      </c>
      <c r="O14" s="1"/>
      <c r="P14" s="36"/>
    </row>
    <row r="15" ht="15" customHeight="1">
      <c r="A15" s="1"/>
      <c r="B15" s="25" t="s">
        <v>183</v>
      </c>
      <c r="C15" s="69">
        <f>'Segment - ATS'!C112</f>
        <v>8016</v>
      </c>
      <c r="D15" s="69">
        <f>'Segment - ATS'!D112</f>
        <v>8618</v>
      </c>
      <c r="E15" s="69">
        <f>'Segment - ATS'!E112</f>
        <v>8548</v>
      </c>
      <c r="F15" s="69">
        <f>'Segment - ATS'!F112</f>
        <v>8851</v>
      </c>
      <c r="G15" s="69">
        <f>'Segment - ATS'!G112</f>
        <v>32538</v>
      </c>
      <c r="H15" s="70">
        <f>'Segment - ATS'!H112</f>
        <v>9078.373800000001</v>
      </c>
      <c r="I15" s="51"/>
      <c r="J15" s="69">
        <f>'Segment - ATS'!J112</f>
        <v>7429</v>
      </c>
      <c r="K15" s="69">
        <f>'Segment - ATS'!K112</f>
        <v>8267</v>
      </c>
      <c r="L15" s="69">
        <f>'Segment - ATS'!L112</f>
        <v>7938</v>
      </c>
      <c r="M15" s="69">
        <f>'Segment - ATS'!M112</f>
        <v>7966</v>
      </c>
      <c r="N15" s="69">
        <f>'Segment - ATS'!N112</f>
        <v>29830</v>
      </c>
      <c r="O15" s="1"/>
      <c r="P15" s="36"/>
    </row>
    <row r="16" ht="15" customHeight="1">
      <c r="A16" s="1"/>
      <c r="B16" s="41" t="s">
        <v>90</v>
      </c>
      <c r="C16" s="20">
        <f>'Revenue summary'!C76</f>
        <v>1060</v>
      </c>
      <c r="D16" s="20">
        <f>'Revenue summary'!D76</f>
        <v>1066</v>
      </c>
      <c r="E16" s="20">
        <f>'Revenue summary'!E76</f>
        <v>1007</v>
      </c>
      <c r="F16" s="20">
        <f>'Revenue summary'!F76</f>
        <v>1027</v>
      </c>
      <c r="G16" s="20">
        <f>'Revenue summary'!G76</f>
        <v>4262</v>
      </c>
      <c r="H16" s="42">
        <f>'Revenue summary'!H76</f>
        <v>1024.82575</v>
      </c>
      <c r="I16" s="21"/>
      <c r="J16" s="20">
        <f>'Revenue summary'!J76</f>
        <v>1041</v>
      </c>
      <c r="K16" s="20">
        <f>'Revenue summary'!K76</f>
        <v>1110</v>
      </c>
      <c r="L16" s="20">
        <f>'Revenue summary'!L76</f>
        <v>1075</v>
      </c>
      <c r="M16" s="20">
        <f>'Revenue summary'!M76</f>
        <v>1061</v>
      </c>
      <c r="N16" s="20">
        <f>'Revenue summary'!N76</f>
        <v>4346</v>
      </c>
      <c r="O16" s="1"/>
      <c r="P16" s="36"/>
    </row>
    <row r="17" ht="15" customHeight="1">
      <c r="A17" s="1"/>
      <c r="B17" s="25" t="s">
        <v>37</v>
      </c>
      <c r="C17" s="69">
        <f>'Revenue summary'!C32</f>
        <v>9076</v>
      </c>
      <c r="D17" s="69">
        <f>'Revenue summary'!D32</f>
        <v>9684</v>
      </c>
      <c r="E17" s="69">
        <f>'Revenue summary'!E32</f>
        <v>9555</v>
      </c>
      <c r="F17" s="69">
        <f>'Revenue summary'!F32</f>
        <v>9878</v>
      </c>
      <c r="G17" s="69">
        <f>'Revenue summary'!G32</f>
        <v>36800</v>
      </c>
      <c r="H17" s="70">
        <f>'Revenue summary'!H32</f>
        <v>10103.199550000001</v>
      </c>
      <c r="I17" s="51"/>
      <c r="J17" s="69">
        <f>'Revenue summary'!J32</f>
        <v>8470</v>
      </c>
      <c r="K17" s="69">
        <f>'Revenue summary'!K32</f>
        <v>9377</v>
      </c>
      <c r="L17" s="69">
        <f>'Revenue summary'!L32</f>
        <v>9013</v>
      </c>
      <c r="M17" s="69">
        <f>'Revenue summary'!M32</f>
        <v>9027</v>
      </c>
      <c r="N17" s="69">
        <f>'Revenue summary'!N32</f>
        <v>34176</v>
      </c>
      <c r="O17" s="1"/>
      <c r="P17" s="36"/>
    </row>
    <row r="18" ht="15" customHeight="1">
      <c r="A18" s="1"/>
      <c r="B18" s="43" t="s">
        <v>69</v>
      </c>
      <c r="C18" s="35">
        <f t="shared" si="0" ref="C18:G232">_xlfn.IFERROR(C17/J17-1,"n/a")</f>
        <v>0.07154663518299875</v>
      </c>
      <c r="D18" s="35">
        <f t="shared" si="0"/>
        <v>0.03273968220113033</v>
      </c>
      <c r="E18" s="35">
        <f t="shared" si="0"/>
        <v>0.06013536003550435</v>
      </c>
      <c r="F18" s="35">
        <f t="shared" si="0"/>
        <v>0.09427273734352504</v>
      </c>
      <c r="G18" s="35">
        <f t="shared" si="0"/>
        <v>0.07677902621722854</v>
      </c>
      <c r="H18" s="44">
        <f t="shared" si="8" ref="H18:H232">_xlfn.IFERROR(H17/C17-1,"n/a")</f>
        <v>0.11317756170119009</v>
      </c>
      <c r="I18" s="35"/>
      <c r="J18" s="35"/>
      <c r="K18" s="35"/>
      <c r="L18" s="35"/>
      <c r="M18" s="35"/>
      <c r="N18" s="35"/>
      <c r="O18" s="1"/>
      <c r="P18" s="36"/>
    </row>
    <row r="19" ht="15" customHeight="1">
      <c r="A19" s="1"/>
      <c r="B19" s="43" t="s">
        <v>70</v>
      </c>
      <c r="C19" s="45">
        <f t="shared" si="51" ref="C19:C215">C17-M17</f>
        <v>49</v>
      </c>
      <c r="D19" s="45">
        <f t="shared" si="1" ref="D19:F215">D17-C17</f>
        <v>608</v>
      </c>
      <c r="E19" s="45">
        <f t="shared" si="1"/>
        <v>-129</v>
      </c>
      <c r="F19" s="45">
        <f t="shared" si="1"/>
        <v>323</v>
      </c>
      <c r="G19" s="45"/>
      <c r="H19" s="46">
        <f t="shared" si="52" ref="H19:H215">H17-F17</f>
        <v>225.19955000000118</v>
      </c>
      <c r="I19" s="45"/>
      <c r="J19" s="45"/>
      <c r="K19" s="45"/>
      <c r="L19" s="45"/>
      <c r="M19" s="45"/>
      <c r="N19" s="45"/>
      <c r="O19" s="1"/>
      <c r="P19" s="36"/>
    </row>
    <row r="20" ht="15" customHeight="1">
      <c r="A20" s="1"/>
      <c r="B20" s="43" t="s">
        <v>71</v>
      </c>
      <c r="C20" s="35">
        <f t="shared" si="53" ref="C20:C183">_xlfn.IFERROR(C17/M17-1,"n/a")</f>
        <v>0.005428159964550705</v>
      </c>
      <c r="D20" s="35">
        <f t="shared" si="2" ref="D20:F183">_xlfn.IFERROR(D17/C17-1,"n/a")</f>
        <v>0.06698986337593649</v>
      </c>
      <c r="E20" s="35">
        <f t="shared" si="2"/>
        <v>-0.013320941759603522</v>
      </c>
      <c r="F20" s="35">
        <f t="shared" si="2"/>
        <v>0.0338042909471481</v>
      </c>
      <c r="G20" s="35"/>
      <c r="H20" s="44">
        <f t="shared" si="54" ref="H20:H183">_xlfn.IFERROR(H17/F17-1,"n/a")</f>
        <v>0.022798091718971625</v>
      </c>
      <c r="I20" s="35"/>
      <c r="J20" s="35"/>
      <c r="K20" s="35"/>
      <c r="L20" s="35"/>
      <c r="M20" s="35"/>
      <c r="N20" s="35"/>
      <c r="O20" s="1"/>
      <c r="P20" s="36"/>
    </row>
    <row r="21" ht="15" customHeight="1">
      <c r="A21" s="1"/>
      <c r="B21" s="41" t="s">
        <v>136</v>
      </c>
      <c r="C21" s="61">
        <v>-1342</v>
      </c>
      <c r="D21" s="61">
        <v>-1504</v>
      </c>
      <c r="E21" s="61">
        <v>-1512</v>
      </c>
      <c r="F21" s="61">
        <v>-1617</v>
      </c>
      <c r="G21" s="21">
        <f t="shared" si="3" ref="G21:G179">L21+M21+C21+D21</f>
        <v>-5416</v>
      </c>
      <c r="H21" s="59">
        <f>H105-H236*H73</f>
        <v>-1685.6282392</v>
      </c>
      <c r="I21" s="21"/>
      <c r="J21" s="61">
        <v>-1167</v>
      </c>
      <c r="K21" s="61">
        <v>-1279</v>
      </c>
      <c r="L21" s="61">
        <v>-1273</v>
      </c>
      <c r="M21" s="61">
        <v>-1297</v>
      </c>
      <c r="N21" s="61">
        <v>-4660</v>
      </c>
      <c r="O21" s="1"/>
      <c r="P21" s="36"/>
    </row>
    <row r="22" ht="15" customHeight="1">
      <c r="A22" s="1"/>
      <c r="B22" s="41" t="s">
        <v>138</v>
      </c>
      <c r="C22" s="61">
        <v>-303</v>
      </c>
      <c r="D22" s="61">
        <v>-340</v>
      </c>
      <c r="E22" s="61">
        <v>-295</v>
      </c>
      <c r="F22" s="61">
        <v>-263</v>
      </c>
      <c r="G22" s="21">
        <f t="shared" si="3"/>
        <v>-1248</v>
      </c>
      <c r="H22" s="59">
        <f t="shared" si="5" ref="H22:H25">H108</f>
        <v>-266.2779744</v>
      </c>
      <c r="I22" s="21"/>
      <c r="J22" s="61">
        <v>-306</v>
      </c>
      <c r="K22" s="61">
        <v>-319</v>
      </c>
      <c r="L22" s="61">
        <v>-292</v>
      </c>
      <c r="M22" s="61">
        <v>-313</v>
      </c>
      <c r="N22" s="61">
        <v>-1262</v>
      </c>
      <c r="O22" s="1"/>
      <c r="P22" s="36"/>
    </row>
    <row r="23" ht="15" customHeight="1">
      <c r="A23" s="1"/>
      <c r="B23" s="54" t="s">
        <v>80</v>
      </c>
      <c r="C23" s="45"/>
      <c r="D23" s="45"/>
      <c r="E23" s="50">
        <v>-1</v>
      </c>
      <c r="F23" s="50">
        <v>-1</v>
      </c>
      <c r="G23" s="45">
        <f t="shared" si="3"/>
        <v>0</v>
      </c>
      <c r="H23" s="46"/>
      <c r="I23" s="45"/>
      <c r="J23" s="50">
        <v>1</v>
      </c>
      <c r="K23" s="45"/>
      <c r="L23" s="45"/>
      <c r="M23" s="45"/>
      <c r="N23" s="45"/>
      <c r="O23" s="1"/>
      <c r="P23" s="36" t="s">
        <v>81</v>
      </c>
    </row>
    <row r="24" ht="15" customHeight="1">
      <c r="A24" s="1"/>
      <c r="B24" s="55" t="s">
        <v>140</v>
      </c>
      <c r="C24" s="51">
        <f t="shared" si="4" ref="C24:N148">C21+C22+C23</f>
        <v>-1645</v>
      </c>
      <c r="D24" s="51">
        <f t="shared" si="4"/>
        <v>-1844</v>
      </c>
      <c r="E24" s="51">
        <f t="shared" si="4"/>
        <v>-1808</v>
      </c>
      <c r="F24" s="51">
        <f t="shared" si="4"/>
        <v>-1881</v>
      </c>
      <c r="G24" s="51">
        <f t="shared" si="4"/>
        <v>-6664</v>
      </c>
      <c r="H24" s="52">
        <f t="shared" si="4"/>
        <v>-1951.9062136</v>
      </c>
      <c r="I24" s="51"/>
      <c r="J24" s="51">
        <f t="shared" si="4"/>
        <v>-1472</v>
      </c>
      <c r="K24" s="51">
        <f t="shared" si="4"/>
        <v>-1598</v>
      </c>
      <c r="L24" s="51">
        <f t="shared" si="4"/>
        <v>-1565</v>
      </c>
      <c r="M24" s="51">
        <f t="shared" si="4"/>
        <v>-1610</v>
      </c>
      <c r="N24" s="51">
        <f t="shared" si="4"/>
        <v>-5922</v>
      </c>
      <c r="O24" s="1"/>
      <c r="P24" s="36"/>
    </row>
    <row r="25" ht="15" customHeight="1">
      <c r="A25" s="1"/>
      <c r="B25" s="41" t="s">
        <v>141</v>
      </c>
      <c r="C25" s="61">
        <v>-760</v>
      </c>
      <c r="D25" s="61">
        <v>-796</v>
      </c>
      <c r="E25" s="61">
        <v>-774</v>
      </c>
      <c r="F25" s="61">
        <v>-769</v>
      </c>
      <c r="G25" s="21">
        <f t="shared" si="3"/>
        <v>-3194</v>
      </c>
      <c r="H25" s="59">
        <f t="shared" si="5"/>
        <v>-766.569661</v>
      </c>
      <c r="I25" s="21"/>
      <c r="J25" s="61">
        <v>-786</v>
      </c>
      <c r="K25" s="61">
        <v>-837</v>
      </c>
      <c r="L25" s="61">
        <v>-841</v>
      </c>
      <c r="M25" s="61">
        <v>-797</v>
      </c>
      <c r="N25" s="61">
        <v>-3321</v>
      </c>
      <c r="O25" s="1"/>
      <c r="P25" s="36"/>
    </row>
    <row r="26" ht="15" customHeight="1">
      <c r="A26" s="1"/>
      <c r="B26" s="25" t="s">
        <v>184</v>
      </c>
      <c r="C26" s="51">
        <f t="shared" si="6" ref="C26:N99">C24+C25</f>
        <v>-2405</v>
      </c>
      <c r="D26" s="51">
        <f t="shared" si="6"/>
        <v>-2640</v>
      </c>
      <c r="E26" s="51">
        <f t="shared" si="6"/>
        <v>-2582</v>
      </c>
      <c r="F26" s="51">
        <f t="shared" si="6"/>
        <v>-2650</v>
      </c>
      <c r="G26" s="51">
        <f t="shared" si="6"/>
        <v>-9858</v>
      </c>
      <c r="H26" s="52">
        <f t="shared" si="6"/>
        <v>-2718.4758745999998</v>
      </c>
      <c r="I26" s="51"/>
      <c r="J26" s="51">
        <f t="shared" si="6"/>
        <v>-2258</v>
      </c>
      <c r="K26" s="51">
        <f t="shared" si="6"/>
        <v>-2435</v>
      </c>
      <c r="L26" s="51">
        <f t="shared" si="6"/>
        <v>-2406</v>
      </c>
      <c r="M26" s="51">
        <f t="shared" si="6"/>
        <v>-2407</v>
      </c>
      <c r="N26" s="51">
        <f t="shared" si="6"/>
        <v>-9243</v>
      </c>
      <c r="O26" s="1"/>
      <c r="P26" s="36"/>
    </row>
    <row r="27" ht="15" customHeight="1">
      <c r="A27" s="1"/>
      <c r="B27" s="25" t="s">
        <v>185</v>
      </c>
      <c r="C27" s="51">
        <f t="shared" si="7" ref="C27:N27">C17+C26</f>
        <v>6671</v>
      </c>
      <c r="D27" s="51">
        <f t="shared" si="7"/>
        <v>7044</v>
      </c>
      <c r="E27" s="51">
        <f t="shared" si="7"/>
        <v>6973</v>
      </c>
      <c r="F27" s="51">
        <f t="shared" si="7"/>
        <v>7228</v>
      </c>
      <c r="G27" s="51">
        <f t="shared" si="7"/>
        <v>26942</v>
      </c>
      <c r="H27" s="52">
        <f t="shared" si="7"/>
        <v>7384.723675400001</v>
      </c>
      <c r="I27" s="51"/>
      <c r="J27" s="51">
        <f t="shared" si="7"/>
        <v>6212</v>
      </c>
      <c r="K27" s="51">
        <f t="shared" si="7"/>
        <v>6942</v>
      </c>
      <c r="L27" s="51">
        <f t="shared" si="7"/>
        <v>6607</v>
      </c>
      <c r="M27" s="51">
        <f t="shared" si="7"/>
        <v>6620</v>
      </c>
      <c r="N27" s="51">
        <f t="shared" si="7"/>
        <v>24933</v>
      </c>
      <c r="O27" s="1"/>
      <c r="P27" s="36" t="s">
        <v>186</v>
      </c>
    </row>
    <row r="28" ht="15" customHeight="1">
      <c r="A28" s="1"/>
      <c r="B28" s="43" t="s">
        <v>69</v>
      </c>
      <c r="C28" s="35">
        <f t="shared" si="0"/>
        <v>0.07388924661944629</v>
      </c>
      <c r="D28" s="35">
        <f t="shared" si="0"/>
        <v>0.014693171996542853</v>
      </c>
      <c r="E28" s="35">
        <f t="shared" si="0"/>
        <v>0.055395792341456085</v>
      </c>
      <c r="F28" s="35">
        <f t="shared" si="0"/>
        <v>0.09184290030211484</v>
      </c>
      <c r="G28" s="35">
        <f t="shared" si="0"/>
        <v>0.08057594352865682</v>
      </c>
      <c r="H28" s="44">
        <f t="shared" si="8"/>
        <v>0.10698900845450487</v>
      </c>
      <c r="I28" s="35"/>
      <c r="J28" s="35"/>
      <c r="K28" s="35"/>
      <c r="L28" s="35"/>
      <c r="M28" s="35"/>
      <c r="N28" s="35"/>
      <c r="O28" s="1"/>
      <c r="P28" s="36"/>
    </row>
    <row r="29" ht="15" customHeight="1">
      <c r="A29" s="1"/>
      <c r="B29" s="43" t="s">
        <v>187</v>
      </c>
      <c r="C29" s="35">
        <f t="shared" si="9" ref="C29:N29">_xlfn.IFERROR(C27/C17,"n/a")</f>
        <v>0.7350154252974879</v>
      </c>
      <c r="D29" s="35">
        <f t="shared" si="9"/>
        <v>0.7273853779429987</v>
      </c>
      <c r="E29" s="35">
        <f t="shared" si="9"/>
        <v>0.729774986917844</v>
      </c>
      <c r="F29" s="35">
        <f t="shared" si="9"/>
        <v>0.7317270702571371</v>
      </c>
      <c r="G29" s="35">
        <f t="shared" si="9"/>
        <v>0.7321195652173913</v>
      </c>
      <c r="H29" s="44">
        <f t="shared" si="9"/>
        <v>0.7309292109745571</v>
      </c>
      <c r="I29" s="35"/>
      <c r="J29" s="35">
        <f t="shared" si="9"/>
        <v>0.7334120425029516</v>
      </c>
      <c r="K29" s="35">
        <f t="shared" si="9"/>
        <v>0.7403220646262131</v>
      </c>
      <c r="L29" s="35">
        <f t="shared" si="9"/>
        <v>0.7330522578497726</v>
      </c>
      <c r="M29" s="35">
        <f t="shared" si="9"/>
        <v>0.7333554890882907</v>
      </c>
      <c r="N29" s="35">
        <f t="shared" si="9"/>
        <v>0.7295470505617978</v>
      </c>
      <c r="O29" s="1"/>
      <c r="P29" s="36"/>
    </row>
    <row r="30" ht="15" customHeight="1">
      <c r="A30" s="1"/>
      <c r="B30" s="54" t="s">
        <v>116</v>
      </c>
      <c r="C30" s="62">
        <f t="shared" si="10" ref="C30:G191">_xlfn.IFERROR((C29-J29)*10000,"n/a")</f>
        <v>16.03382794536312</v>
      </c>
      <c r="D30" s="62">
        <f t="shared" si="10"/>
        <v>-129.3668668321435</v>
      </c>
      <c r="E30" s="62">
        <f t="shared" si="10"/>
        <v>-32.77270931928533</v>
      </c>
      <c r="F30" s="62">
        <f t="shared" si="10"/>
        <v>-16.284188311536106</v>
      </c>
      <c r="G30" s="62">
        <f t="shared" si="10"/>
        <v>25.72514655593494</v>
      </c>
      <c r="H30" s="63">
        <f t="shared" si="14" ref="H30:H191">_xlfn.IFERROR((H29-C29)*10000,"n/a")</f>
        <v>-40.862143229307705</v>
      </c>
      <c r="I30" s="62"/>
      <c r="J30" s="62"/>
      <c r="K30" s="62"/>
      <c r="L30" s="62"/>
      <c r="M30" s="62"/>
      <c r="N30" s="62"/>
      <c r="O30" s="1"/>
      <c r="P30" s="36"/>
    </row>
    <row r="31" ht="15" customHeight="1">
      <c r="A31" s="1"/>
      <c r="B31" s="41" t="s">
        <v>188</v>
      </c>
      <c r="C31" s="61">
        <v>-1644</v>
      </c>
      <c r="D31" s="61">
        <v>-1698</v>
      </c>
      <c r="E31" s="61">
        <v>-1701</v>
      </c>
      <c r="F31" s="61">
        <v>-1844</v>
      </c>
      <c r="G31" s="21">
        <f t="shared" si="3"/>
        <v>-6633</v>
      </c>
      <c r="H31" s="59">
        <f>H119-H239*H73</f>
        <v>-1884.250135</v>
      </c>
      <c r="I31" s="21"/>
      <c r="J31" s="61">
        <v>-1568</v>
      </c>
      <c r="K31" s="61">
        <v>-1675</v>
      </c>
      <c r="L31" s="61">
        <v>-1673</v>
      </c>
      <c r="M31" s="61">
        <v>-1618</v>
      </c>
      <c r="N31" s="61">
        <v>-6514</v>
      </c>
      <c r="O31" s="1"/>
      <c r="P31" s="36"/>
    </row>
    <row r="32" ht="15" customHeight="1">
      <c r="A32" s="1"/>
      <c r="B32" s="43" t="s">
        <v>69</v>
      </c>
      <c r="C32" s="35">
        <f t="shared" si="0"/>
        <v>0.04846938775510212</v>
      </c>
      <c r="D32" s="35">
        <f t="shared" si="0"/>
        <v>0.013731343283582165</v>
      </c>
      <c r="E32" s="35">
        <f t="shared" si="0"/>
        <v>0.01673640167364021</v>
      </c>
      <c r="F32" s="35">
        <f t="shared" si="0"/>
        <v>0.13967861557478378</v>
      </c>
      <c r="G32" s="35">
        <f t="shared" si="0"/>
        <v>0.018268345102855355</v>
      </c>
      <c r="H32" s="44">
        <f t="shared" si="8"/>
        <v>0.14613755170316312</v>
      </c>
      <c r="I32" s="35"/>
      <c r="J32" s="35"/>
      <c r="K32" s="35"/>
      <c r="L32" s="35"/>
      <c r="M32" s="35"/>
      <c r="N32" s="35"/>
      <c r="O32" s="1"/>
      <c r="P32" s="36"/>
    </row>
    <row r="33" ht="15" customHeight="1">
      <c r="A33" s="1"/>
      <c r="B33" s="41" t="s">
        <v>189</v>
      </c>
      <c r="C33" s="61">
        <v>-2185</v>
      </c>
      <c r="D33" s="61">
        <v>-2303</v>
      </c>
      <c r="E33" s="61">
        <v>-2140</v>
      </c>
      <c r="F33" s="61">
        <v>-2315</v>
      </c>
      <c r="G33" s="21">
        <f t="shared" si="3"/>
        <v>-8879</v>
      </c>
      <c r="H33" s="59">
        <f>H123-H237*H73</f>
        <v>-2278.7415800000003</v>
      </c>
      <c r="I33" s="21"/>
      <c r="J33" s="61">
        <v>-2098</v>
      </c>
      <c r="K33" s="61">
        <v>-2496</v>
      </c>
      <c r="L33" s="61">
        <v>-2235</v>
      </c>
      <c r="M33" s="61">
        <v>-2156</v>
      </c>
      <c r="N33" s="61">
        <v>-9090</v>
      </c>
      <c r="O33" s="1"/>
      <c r="P33" s="36"/>
    </row>
    <row r="34" ht="15" customHeight="1">
      <c r="A34" s="1"/>
      <c r="B34" s="43" t="s">
        <v>69</v>
      </c>
      <c r="C34" s="35">
        <f t="shared" si="0"/>
        <v>0.041468064823641626</v>
      </c>
      <c r="D34" s="35">
        <f t="shared" si="0"/>
        <v>-0.07732371794871795</v>
      </c>
      <c r="E34" s="35">
        <f t="shared" si="0"/>
        <v>-0.04250559284116329</v>
      </c>
      <c r="F34" s="35">
        <f t="shared" si="0"/>
        <v>0.07374768089053796</v>
      </c>
      <c r="G34" s="35">
        <f t="shared" si="0"/>
        <v>-0.023212321232123245</v>
      </c>
      <c r="H34" s="44">
        <f t="shared" si="8"/>
        <v>0.042902324942792</v>
      </c>
      <c r="I34" s="35"/>
      <c r="J34" s="35"/>
      <c r="K34" s="35"/>
      <c r="L34" s="35"/>
      <c r="M34" s="35"/>
      <c r="N34" s="35"/>
      <c r="O34" s="1"/>
      <c r="P34" s="36"/>
    </row>
    <row r="35" ht="15" customHeight="1">
      <c r="A35" s="1"/>
      <c r="B35" s="41" t="s">
        <v>190</v>
      </c>
      <c r="C35" s="61">
        <v>-364</v>
      </c>
      <c r="D35" s="61">
        <v>-465</v>
      </c>
      <c r="E35" s="61">
        <v>-358</v>
      </c>
      <c r="F35" s="61">
        <v>-404</v>
      </c>
      <c r="G35" s="21">
        <f t="shared" si="3"/>
        <v>-1548</v>
      </c>
      <c r="H35" s="59">
        <f>H127-H238*H73-H75</f>
        <v>-405.78506999999996</v>
      </c>
      <c r="I35" s="21"/>
      <c r="J35" s="61">
        <v>-361</v>
      </c>
      <c r="K35" s="61">
        <v>-378</v>
      </c>
      <c r="L35" s="61">
        <v>-358</v>
      </c>
      <c r="M35" s="61">
        <v>-361</v>
      </c>
      <c r="N35" s="61">
        <v>-1435</v>
      </c>
      <c r="O35" s="1"/>
      <c r="P35" s="36"/>
    </row>
    <row r="36" ht="15" customHeight="1">
      <c r="A36" s="1"/>
      <c r="B36" s="43" t="s">
        <v>69</v>
      </c>
      <c r="C36" s="35">
        <f t="shared" si="0"/>
        <v>0.008310249307479145</v>
      </c>
      <c r="D36" s="35">
        <f t="shared" si="0"/>
        <v>0.23015873015873023</v>
      </c>
      <c r="E36" s="35">
        <f t="shared" si="0"/>
        <v>0</v>
      </c>
      <c r="F36" s="35">
        <f t="shared" si="0"/>
        <v>0.11911357340720219</v>
      </c>
      <c r="G36" s="35">
        <f t="shared" si="0"/>
        <v>0.07874564459930311</v>
      </c>
      <c r="H36" s="44">
        <f t="shared" si="8"/>
        <v>0.11479414835164814</v>
      </c>
      <c r="I36" s="35"/>
      <c r="J36" s="35"/>
      <c r="K36" s="35"/>
      <c r="L36" s="35"/>
      <c r="M36" s="35"/>
      <c r="N36" s="35"/>
      <c r="O36" s="1"/>
      <c r="P36" s="36"/>
    </row>
    <row r="37" ht="15" customHeight="1">
      <c r="A37" s="1"/>
      <c r="B37" s="41" t="s">
        <v>191</v>
      </c>
      <c r="C37" s="61">
        <v>18</v>
      </c>
      <c r="D37" s="61">
        <v>-3</v>
      </c>
      <c r="E37" s="61">
        <v>-12</v>
      </c>
      <c r="F37" s="61">
        <v>-7</v>
      </c>
      <c r="G37" s="21">
        <f t="shared" si="3"/>
        <v>-3</v>
      </c>
      <c r="H37" s="59">
        <f>-H74</f>
        <v>0</v>
      </c>
      <c r="I37" s="21"/>
      <c r="J37" s="61">
        <v>52</v>
      </c>
      <c r="K37" s="61">
        <v>-323</v>
      </c>
      <c r="L37" s="61">
        <v>0</v>
      </c>
      <c r="M37" s="61">
        <v>-18</v>
      </c>
      <c r="N37" s="61">
        <v>-3144</v>
      </c>
      <c r="O37" s="1"/>
      <c r="P37" s="36"/>
    </row>
    <row r="38" ht="15" customHeight="1">
      <c r="A38" s="1"/>
      <c r="B38" s="41" t="s">
        <v>192</v>
      </c>
      <c r="C38" s="61">
        <v>-8</v>
      </c>
      <c r="D38" s="61">
        <v>-21</v>
      </c>
      <c r="E38" s="61">
        <v>-22</v>
      </c>
      <c r="F38" s="61">
        <v>-14</v>
      </c>
      <c r="G38" s="21">
        <f t="shared" si="3"/>
        <v>-48</v>
      </c>
      <c r="H38" s="59">
        <f>H131-H76</f>
        <v>-15</v>
      </c>
      <c r="I38" s="21"/>
      <c r="J38" s="61">
        <v>-22</v>
      </c>
      <c r="K38" s="61">
        <v>-54</v>
      </c>
      <c r="L38" s="61">
        <v>-8</v>
      </c>
      <c r="M38" s="61">
        <v>-11</v>
      </c>
      <c r="N38" s="61">
        <v>-85</v>
      </c>
      <c r="O38" s="1"/>
      <c r="P38" s="36"/>
    </row>
    <row r="39" ht="15" customHeight="1">
      <c r="A39" s="1"/>
      <c r="B39" s="43" t="s">
        <v>80</v>
      </c>
      <c r="C39" s="50">
        <v>-1</v>
      </c>
      <c r="D39" s="45"/>
      <c r="E39" s="50">
        <v>1</v>
      </c>
      <c r="F39" s="50">
        <v>-1</v>
      </c>
      <c r="G39" s="45">
        <f t="shared" si="3"/>
        <v>-1</v>
      </c>
      <c r="H39" s="46"/>
      <c r="I39" s="45"/>
      <c r="J39" s="50">
        <v>-1</v>
      </c>
      <c r="K39" s="45"/>
      <c r="L39" s="45"/>
      <c r="M39" s="45"/>
      <c r="N39" s="45"/>
      <c r="O39" s="1"/>
      <c r="P39" s="36" t="s">
        <v>81</v>
      </c>
    </row>
    <row r="40" ht="15" customHeight="1">
      <c r="A40" s="1"/>
      <c r="B40" s="25" t="s">
        <v>193</v>
      </c>
      <c r="C40" s="51">
        <f t="shared" si="11" ref="C40:N40">C26+C31+C33+C35+C37+C38+C39</f>
        <v>-6589</v>
      </c>
      <c r="D40" s="51">
        <f t="shared" si="11"/>
        <v>-7130</v>
      </c>
      <c r="E40" s="51">
        <f t="shared" si="11"/>
        <v>-6814</v>
      </c>
      <c r="F40" s="51">
        <f t="shared" si="11"/>
        <v>-7235</v>
      </c>
      <c r="G40" s="51">
        <f t="shared" si="11"/>
        <v>-26970</v>
      </c>
      <c r="H40" s="52">
        <f t="shared" si="11"/>
        <v>-7302.252659600001</v>
      </c>
      <c r="I40" s="51"/>
      <c r="J40" s="51">
        <f t="shared" si="11"/>
        <v>-6256</v>
      </c>
      <c r="K40" s="51">
        <f t="shared" si="11"/>
        <v>-7361</v>
      </c>
      <c r="L40" s="51">
        <f t="shared" si="11"/>
        <v>-6680</v>
      </c>
      <c r="M40" s="51">
        <f t="shared" si="11"/>
        <v>-6571</v>
      </c>
      <c r="N40" s="51">
        <f t="shared" si="11"/>
        <v>-29511</v>
      </c>
      <c r="O40" s="1"/>
      <c r="P40" s="36" t="s">
        <v>194</v>
      </c>
    </row>
    <row r="41" ht="15" customHeight="1">
      <c r="A41" s="1"/>
      <c r="B41" s="25" t="s">
        <v>195</v>
      </c>
      <c r="C41" s="51">
        <f t="shared" si="12" ref="C41:N41">C17+C40</f>
        <v>2487</v>
      </c>
      <c r="D41" s="51">
        <f t="shared" si="12"/>
        <v>2554</v>
      </c>
      <c r="E41" s="51">
        <f t="shared" si="12"/>
        <v>2741</v>
      </c>
      <c r="F41" s="51">
        <f t="shared" si="12"/>
        <v>2643</v>
      </c>
      <c r="G41" s="51">
        <f t="shared" si="12"/>
        <v>9830</v>
      </c>
      <c r="H41" s="52">
        <f t="shared" si="12"/>
        <v>2800.9468904000005</v>
      </c>
      <c r="I41" s="51"/>
      <c r="J41" s="51">
        <f t="shared" si="12"/>
        <v>2214</v>
      </c>
      <c r="K41" s="51">
        <f t="shared" si="12"/>
        <v>2016</v>
      </c>
      <c r="L41" s="51">
        <f t="shared" si="12"/>
        <v>2333</v>
      </c>
      <c r="M41" s="51">
        <f t="shared" si="12"/>
        <v>2456</v>
      </c>
      <c r="N41" s="51">
        <f t="shared" si="12"/>
        <v>4665</v>
      </c>
      <c r="O41" s="1"/>
      <c r="P41" s="36"/>
    </row>
    <row r="42" ht="15" customHeight="1">
      <c r="A42" s="1"/>
      <c r="B42" s="43" t="s">
        <v>69</v>
      </c>
      <c r="C42" s="35">
        <f t="shared" si="0"/>
        <v>0.12330623306233068</v>
      </c>
      <c r="D42" s="35">
        <f t="shared" si="0"/>
        <v>0.2668650793650793</v>
      </c>
      <c r="E42" s="35">
        <f t="shared" si="0"/>
        <v>0.17488212601800268</v>
      </c>
      <c r="F42" s="35">
        <f t="shared" si="0"/>
        <v>0.07614006514657978</v>
      </c>
      <c r="G42" s="35">
        <f t="shared" si="0"/>
        <v>1.107181136120043</v>
      </c>
      <c r="H42" s="44">
        <f t="shared" si="8"/>
        <v>0.1262351790912748</v>
      </c>
      <c r="I42" s="35"/>
      <c r="J42" s="35"/>
      <c r="K42" s="35"/>
      <c r="L42" s="35"/>
      <c r="M42" s="35"/>
      <c r="N42" s="35"/>
      <c r="O42" s="1"/>
      <c r="P42" s="36"/>
    </row>
    <row r="43" ht="15" customHeight="1">
      <c r="A43" s="1"/>
      <c r="B43" s="43" t="s">
        <v>196</v>
      </c>
      <c r="C43" s="35">
        <f t="shared" si="13" ref="C43:N43">_xlfn.IFERROR(C41/C17,"n/a")</f>
        <v>0.2740193918025562</v>
      </c>
      <c r="D43" s="35">
        <f t="shared" si="13"/>
        <v>0.26373399421726557</v>
      </c>
      <c r="E43" s="35">
        <f t="shared" si="13"/>
        <v>0.286865515436944</v>
      </c>
      <c r="F43" s="35">
        <f t="shared" si="13"/>
        <v>0.26756428426807044</v>
      </c>
      <c r="G43" s="35">
        <f t="shared" si="13"/>
        <v>0.26711956521739133</v>
      </c>
      <c r="H43" s="44">
        <f t="shared" si="13"/>
        <v>0.27723365024498603</v>
      </c>
      <c r="I43" s="35"/>
      <c r="J43" s="35">
        <f t="shared" si="13"/>
        <v>0.2613931523022432</v>
      </c>
      <c r="K43" s="35">
        <f t="shared" si="13"/>
        <v>0.21499413458462194</v>
      </c>
      <c r="L43" s="35">
        <f t="shared" si="13"/>
        <v>0.258848330189726</v>
      </c>
      <c r="M43" s="35">
        <f t="shared" si="13"/>
        <v>0.2720726708762601</v>
      </c>
      <c r="N43" s="35">
        <f t="shared" si="13"/>
        <v>0.136499297752809</v>
      </c>
      <c r="O43" s="1"/>
      <c r="P43" s="36"/>
    </row>
    <row r="44" ht="15" customHeight="1">
      <c r="A44" s="1"/>
      <c r="B44" s="54" t="s">
        <v>116</v>
      </c>
      <c r="C44" s="62">
        <f t="shared" si="10"/>
        <v>126.26239500312997</v>
      </c>
      <c r="D44" s="62">
        <f t="shared" si="10"/>
        <v>487.3985963264363</v>
      </c>
      <c r="E44" s="62">
        <f t="shared" si="10"/>
        <v>280.17185247218026</v>
      </c>
      <c r="F44" s="62">
        <f t="shared" si="10"/>
        <v>-45.0838660818964</v>
      </c>
      <c r="G44" s="62">
        <f t="shared" si="10"/>
        <v>1306.2026746458232</v>
      </c>
      <c r="H44" s="63">
        <f t="shared" si="14"/>
        <v>32.142584424298406</v>
      </c>
      <c r="I44" s="62"/>
      <c r="J44" s="62"/>
      <c r="K44" s="62"/>
      <c r="L44" s="62"/>
      <c r="M44" s="62"/>
      <c r="N44" s="62"/>
      <c r="O44" s="1"/>
      <c r="P44" s="36"/>
    </row>
    <row r="45" ht="15" customHeight="1">
      <c r="A45" s="1"/>
      <c r="B45" s="41" t="s">
        <v>197</v>
      </c>
      <c r="C45" s="61">
        <v>46</v>
      </c>
      <c r="D45" s="61">
        <v>65</v>
      </c>
      <c r="E45" s="61">
        <v>24</v>
      </c>
      <c r="F45" s="61">
        <v>-39</v>
      </c>
      <c r="G45" s="21">
        <f t="shared" si="3"/>
        <v>118</v>
      </c>
      <c r="H45" s="68">
        <v>10</v>
      </c>
      <c r="I45" s="21"/>
      <c r="J45" s="61">
        <v>-62</v>
      </c>
      <c r="K45" s="61">
        <v>-83</v>
      </c>
      <c r="L45" s="61">
        <v>10</v>
      </c>
      <c r="M45" s="61">
        <v>-3</v>
      </c>
      <c r="N45" s="61">
        <v>-298</v>
      </c>
      <c r="O45" s="1"/>
      <c r="P45" s="36" t="s">
        <v>198</v>
      </c>
    </row>
    <row r="46" ht="15" customHeight="1">
      <c r="A46" s="1"/>
      <c r="B46" s="41" t="s">
        <v>199</v>
      </c>
      <c r="C46" s="61">
        <v>524</v>
      </c>
      <c r="D46" s="61">
        <v>665</v>
      </c>
      <c r="E46" s="61">
        <v>274</v>
      </c>
      <c r="F46" s="61">
        <v>726</v>
      </c>
      <c r="G46" s="21">
        <f t="shared" si="3"/>
        <v>1911</v>
      </c>
      <c r="H46" s="59">
        <f>H145-H82</f>
        <v>90</v>
      </c>
      <c r="I46" s="21"/>
      <c r="J46" s="61">
        <v>240</v>
      </c>
      <c r="K46" s="61">
        <v>578</v>
      </c>
      <c r="L46" s="61">
        <v>405</v>
      </c>
      <c r="M46" s="61">
        <v>317</v>
      </c>
      <c r="N46" s="61">
        <v>1429</v>
      </c>
      <c r="O46" s="1"/>
      <c r="P46" s="36"/>
    </row>
    <row r="47" ht="15" customHeight="1">
      <c r="A47" s="1"/>
      <c r="B47" s="41" t="s">
        <v>200</v>
      </c>
      <c r="C47" s="61">
        <v>-312</v>
      </c>
      <c r="D47" s="61">
        <v>-517</v>
      </c>
      <c r="E47" s="61">
        <v>-292</v>
      </c>
      <c r="F47" s="61">
        <v>-323</v>
      </c>
      <c r="G47" s="21">
        <f t="shared" si="3"/>
        <v>-1377</v>
      </c>
      <c r="H47" s="59">
        <f>H146</f>
        <v>-158</v>
      </c>
      <c r="I47" s="21"/>
      <c r="J47" s="61">
        <v>-241</v>
      </c>
      <c r="K47" s="61">
        <v>-305</v>
      </c>
      <c r="L47" s="61">
        <v>-280</v>
      </c>
      <c r="M47" s="61">
        <v>-268</v>
      </c>
      <c r="N47" s="61">
        <v>-1031</v>
      </c>
      <c r="O47" s="1"/>
      <c r="P47" s="36"/>
    </row>
    <row r="48" ht="15" customHeight="1">
      <c r="A48" s="1"/>
      <c r="B48" s="54" t="s">
        <v>80</v>
      </c>
      <c r="C48" s="45"/>
      <c r="D48" s="50">
        <v>-1</v>
      </c>
      <c r="E48" s="45"/>
      <c r="F48" s="45"/>
      <c r="G48" s="45">
        <f t="shared" si="3"/>
        <v>-1</v>
      </c>
      <c r="H48" s="46"/>
      <c r="I48" s="45"/>
      <c r="J48" s="45"/>
      <c r="K48" s="45"/>
      <c r="L48" s="45"/>
      <c r="M48" s="45"/>
      <c r="N48" s="45"/>
      <c r="O48" s="1"/>
      <c r="P48" s="36" t="s">
        <v>81</v>
      </c>
    </row>
    <row r="49" ht="15" customHeight="1">
      <c r="A49" s="1"/>
      <c r="B49" s="55" t="s">
        <v>201</v>
      </c>
      <c r="C49" s="51">
        <f t="shared" si="4"/>
        <v>212</v>
      </c>
      <c r="D49" s="51">
        <f t="shared" si="4"/>
        <v>147</v>
      </c>
      <c r="E49" s="51">
        <f t="shared" si="4"/>
        <v>-18</v>
      </c>
      <c r="F49" s="51">
        <f t="shared" si="4"/>
        <v>403</v>
      </c>
      <c r="G49" s="51">
        <f t="shared" si="4"/>
        <v>533</v>
      </c>
      <c r="H49" s="52">
        <f t="shared" si="4"/>
        <v>-68</v>
      </c>
      <c r="I49" s="51"/>
      <c r="J49" s="51">
        <f t="shared" si="4"/>
        <v>-1</v>
      </c>
      <c r="K49" s="51">
        <f t="shared" si="4"/>
        <v>273</v>
      </c>
      <c r="L49" s="51">
        <f t="shared" si="4"/>
        <v>125</v>
      </c>
      <c r="M49" s="51">
        <f t="shared" si="4"/>
        <v>49</v>
      </c>
      <c r="N49" s="51">
        <f t="shared" si="4"/>
        <v>398</v>
      </c>
      <c r="O49" s="1"/>
      <c r="P49" s="36"/>
    </row>
    <row r="50" ht="15" customHeight="1">
      <c r="A50" s="1"/>
      <c r="B50" s="43" t="s">
        <v>80</v>
      </c>
      <c r="C50" s="45"/>
      <c r="D50" s="50">
        <v>1</v>
      </c>
      <c r="E50" s="50">
        <v>-1</v>
      </c>
      <c r="F50" s="50">
        <v>-1</v>
      </c>
      <c r="G50" s="45">
        <f t="shared" si="3"/>
        <v>1</v>
      </c>
      <c r="H50" s="46"/>
      <c r="I50" s="45"/>
      <c r="J50" s="45"/>
      <c r="K50" s="50">
        <v>1</v>
      </c>
      <c r="L50" s="45"/>
      <c r="M50" s="45"/>
      <c r="N50" s="50">
        <v>-1</v>
      </c>
      <c r="O50" s="1"/>
      <c r="P50" s="36" t="s">
        <v>81</v>
      </c>
    </row>
    <row r="51" ht="15" customHeight="1">
      <c r="A51" s="1"/>
      <c r="B51" s="25" t="s">
        <v>202</v>
      </c>
      <c r="C51" s="51">
        <f t="shared" si="15" ref="C51:N51">C41+C45+C49+C50</f>
        <v>2745</v>
      </c>
      <c r="D51" s="51">
        <f t="shared" si="15"/>
        <v>2767</v>
      </c>
      <c r="E51" s="51">
        <f t="shared" si="15"/>
        <v>2746</v>
      </c>
      <c r="F51" s="51">
        <f t="shared" si="15"/>
        <v>3006</v>
      </c>
      <c r="G51" s="51">
        <f t="shared" si="15"/>
        <v>10482</v>
      </c>
      <c r="H51" s="52">
        <f t="shared" si="15"/>
        <v>2742.9468904000005</v>
      </c>
      <c r="I51" s="51"/>
      <c r="J51" s="51">
        <f t="shared" si="15"/>
        <v>2151</v>
      </c>
      <c r="K51" s="51">
        <f t="shared" si="15"/>
        <v>2207</v>
      </c>
      <c r="L51" s="51">
        <f t="shared" si="15"/>
        <v>2468</v>
      </c>
      <c r="M51" s="51">
        <f t="shared" si="15"/>
        <v>2502</v>
      </c>
      <c r="N51" s="51">
        <f t="shared" si="15"/>
        <v>4764</v>
      </c>
      <c r="O51" s="1"/>
      <c r="P51" s="36"/>
    </row>
    <row r="52" ht="15" customHeight="1">
      <c r="A52" s="1"/>
      <c r="B52" s="41" t="s">
        <v>203</v>
      </c>
      <c r="C52" s="61">
        <v>-694</v>
      </c>
      <c r="D52" s="61">
        <v>-871</v>
      </c>
      <c r="E52" s="61">
        <v>-800</v>
      </c>
      <c r="F52" s="61">
        <v>-797</v>
      </c>
      <c r="G52" s="21">
        <f t="shared" si="3"/>
        <v>-2990</v>
      </c>
      <c r="H52" s="59">
        <f>H151-H86</f>
        <v>-785.2398637640001</v>
      </c>
      <c r="I52" s="21"/>
      <c r="J52" s="61">
        <v>-710</v>
      </c>
      <c r="K52" s="61">
        <v>-591</v>
      </c>
      <c r="L52" s="61">
        <v>-672</v>
      </c>
      <c r="M52" s="61">
        <v>-753</v>
      </c>
      <c r="N52" s="61">
        <v>-1614</v>
      </c>
      <c r="O52" s="1"/>
      <c r="P52" s="36"/>
    </row>
    <row r="53" ht="15" customHeight="1">
      <c r="A53" s="1"/>
      <c r="B53" s="43" t="s">
        <v>204</v>
      </c>
      <c r="C53" s="35">
        <f t="shared" si="16" ref="C53:N152">_xlfn.IFERROR(-C52/C51,"n/a")</f>
        <v>0.25282331511839706</v>
      </c>
      <c r="D53" s="35">
        <f t="shared" si="16"/>
        <v>0.3147813516443802</v>
      </c>
      <c r="E53" s="35">
        <f t="shared" si="16"/>
        <v>0.29133284777858703</v>
      </c>
      <c r="F53" s="35">
        <f t="shared" si="16"/>
        <v>0.26513639387890886</v>
      </c>
      <c r="G53" s="35">
        <f t="shared" si="16"/>
        <v>0.28525090631558864</v>
      </c>
      <c r="H53" s="44">
        <f t="shared" si="16"/>
        <v>0.2862759999153646</v>
      </c>
      <c r="I53" s="35"/>
      <c r="J53" s="35">
        <f t="shared" si="16"/>
        <v>0.3300790330079033</v>
      </c>
      <c r="K53" s="35">
        <f t="shared" si="16"/>
        <v>0.26778432260987767</v>
      </c>
      <c r="L53" s="35">
        <f t="shared" si="16"/>
        <v>0.27228525121555913</v>
      </c>
      <c r="M53" s="35">
        <f t="shared" si="16"/>
        <v>0.3009592326139089</v>
      </c>
      <c r="N53" s="35">
        <f t="shared" si="16"/>
        <v>0.33879093198992444</v>
      </c>
      <c r="O53" s="1"/>
      <c r="P53" s="36"/>
    </row>
    <row r="54" ht="15" customHeight="1">
      <c r="A54" s="1"/>
      <c r="B54" s="54" t="s">
        <v>116</v>
      </c>
      <c r="C54" s="62">
        <f t="shared" si="10"/>
        <v>-772.5571788950625</v>
      </c>
      <c r="D54" s="62">
        <f t="shared" si="10"/>
        <v>469.9702903450254</v>
      </c>
      <c r="E54" s="62">
        <f t="shared" si="10"/>
        <v>190.475965630279</v>
      </c>
      <c r="F54" s="62">
        <f t="shared" si="10"/>
        <v>-358.2283873500003</v>
      </c>
      <c r="G54" s="62">
        <f t="shared" si="10"/>
        <v>-535.400256743358</v>
      </c>
      <c r="H54" s="63">
        <f t="shared" si="14"/>
        <v>334.5268479696756</v>
      </c>
      <c r="I54" s="62"/>
      <c r="J54" s="62"/>
      <c r="K54" s="62"/>
      <c r="L54" s="62"/>
      <c r="M54" s="62"/>
      <c r="N54" s="62"/>
      <c r="O54" s="1"/>
      <c r="P54" s="36"/>
    </row>
    <row r="55" ht="15" customHeight="1">
      <c r="A55" s="1"/>
      <c r="B55" s="25" t="s">
        <v>205</v>
      </c>
      <c r="C55" s="51">
        <f t="shared" si="17" ref="C55:N81">C51+C52</f>
        <v>2051</v>
      </c>
      <c r="D55" s="51">
        <f t="shared" si="17"/>
        <v>1896</v>
      </c>
      <c r="E55" s="51">
        <f t="shared" si="17"/>
        <v>1946</v>
      </c>
      <c r="F55" s="51">
        <f t="shared" si="17"/>
        <v>2209</v>
      </c>
      <c r="G55" s="51">
        <f t="shared" si="17"/>
        <v>7492</v>
      </c>
      <c r="H55" s="52">
        <f t="shared" si="17"/>
        <v>1957.7070266360004</v>
      </c>
      <c r="I55" s="51"/>
      <c r="J55" s="51">
        <f t="shared" si="17"/>
        <v>1441</v>
      </c>
      <c r="K55" s="51">
        <f t="shared" si="17"/>
        <v>1616</v>
      </c>
      <c r="L55" s="51">
        <f t="shared" si="17"/>
        <v>1796</v>
      </c>
      <c r="M55" s="51">
        <f t="shared" si="17"/>
        <v>1749</v>
      </c>
      <c r="N55" s="51">
        <f t="shared" si="17"/>
        <v>3150</v>
      </c>
      <c r="O55" s="1"/>
      <c r="P55" s="36"/>
    </row>
    <row r="56" ht="15" customHeight="1">
      <c r="A56" s="1"/>
      <c r="B56" s="41" t="s">
        <v>206</v>
      </c>
      <c r="C56" s="61">
        <v>47</v>
      </c>
      <c r="D56" s="61">
        <v>50</v>
      </c>
      <c r="E56" s="61">
        <v>14</v>
      </c>
      <c r="F56" s="61">
        <v>30</v>
      </c>
      <c r="G56" s="21">
        <f t="shared" si="3"/>
        <v>165</v>
      </c>
      <c r="H56" s="59">
        <f>H156+H95</f>
        <v>3</v>
      </c>
      <c r="I56" s="21"/>
      <c r="J56" s="61">
        <v>-23</v>
      </c>
      <c r="K56" s="61">
        <v>15</v>
      </c>
      <c r="L56" s="61">
        <v>16</v>
      </c>
      <c r="M56" s="61">
        <v>52</v>
      </c>
      <c r="N56" s="61">
        <v>26</v>
      </c>
      <c r="O56" s="1"/>
      <c r="P56" s="36" t="s">
        <v>207</v>
      </c>
    </row>
    <row r="57" ht="15" customHeight="1">
      <c r="A57" s="1"/>
      <c r="B57" s="43" t="s">
        <v>80</v>
      </c>
      <c r="C57" s="45"/>
      <c r="D57" s="45"/>
      <c r="E57" s="45"/>
      <c r="F57" s="50">
        <v>1</v>
      </c>
      <c r="G57" s="45">
        <f t="shared" si="3"/>
        <v>0</v>
      </c>
      <c r="H57" s="46"/>
      <c r="I57" s="45"/>
      <c r="J57" s="50">
        <v>-1</v>
      </c>
      <c r="K57" s="45"/>
      <c r="L57" s="45"/>
      <c r="M57" s="45"/>
      <c r="N57" s="45"/>
      <c r="O57" s="1"/>
      <c r="P57" s="36" t="s">
        <v>81</v>
      </c>
    </row>
    <row r="58" ht="15" customHeight="1">
      <c r="A58" s="1"/>
      <c r="B58" s="25" t="s">
        <v>208</v>
      </c>
      <c r="C58" s="51">
        <f t="shared" si="18" ref="C58:N58">C55-C56+C57</f>
        <v>2004</v>
      </c>
      <c r="D58" s="51">
        <f t="shared" si="18"/>
        <v>1846</v>
      </c>
      <c r="E58" s="51">
        <f t="shared" si="18"/>
        <v>1932</v>
      </c>
      <c r="F58" s="51">
        <f t="shared" si="18"/>
        <v>2180</v>
      </c>
      <c r="G58" s="51">
        <f t="shared" si="18"/>
        <v>7327</v>
      </c>
      <c r="H58" s="52">
        <f t="shared" si="18"/>
        <v>1954.7070266360004</v>
      </c>
      <c r="I58" s="51"/>
      <c r="J58" s="51">
        <f t="shared" si="18"/>
        <v>1463</v>
      </c>
      <c r="K58" s="51">
        <f t="shared" si="18"/>
        <v>1601</v>
      </c>
      <c r="L58" s="51">
        <f t="shared" si="18"/>
        <v>1780</v>
      </c>
      <c r="M58" s="51">
        <f t="shared" si="18"/>
        <v>1697</v>
      </c>
      <c r="N58" s="51">
        <f t="shared" si="18"/>
        <v>3124</v>
      </c>
      <c r="O58" s="1"/>
      <c r="P58" s="36" t="s">
        <v>209</v>
      </c>
    </row>
    <row r="59" ht="15" customHeight="1">
      <c r="A59" s="1"/>
      <c r="B59" s="43" t="s">
        <v>69</v>
      </c>
      <c r="C59" s="35">
        <f t="shared" si="0"/>
        <v>0.369788106630212</v>
      </c>
      <c r="D59" s="35">
        <f t="shared" si="0"/>
        <v>0.15302935665209239</v>
      </c>
      <c r="E59" s="35">
        <f t="shared" si="0"/>
        <v>0.08539325842696632</v>
      </c>
      <c r="F59" s="35">
        <f t="shared" si="0"/>
        <v>0.2846199175014732</v>
      </c>
      <c r="G59" s="35">
        <f t="shared" si="0"/>
        <v>1.3453905249679896</v>
      </c>
      <c r="H59" s="44">
        <f t="shared" si="8"/>
        <v>-0.024597292097804258</v>
      </c>
      <c r="I59" s="35"/>
      <c r="J59" s="35"/>
      <c r="K59" s="35"/>
      <c r="L59" s="35"/>
      <c r="M59" s="35"/>
      <c r="N59" s="35"/>
      <c r="O59" s="1"/>
      <c r="P59" s="36"/>
    </row>
    <row r="60" ht="15" customHeight="1">
      <c r="A60" s="1"/>
      <c r="B60" s="43" t="s">
        <v>210</v>
      </c>
      <c r="C60" s="35">
        <f t="shared" si="19" ref="C60:N60">_xlfn.IFERROR(C58/C17,"n/a")</f>
        <v>0.22080211546936976</v>
      </c>
      <c r="D60" s="35">
        <f t="shared" si="19"/>
        <v>0.1906237092110698</v>
      </c>
      <c r="E60" s="35">
        <f t="shared" si="19"/>
        <v>0.2021978021978022</v>
      </c>
      <c r="F60" s="35">
        <f t="shared" si="19"/>
        <v>0.22069244786394007</v>
      </c>
      <c r="G60" s="35">
        <f t="shared" si="19"/>
        <v>0.19910326086956523</v>
      </c>
      <c r="H60" s="44">
        <f t="shared" si="19"/>
        <v>0.19347405908022475</v>
      </c>
      <c r="I60" s="35"/>
      <c r="J60" s="35">
        <f t="shared" si="19"/>
        <v>0.17272727272727273</v>
      </c>
      <c r="K60" s="35">
        <f t="shared" si="19"/>
        <v>0.17073690945931536</v>
      </c>
      <c r="L60" s="35">
        <f t="shared" si="19"/>
        <v>0.19749251081770774</v>
      </c>
      <c r="M60" s="35">
        <f t="shared" si="19"/>
        <v>0.1879915808131162</v>
      </c>
      <c r="N60" s="35">
        <f t="shared" si="19"/>
        <v>0.09140917602996254</v>
      </c>
      <c r="O60" s="1"/>
      <c r="P60" s="36"/>
    </row>
    <row r="61" ht="15" customHeight="1">
      <c r="A61" s="1"/>
      <c r="B61" s="54" t="s">
        <v>116</v>
      </c>
      <c r="C61" s="62">
        <f t="shared" si="10"/>
        <v>480.7484274209703</v>
      </c>
      <c r="D61" s="62">
        <f t="shared" si="10"/>
        <v>198.86799751754447</v>
      </c>
      <c r="E61" s="62">
        <f t="shared" si="10"/>
        <v>47.052913800944566</v>
      </c>
      <c r="F61" s="62">
        <f t="shared" si="10"/>
        <v>327.00867050823865</v>
      </c>
      <c r="G61" s="62">
        <f t="shared" si="10"/>
        <v>1076.940848396027</v>
      </c>
      <c r="H61" s="63">
        <f t="shared" si="14"/>
        <v>-273.28056389145013</v>
      </c>
      <c r="I61" s="62"/>
      <c r="J61" s="62"/>
      <c r="K61" s="62"/>
      <c r="L61" s="62"/>
      <c r="M61" s="62"/>
      <c r="N61" s="62"/>
      <c r="O61" s="1"/>
      <c r="P61" s="36"/>
    </row>
    <row r="62" ht="15" customHeight="1">
      <c r="A62" s="1"/>
      <c r="B62" s="41" t="s">
        <v>211</v>
      </c>
      <c r="C62" s="20">
        <f>'Share Count'!C12</f>
        <v>1164</v>
      </c>
      <c r="D62" s="20">
        <f>'Share Count'!D12</f>
        <v>1166</v>
      </c>
      <c r="E62" s="20">
        <f>'Share Count'!E12</f>
        <v>1163</v>
      </c>
      <c r="F62" s="20">
        <f>'Share Count'!F12</f>
        <v>1153</v>
      </c>
      <c r="G62" s="20">
        <f>'Share Count'!G12</f>
        <v>1166</v>
      </c>
      <c r="H62" s="42">
        <f>'Share Count'!H12</f>
        <v>1149.582</v>
      </c>
      <c r="I62" s="21"/>
      <c r="J62" s="20">
        <f>'Share Count'!J12</f>
        <v>1166</v>
      </c>
      <c r="K62" s="20">
        <f>'Share Count'!K12</f>
        <v>1165</v>
      </c>
      <c r="L62" s="20">
        <f>'Share Count'!L12</f>
        <v>1167</v>
      </c>
      <c r="M62" s="20">
        <f>'Share Count'!M12</f>
        <v>1166</v>
      </c>
      <c r="N62" s="20">
        <f>'Share Count'!N12</f>
        <v>1166</v>
      </c>
      <c r="O62" s="1"/>
      <c r="P62" s="36"/>
    </row>
    <row r="63" ht="15" customHeight="1">
      <c r="A63" s="1"/>
      <c r="B63" s="41" t="s">
        <v>212</v>
      </c>
      <c r="C63" s="20">
        <f>'Share Count'!C16</f>
        <v>1172</v>
      </c>
      <c r="D63" s="20">
        <f>'Share Count'!D16</f>
        <v>1172</v>
      </c>
      <c r="E63" s="20">
        <f>'Share Count'!E16</f>
        <v>1168</v>
      </c>
      <c r="F63" s="20">
        <f>'Share Count'!F16</f>
        <v>1158</v>
      </c>
      <c r="G63" s="20">
        <f>'Share Count'!G16</f>
        <v>1175</v>
      </c>
      <c r="H63" s="42">
        <f>'Share Count'!H16</f>
        <v>1154.582</v>
      </c>
      <c r="I63" s="21"/>
      <c r="J63" s="20">
        <f>'Share Count'!J16</f>
        <v>1178</v>
      </c>
      <c r="K63" s="20">
        <f>'Share Count'!K16</f>
        <v>1176</v>
      </c>
      <c r="L63" s="20">
        <f>'Share Count'!L16</f>
        <v>1177</v>
      </c>
      <c r="M63" s="20">
        <f>'Share Count'!M16</f>
        <v>1175</v>
      </c>
      <c r="N63" s="20">
        <f>'Share Count'!N16</f>
        <v>1180</v>
      </c>
      <c r="O63" s="1"/>
      <c r="P63" s="36"/>
    </row>
    <row r="64" ht="15" customHeight="1">
      <c r="A64" s="1"/>
      <c r="B64" s="25" t="s">
        <v>213</v>
      </c>
      <c r="C64" s="71">
        <f t="shared" si="20" ref="C64:N64">C58/C62</f>
        <v>1.7216494845360826</v>
      </c>
      <c r="D64" s="71">
        <f t="shared" si="20"/>
        <v>1.5831903945111492</v>
      </c>
      <c r="E64" s="71">
        <f t="shared" si="20"/>
        <v>1.6612209802235598</v>
      </c>
      <c r="F64" s="71">
        <f t="shared" si="20"/>
        <v>1.8907198612315699</v>
      </c>
      <c r="G64" s="71">
        <f t="shared" si="20"/>
        <v>6.283876500857633</v>
      </c>
      <c r="H64" s="72">
        <f t="shared" si="20"/>
        <v>1.7003632856429556</v>
      </c>
      <c r="I64" s="71"/>
      <c r="J64" s="71">
        <f t="shared" si="20"/>
        <v>1.2547169811320755</v>
      </c>
      <c r="K64" s="71">
        <f t="shared" si="20"/>
        <v>1.3742489270386267</v>
      </c>
      <c r="L64" s="71">
        <f t="shared" si="20"/>
        <v>1.5252784918594686</v>
      </c>
      <c r="M64" s="71">
        <f t="shared" si="20"/>
        <v>1.4554030874785593</v>
      </c>
      <c r="N64" s="71">
        <f t="shared" si="20"/>
        <v>2.6792452830188678</v>
      </c>
      <c r="O64" s="1"/>
      <c r="P64" s="36"/>
    </row>
    <row r="65" ht="15" customHeight="1">
      <c r="A65" s="1"/>
      <c r="B65" s="25" t="s">
        <v>214</v>
      </c>
      <c r="C65" s="71">
        <f t="shared" si="21" ref="C65:N65">C58/C63</f>
        <v>1.7098976109215016</v>
      </c>
      <c r="D65" s="71">
        <f t="shared" si="21"/>
        <v>1.575085324232082</v>
      </c>
      <c r="E65" s="71">
        <f t="shared" si="21"/>
        <v>1.654109589041096</v>
      </c>
      <c r="F65" s="71">
        <f t="shared" si="21"/>
        <v>1.8825561312607946</v>
      </c>
      <c r="G65" s="71">
        <f t="shared" si="21"/>
        <v>6.235744680851064</v>
      </c>
      <c r="H65" s="72">
        <f t="shared" si="21"/>
        <v>1.6929997407165538</v>
      </c>
      <c r="I65" s="71"/>
      <c r="J65" s="71">
        <f t="shared" si="21"/>
        <v>1.2419354838709677</v>
      </c>
      <c r="K65" s="71">
        <f t="shared" si="21"/>
        <v>1.3613945578231292</v>
      </c>
      <c r="L65" s="71">
        <f t="shared" si="21"/>
        <v>1.51231945624469</v>
      </c>
      <c r="M65" s="71">
        <f t="shared" si="21"/>
        <v>1.4442553191489362</v>
      </c>
      <c r="N65" s="71">
        <f t="shared" si="21"/>
        <v>2.647457627118644</v>
      </c>
      <c r="O65" s="1"/>
      <c r="P65" s="36"/>
    </row>
    <row r="66" ht="15" customHeight="1">
      <c r="A66" s="1"/>
      <c r="B66" s="43" t="s">
        <v>69</v>
      </c>
      <c r="C66" s="35">
        <f t="shared" si="0"/>
        <v>0.3768006737290013</v>
      </c>
      <c r="D66" s="35">
        <f t="shared" si="0"/>
        <v>0.15696461042906207</v>
      </c>
      <c r="E66" s="35">
        <f t="shared" si="0"/>
        <v>0.09375673387717409</v>
      </c>
      <c r="F66" s="35">
        <f t="shared" si="0"/>
        <v>0.30347875912282474</v>
      </c>
      <c r="G66" s="35">
        <f t="shared" si="0"/>
        <v>1.35537091018062</v>
      </c>
      <c r="H66" s="44">
        <f t="shared" si="8"/>
        <v>-0.009882387165767836</v>
      </c>
      <c r="I66" s="35"/>
      <c r="J66" s="35"/>
      <c r="K66" s="35"/>
      <c r="L66" s="35"/>
      <c r="M66" s="35"/>
      <c r="N66" s="35"/>
      <c r="O66" s="1"/>
      <c r="P66" s="36"/>
    </row>
    <row r="67" ht="15" customHeight="1">
      <c r="A67" s="1"/>
      <c r="B67" s="41" t="s">
        <v>215</v>
      </c>
      <c r="C67" s="73">
        <v>1.72</v>
      </c>
      <c r="D67" s="73">
        <v>1.58</v>
      </c>
      <c r="E67" s="73">
        <v>1.66</v>
      </c>
      <c r="F67" s="73">
        <v>1.89</v>
      </c>
      <c r="G67" s="73">
        <v>6.28</v>
      </c>
      <c r="H67" s="74"/>
      <c r="I67" s="24"/>
      <c r="J67" s="73">
        <v>1.25</v>
      </c>
      <c r="K67" s="73">
        <v>1.37</v>
      </c>
      <c r="L67" s="73">
        <v>1.52</v>
      </c>
      <c r="M67" s="73">
        <v>1.45</v>
      </c>
      <c r="N67" s="73">
        <v>2.68</v>
      </c>
      <c r="O67" s="1"/>
      <c r="P67" s="36"/>
    </row>
    <row r="68" ht="15" customHeight="1">
      <c r="A68" s="1"/>
      <c r="B68" s="41" t="s">
        <v>216</v>
      </c>
      <c r="C68" s="73">
        <v>1.71</v>
      </c>
      <c r="D68" s="73">
        <v>1.57</v>
      </c>
      <c r="E68" s="73">
        <v>1.65</v>
      </c>
      <c r="F68" s="73">
        <v>1.88</v>
      </c>
      <c r="G68" s="73">
        <v>6.24</v>
      </c>
      <c r="H68" s="74"/>
      <c r="I68" s="24"/>
      <c r="J68" s="73">
        <v>1.24</v>
      </c>
      <c r="K68" s="73">
        <v>1.36</v>
      </c>
      <c r="L68" s="73">
        <v>1.51</v>
      </c>
      <c r="M68" s="73">
        <v>1.44</v>
      </c>
      <c r="N68" s="73">
        <v>2.65</v>
      </c>
      <c r="O68" s="1"/>
      <c r="P68" s="36" t="s">
        <v>217</v>
      </c>
    </row>
    <row r="69" ht="15" customHeight="1">
      <c r="A69" s="1"/>
      <c r="B69" s="41" t="s">
        <v>218</v>
      </c>
      <c r="C69" s="24">
        <f t="shared" si="22" ref="C69:G69">C65-C68</f>
        <v>-0.00010238907849835499</v>
      </c>
      <c r="D69" s="24">
        <f t="shared" si="22"/>
        <v>0.005085324232081856</v>
      </c>
      <c r="E69" s="24">
        <f t="shared" si="22"/>
        <v>0.00410958904109604</v>
      </c>
      <c r="F69" s="24">
        <f t="shared" si="22"/>
        <v>0.0025561312607946807</v>
      </c>
      <c r="G69" s="24">
        <f t="shared" si="22"/>
        <v>-0.004255319148936287</v>
      </c>
      <c r="H69" s="74"/>
      <c r="I69" s="24"/>
      <c r="J69" s="24"/>
      <c r="K69" s="24"/>
      <c r="L69" s="24"/>
      <c r="M69" s="24"/>
      <c r="N69" s="24"/>
      <c r="O69" s="1"/>
      <c r="P69" s="36" t="s">
        <v>219</v>
      </c>
    </row>
    <row r="70" ht="15" customHeight="1">
      <c r="A70" s="1"/>
      <c r="B70" s="1"/>
      <c r="C70" s="1"/>
      <c r="D70" s="1"/>
      <c r="E70" s="1"/>
      <c r="F70" s="1"/>
      <c r="G70" s="1"/>
      <c r="H70" s="40"/>
      <c r="I70" s="1"/>
      <c r="J70" s="1"/>
      <c r="K70" s="1"/>
      <c r="L70" s="1"/>
      <c r="M70" s="1"/>
      <c r="N70" s="1"/>
      <c r="O70" s="1"/>
      <c r="P70" s="36"/>
    </row>
    <row r="71" ht="15" customHeight="1">
      <c r="A71" s="1"/>
      <c r="B71" s="25" t="s">
        <v>220</v>
      </c>
      <c r="C71" s="1"/>
      <c r="D71" s="1"/>
      <c r="E71" s="1"/>
      <c r="F71" s="1"/>
      <c r="G71" s="1"/>
      <c r="H71" s="40"/>
      <c r="I71" s="1"/>
      <c r="J71" s="1"/>
      <c r="K71" s="1"/>
      <c r="L71" s="1"/>
      <c r="M71" s="1"/>
      <c r="N71" s="1"/>
      <c r="O71" s="1"/>
      <c r="P71" s="36"/>
    </row>
    <row r="72" ht="15" customHeight="1">
      <c r="A72" s="1"/>
      <c r="B72" s="16" t="s">
        <v>221</v>
      </c>
      <c r="C72" s="21">
        <f t="shared" si="23" ref="C72:N72">C41</f>
        <v>2487</v>
      </c>
      <c r="D72" s="21">
        <f t="shared" si="23"/>
        <v>2554</v>
      </c>
      <c r="E72" s="21">
        <f t="shared" si="23"/>
        <v>2741</v>
      </c>
      <c r="F72" s="21">
        <f t="shared" si="23"/>
        <v>2643</v>
      </c>
      <c r="G72" s="21">
        <f t="shared" si="23"/>
        <v>9830</v>
      </c>
      <c r="H72" s="59">
        <f t="shared" si="23"/>
        <v>2800.9468904000005</v>
      </c>
      <c r="I72" s="21"/>
      <c r="J72" s="21">
        <f t="shared" si="23"/>
        <v>2214</v>
      </c>
      <c r="K72" s="21">
        <f t="shared" si="23"/>
        <v>2016</v>
      </c>
      <c r="L72" s="21">
        <f t="shared" si="23"/>
        <v>2333</v>
      </c>
      <c r="M72" s="21">
        <f t="shared" si="23"/>
        <v>2456</v>
      </c>
      <c r="N72" s="21">
        <f t="shared" si="23"/>
        <v>4665</v>
      </c>
      <c r="O72" s="1"/>
      <c r="P72" s="36"/>
    </row>
    <row r="73" ht="15" customHeight="1">
      <c r="A73" s="1"/>
      <c r="B73" s="41" t="s">
        <v>222</v>
      </c>
      <c r="C73" s="61">
        <v>96</v>
      </c>
      <c r="D73" s="61">
        <v>98</v>
      </c>
      <c r="E73" s="61">
        <v>85</v>
      </c>
      <c r="F73" s="61">
        <v>92</v>
      </c>
      <c r="G73" s="21">
        <f t="shared" si="3"/>
        <v>411</v>
      </c>
      <c r="H73" s="68">
        <v>100</v>
      </c>
      <c r="I73" s="21"/>
      <c r="J73" s="61">
        <v>90</v>
      </c>
      <c r="K73" s="61">
        <v>100</v>
      </c>
      <c r="L73" s="61">
        <v>123</v>
      </c>
      <c r="M73" s="61">
        <v>94</v>
      </c>
      <c r="N73" s="61">
        <v>356</v>
      </c>
      <c r="O73" s="1"/>
      <c r="P73" s="36" t="s">
        <v>223</v>
      </c>
    </row>
    <row r="74" ht="15" customHeight="1">
      <c r="A74" s="1"/>
      <c r="B74" s="41" t="s">
        <v>224</v>
      </c>
      <c r="C74" s="61">
        <v>-18</v>
      </c>
      <c r="D74" s="61">
        <v>3</v>
      </c>
      <c r="E74" s="61">
        <v>12</v>
      </c>
      <c r="F74" s="61">
        <v>7</v>
      </c>
      <c r="G74" s="21">
        <f t="shared" si="3"/>
        <v>3</v>
      </c>
      <c r="H74" s="68">
        <v>0</v>
      </c>
      <c r="I74" s="21"/>
      <c r="J74" s="61">
        <v>-52</v>
      </c>
      <c r="K74" s="61">
        <v>323</v>
      </c>
      <c r="L74" s="61">
        <v>0</v>
      </c>
      <c r="M74" s="61">
        <v>18</v>
      </c>
      <c r="N74" s="61">
        <v>3144</v>
      </c>
      <c r="O74" s="1"/>
      <c r="P74" s="36" t="s">
        <v>225</v>
      </c>
    </row>
    <row r="75" ht="15" customHeight="1">
      <c r="A75" s="1"/>
      <c r="B75" s="41" t="s">
        <v>226</v>
      </c>
      <c r="C75" s="61">
        <v>0</v>
      </c>
      <c r="D75" s="61">
        <v>174</v>
      </c>
      <c r="E75" s="61">
        <v>29</v>
      </c>
      <c r="F75" s="61">
        <v>0</v>
      </c>
      <c r="G75" s="21">
        <f t="shared" si="3"/>
        <v>174</v>
      </c>
      <c r="H75" s="68">
        <v>0</v>
      </c>
      <c r="I75" s="21"/>
      <c r="J75" s="61">
        <v>0</v>
      </c>
      <c r="K75" s="61">
        <v>0</v>
      </c>
      <c r="L75" s="61">
        <v>0</v>
      </c>
      <c r="M75" s="61">
        <v>0</v>
      </c>
      <c r="N75" s="61">
        <v>0</v>
      </c>
      <c r="O75" s="1"/>
      <c r="P75" s="36" t="s">
        <v>227</v>
      </c>
    </row>
    <row r="76" ht="15" customHeight="1">
      <c r="A76" s="1"/>
      <c r="B76" s="41" t="s">
        <v>228</v>
      </c>
      <c r="C76" s="61">
        <v>0</v>
      </c>
      <c r="D76" s="61">
        <v>0</v>
      </c>
      <c r="E76" s="61">
        <v>0</v>
      </c>
      <c r="F76" s="61">
        <v>0</v>
      </c>
      <c r="G76" s="21">
        <f t="shared" si="3"/>
        <v>0</v>
      </c>
      <c r="H76" s="68">
        <v>0</v>
      </c>
      <c r="I76" s="21"/>
      <c r="J76" s="61">
        <v>-8</v>
      </c>
      <c r="K76" s="61">
        <v>-3</v>
      </c>
      <c r="L76" s="61">
        <v>0</v>
      </c>
      <c r="M76" s="61">
        <v>0</v>
      </c>
      <c r="N76" s="61">
        <v>-11</v>
      </c>
      <c r="O76" s="1"/>
      <c r="P76" s="36"/>
    </row>
    <row r="77" ht="15" customHeight="1">
      <c r="A77" s="1"/>
      <c r="B77" s="55" t="s">
        <v>229</v>
      </c>
      <c r="C77" s="51">
        <f t="shared" si="24" ref="C77:N93">C73+C74+C75+C76</f>
        <v>78</v>
      </c>
      <c r="D77" s="51">
        <f t="shared" si="24"/>
        <v>275</v>
      </c>
      <c r="E77" s="51">
        <f t="shared" si="24"/>
        <v>126</v>
      </c>
      <c r="F77" s="51">
        <f t="shared" si="24"/>
        <v>99</v>
      </c>
      <c r="G77" s="51">
        <f t="shared" si="24"/>
        <v>588</v>
      </c>
      <c r="H77" s="52">
        <f t="shared" si="24"/>
        <v>100</v>
      </c>
      <c r="I77" s="51"/>
      <c r="J77" s="51">
        <f t="shared" si="24"/>
        <v>30</v>
      </c>
      <c r="K77" s="51">
        <f t="shared" si="24"/>
        <v>420</v>
      </c>
      <c r="L77" s="51">
        <f t="shared" si="24"/>
        <v>123</v>
      </c>
      <c r="M77" s="51">
        <f t="shared" si="24"/>
        <v>112</v>
      </c>
      <c r="N77" s="51">
        <f t="shared" si="24"/>
        <v>3489</v>
      </c>
      <c r="O77" s="1"/>
      <c r="P77" s="36" t="s">
        <v>230</v>
      </c>
    </row>
    <row r="78" ht="15" customHeight="1">
      <c r="A78" s="1"/>
      <c r="B78" s="58" t="s">
        <v>231</v>
      </c>
      <c r="C78" s="45">
        <f t="shared" si="25" ref="C78:N78">C135-C72-C77</f>
        <v>1</v>
      </c>
      <c r="D78" s="45">
        <f t="shared" si="25"/>
        <v>0</v>
      </c>
      <c r="E78" s="45">
        <f t="shared" si="25"/>
        <v>0</v>
      </c>
      <c r="F78" s="45">
        <f t="shared" si="25"/>
        <v>1</v>
      </c>
      <c r="G78" s="45">
        <f t="shared" si="25"/>
        <v>0</v>
      </c>
      <c r="H78" s="46">
        <f t="shared" si="25"/>
        <v>0</v>
      </c>
      <c r="I78" s="45"/>
      <c r="J78" s="45">
        <f t="shared" si="25"/>
        <v>0</v>
      </c>
      <c r="K78" s="45">
        <f t="shared" si="25"/>
        <v>0</v>
      </c>
      <c r="L78" s="45">
        <f t="shared" si="25"/>
        <v>-1</v>
      </c>
      <c r="M78" s="45">
        <f t="shared" si="25"/>
        <v>0</v>
      </c>
      <c r="N78" s="45">
        <f t="shared" si="25"/>
        <v>-1</v>
      </c>
      <c r="O78" s="1"/>
      <c r="P78" s="36" t="s">
        <v>232</v>
      </c>
    </row>
    <row r="79" ht="15" customHeight="1">
      <c r="A79" s="1"/>
      <c r="B79" s="25" t="s">
        <v>233</v>
      </c>
      <c r="C79" s="51">
        <f t="shared" si="26" ref="C79:N79">C72+C77+C78</f>
        <v>2566</v>
      </c>
      <c r="D79" s="51">
        <f t="shared" si="26"/>
        <v>2829</v>
      </c>
      <c r="E79" s="51">
        <f t="shared" si="26"/>
        <v>2867</v>
      </c>
      <c r="F79" s="51">
        <f t="shared" si="26"/>
        <v>2743</v>
      </c>
      <c r="G79" s="51">
        <f t="shared" si="26"/>
        <v>10418</v>
      </c>
      <c r="H79" s="52">
        <f t="shared" si="26"/>
        <v>2900.9468904000005</v>
      </c>
      <c r="I79" s="51"/>
      <c r="J79" s="51">
        <f t="shared" si="26"/>
        <v>2244</v>
      </c>
      <c r="K79" s="51">
        <f t="shared" si="26"/>
        <v>2436</v>
      </c>
      <c r="L79" s="51">
        <f t="shared" si="26"/>
        <v>2455</v>
      </c>
      <c r="M79" s="51">
        <f t="shared" si="26"/>
        <v>2568</v>
      </c>
      <c r="N79" s="51">
        <f t="shared" si="26"/>
        <v>8153</v>
      </c>
      <c r="O79" s="1"/>
      <c r="P79" s="36"/>
    </row>
    <row r="80" ht="15" customHeight="1">
      <c r="A80" s="1"/>
      <c r="B80" s="16" t="s">
        <v>234</v>
      </c>
      <c r="C80" s="21">
        <f t="shared" si="27" ref="C80:N80">C51</f>
        <v>2745</v>
      </c>
      <c r="D80" s="21">
        <f t="shared" si="27"/>
        <v>2767</v>
      </c>
      <c r="E80" s="21">
        <f t="shared" si="27"/>
        <v>2746</v>
      </c>
      <c r="F80" s="21">
        <f t="shared" si="27"/>
        <v>3006</v>
      </c>
      <c r="G80" s="21">
        <f t="shared" si="27"/>
        <v>10482</v>
      </c>
      <c r="H80" s="59">
        <f t="shared" si="27"/>
        <v>2742.9468904000005</v>
      </c>
      <c r="I80" s="21"/>
      <c r="J80" s="21">
        <f t="shared" si="27"/>
        <v>2151</v>
      </c>
      <c r="K80" s="21">
        <f t="shared" si="27"/>
        <v>2207</v>
      </c>
      <c r="L80" s="21">
        <f t="shared" si="27"/>
        <v>2468</v>
      </c>
      <c r="M80" s="21">
        <f t="shared" si="27"/>
        <v>2502</v>
      </c>
      <c r="N80" s="21">
        <f t="shared" si="27"/>
        <v>4764</v>
      </c>
      <c r="O80" s="1"/>
      <c r="P80" s="36"/>
    </row>
    <row r="81" ht="15" customHeight="1">
      <c r="A81" s="1"/>
      <c r="B81" s="41" t="s">
        <v>235</v>
      </c>
      <c r="C81" s="21">
        <f t="shared" si="17"/>
        <v>79</v>
      </c>
      <c r="D81" s="21">
        <f t="shared" si="17"/>
        <v>275</v>
      </c>
      <c r="E81" s="21">
        <f t="shared" si="17"/>
        <v>126</v>
      </c>
      <c r="F81" s="21">
        <f t="shared" si="17"/>
        <v>100</v>
      </c>
      <c r="G81" s="21">
        <f t="shared" si="17"/>
        <v>588</v>
      </c>
      <c r="H81" s="59">
        <f t="shared" si="17"/>
        <v>100</v>
      </c>
      <c r="I81" s="21"/>
      <c r="J81" s="21">
        <f t="shared" si="17"/>
        <v>30</v>
      </c>
      <c r="K81" s="21">
        <f t="shared" si="17"/>
        <v>420</v>
      </c>
      <c r="L81" s="21">
        <f t="shared" si="17"/>
        <v>122</v>
      </c>
      <c r="M81" s="21">
        <f t="shared" si="17"/>
        <v>112</v>
      </c>
      <c r="N81" s="21">
        <f t="shared" si="17"/>
        <v>3488</v>
      </c>
      <c r="O81" s="1"/>
      <c r="P81" s="36" t="s">
        <v>236</v>
      </c>
    </row>
    <row r="82" ht="15" customHeight="1">
      <c r="A82" s="1"/>
      <c r="B82" s="41" t="s">
        <v>237</v>
      </c>
      <c r="C82" s="61">
        <v>-256</v>
      </c>
      <c r="D82" s="61">
        <v>-209</v>
      </c>
      <c r="E82" s="61">
        <v>-40</v>
      </c>
      <c r="F82" s="61">
        <v>-463</v>
      </c>
      <c r="G82" s="21">
        <f t="shared" si="3"/>
        <v>-764</v>
      </c>
      <c r="H82" s="68">
        <v>0</v>
      </c>
      <c r="I82" s="21"/>
      <c r="J82" s="61">
        <v>-24</v>
      </c>
      <c r="K82" s="61">
        <v>-314</v>
      </c>
      <c r="L82" s="61">
        <v>-208</v>
      </c>
      <c r="M82" s="61">
        <v>-91</v>
      </c>
      <c r="N82" s="61">
        <v>-461</v>
      </c>
      <c r="O82" s="1"/>
      <c r="P82" s="36" t="s">
        <v>238</v>
      </c>
    </row>
    <row r="83" ht="15" customHeight="1">
      <c r="A83" s="1"/>
      <c r="B83" s="58" t="s">
        <v>231</v>
      </c>
      <c r="C83" s="45">
        <f t="shared" si="28" ref="C83:N83">C150-C80-C81-C82</f>
        <v>1</v>
      </c>
      <c r="D83" s="45">
        <f t="shared" si="28"/>
        <v>0</v>
      </c>
      <c r="E83" s="45">
        <f t="shared" si="28"/>
        <v>0</v>
      </c>
      <c r="F83" s="45">
        <f t="shared" si="28"/>
        <v>0</v>
      </c>
      <c r="G83" s="45">
        <f t="shared" si="28"/>
        <v>2</v>
      </c>
      <c r="H83" s="46">
        <f t="shared" si="28"/>
        <v>0</v>
      </c>
      <c r="I83" s="45"/>
      <c r="J83" s="45">
        <f t="shared" si="28"/>
        <v>0</v>
      </c>
      <c r="K83" s="45">
        <f t="shared" si="28"/>
        <v>0</v>
      </c>
      <c r="L83" s="45">
        <f t="shared" si="28"/>
        <v>0</v>
      </c>
      <c r="M83" s="45">
        <f t="shared" si="28"/>
        <v>1</v>
      </c>
      <c r="N83" s="45">
        <f t="shared" si="28"/>
        <v>1</v>
      </c>
      <c r="O83" s="1"/>
      <c r="P83" s="36" t="s">
        <v>232</v>
      </c>
    </row>
    <row r="84" ht="15" customHeight="1">
      <c r="A84" s="1"/>
      <c r="B84" s="25" t="s">
        <v>239</v>
      </c>
      <c r="C84" s="51">
        <f t="shared" si="24"/>
        <v>2569</v>
      </c>
      <c r="D84" s="51">
        <f t="shared" si="24"/>
        <v>2833</v>
      </c>
      <c r="E84" s="51">
        <f t="shared" si="24"/>
        <v>2832</v>
      </c>
      <c r="F84" s="51">
        <f t="shared" si="24"/>
        <v>2643</v>
      </c>
      <c r="G84" s="51">
        <f t="shared" si="24"/>
        <v>10308</v>
      </c>
      <c r="H84" s="52">
        <f t="shared" si="24"/>
        <v>2842.9468904000005</v>
      </c>
      <c r="I84" s="51"/>
      <c r="J84" s="51">
        <f t="shared" si="24"/>
        <v>2157</v>
      </c>
      <c r="K84" s="51">
        <f t="shared" si="24"/>
        <v>2313</v>
      </c>
      <c r="L84" s="51">
        <f t="shared" si="24"/>
        <v>2382</v>
      </c>
      <c r="M84" s="51">
        <f t="shared" si="24"/>
        <v>2524</v>
      </c>
      <c r="N84" s="51">
        <f t="shared" si="24"/>
        <v>7792</v>
      </c>
      <c r="O84" s="1"/>
      <c r="P84" s="36"/>
    </row>
    <row r="85" ht="15" customHeight="1">
      <c r="A85" s="1"/>
      <c r="B85" s="16" t="s">
        <v>240</v>
      </c>
      <c r="C85" s="21">
        <f t="shared" si="29" ref="C85:N85">C52</f>
        <v>-694</v>
      </c>
      <c r="D85" s="21">
        <f t="shared" si="29"/>
        <v>-871</v>
      </c>
      <c r="E85" s="21">
        <f t="shared" si="29"/>
        <v>-800</v>
      </c>
      <c r="F85" s="21">
        <f t="shared" si="29"/>
        <v>-797</v>
      </c>
      <c r="G85" s="21">
        <f t="shared" si="29"/>
        <v>-2990</v>
      </c>
      <c r="H85" s="59">
        <f t="shared" si="29"/>
        <v>-785.2398637640001</v>
      </c>
      <c r="I85" s="21"/>
      <c r="J85" s="21">
        <f t="shared" si="29"/>
        <v>-710</v>
      </c>
      <c r="K85" s="21">
        <f t="shared" si="29"/>
        <v>-591</v>
      </c>
      <c r="L85" s="21">
        <f t="shared" si="29"/>
        <v>-672</v>
      </c>
      <c r="M85" s="21">
        <f t="shared" si="29"/>
        <v>-753</v>
      </c>
      <c r="N85" s="21">
        <f t="shared" si="29"/>
        <v>-1614</v>
      </c>
      <c r="O85" s="1"/>
      <c r="P85" s="36"/>
    </row>
    <row r="86" ht="15" customHeight="1">
      <c r="A86" s="1"/>
      <c r="B86" s="41" t="s">
        <v>241</v>
      </c>
      <c r="C86" s="21">
        <f t="shared" si="30" ref="C86:N86">C151-C52</f>
        <v>-23</v>
      </c>
      <c r="D86" s="21">
        <f t="shared" si="30"/>
        <v>-66</v>
      </c>
      <c r="E86" s="21">
        <f t="shared" si="30"/>
        <v>-30</v>
      </c>
      <c r="F86" s="21">
        <f t="shared" si="30"/>
        <v>-18</v>
      </c>
      <c r="G86" s="21">
        <f t="shared" si="30"/>
        <v>-141</v>
      </c>
      <c r="H86" s="59">
        <f>-H87*(H77+H82)</f>
        <v>-25</v>
      </c>
      <c r="I86" s="21"/>
      <c r="J86" s="21">
        <f t="shared" si="30"/>
        <v>-10</v>
      </c>
      <c r="K86" s="21">
        <f t="shared" si="30"/>
        <v>-103</v>
      </c>
      <c r="L86" s="21">
        <f t="shared" si="30"/>
        <v>-29</v>
      </c>
      <c r="M86" s="21">
        <f t="shared" si="30"/>
        <v>-23</v>
      </c>
      <c r="N86" s="21">
        <f t="shared" si="30"/>
        <v>-899</v>
      </c>
      <c r="O86" s="1"/>
      <c r="P86" s="36"/>
    </row>
    <row r="87" ht="15" customHeight="1">
      <c r="A87" s="1"/>
      <c r="B87" s="43" t="s">
        <v>242</v>
      </c>
      <c r="C87" s="75">
        <f t="shared" si="31" ref="C87:G87">_xlfn.IFERROR(-C86/(C77+C82),"n/a")</f>
        <v>-0.12921348314606743</v>
      </c>
      <c r="D87" s="75">
        <f t="shared" si="31"/>
        <v>1</v>
      </c>
      <c r="E87" s="75">
        <f t="shared" si="31"/>
        <v>0.3488372093023256</v>
      </c>
      <c r="F87" s="75">
        <f t="shared" si="31"/>
        <v>-0.04945054945054945</v>
      </c>
      <c r="G87" s="75">
        <f t="shared" si="31"/>
        <v>-0.8011363636363636</v>
      </c>
      <c r="H87" s="57">
        <v>0.25</v>
      </c>
      <c r="I87" s="35"/>
      <c r="J87" s="35"/>
      <c r="K87" s="35"/>
      <c r="L87" s="35"/>
      <c r="M87" s="35"/>
      <c r="N87" s="35"/>
      <c r="O87" s="1"/>
      <c r="P87" s="36" t="s">
        <v>243</v>
      </c>
    </row>
    <row r="88" ht="15" customHeight="1">
      <c r="A88" s="1"/>
      <c r="B88" s="25" t="s">
        <v>244</v>
      </c>
      <c r="C88" s="51">
        <f t="shared" si="32" ref="C88:N88">C85+C86</f>
        <v>-717</v>
      </c>
      <c r="D88" s="51">
        <f t="shared" si="32"/>
        <v>-937</v>
      </c>
      <c r="E88" s="51">
        <f t="shared" si="32"/>
        <v>-830</v>
      </c>
      <c r="F88" s="51">
        <f t="shared" si="32"/>
        <v>-815</v>
      </c>
      <c r="G88" s="51">
        <f t="shared" si="32"/>
        <v>-3131</v>
      </c>
      <c r="H88" s="52">
        <f t="shared" si="32"/>
        <v>-810.2398637640001</v>
      </c>
      <c r="I88" s="51"/>
      <c r="J88" s="51">
        <f t="shared" si="32"/>
        <v>-720</v>
      </c>
      <c r="K88" s="51">
        <f t="shared" si="32"/>
        <v>-694</v>
      </c>
      <c r="L88" s="51">
        <f t="shared" si="32"/>
        <v>-701</v>
      </c>
      <c r="M88" s="51">
        <f t="shared" si="32"/>
        <v>-776</v>
      </c>
      <c r="N88" s="51">
        <f t="shared" si="32"/>
        <v>-2513</v>
      </c>
      <c r="O88" s="1"/>
      <c r="P88" s="36"/>
    </row>
    <row r="89" ht="15" customHeight="1">
      <c r="A89" s="1"/>
      <c r="B89" s="16" t="s">
        <v>245</v>
      </c>
      <c r="C89" s="21">
        <f t="shared" si="33" ref="C89:N89">C55</f>
        <v>2051</v>
      </c>
      <c r="D89" s="21">
        <f t="shared" si="33"/>
        <v>1896</v>
      </c>
      <c r="E89" s="21">
        <f t="shared" si="33"/>
        <v>1946</v>
      </c>
      <c r="F89" s="21">
        <f t="shared" si="33"/>
        <v>2209</v>
      </c>
      <c r="G89" s="21">
        <f t="shared" si="33"/>
        <v>7492</v>
      </c>
      <c r="H89" s="59">
        <f t="shared" si="33"/>
        <v>1957.7070266360004</v>
      </c>
      <c r="I89" s="21"/>
      <c r="J89" s="21">
        <f t="shared" si="33"/>
        <v>1441</v>
      </c>
      <c r="K89" s="21">
        <f t="shared" si="33"/>
        <v>1616</v>
      </c>
      <c r="L89" s="21">
        <f t="shared" si="33"/>
        <v>1796</v>
      </c>
      <c r="M89" s="21">
        <f t="shared" si="33"/>
        <v>1749</v>
      </c>
      <c r="N89" s="21">
        <f t="shared" si="33"/>
        <v>3150</v>
      </c>
      <c r="O89" s="1"/>
      <c r="P89" s="36"/>
    </row>
    <row r="90" ht="15" customHeight="1">
      <c r="A90" s="1"/>
      <c r="B90" s="41" t="s">
        <v>246</v>
      </c>
      <c r="C90" s="21">
        <f t="shared" si="34" ref="C90:N90">C84-C80</f>
        <v>-176</v>
      </c>
      <c r="D90" s="21">
        <f t="shared" si="34"/>
        <v>66</v>
      </c>
      <c r="E90" s="21">
        <f t="shared" si="34"/>
        <v>86</v>
      </c>
      <c r="F90" s="21">
        <f t="shared" si="34"/>
        <v>-363</v>
      </c>
      <c r="G90" s="21">
        <f t="shared" si="34"/>
        <v>-174</v>
      </c>
      <c r="H90" s="59">
        <f t="shared" si="34"/>
        <v>100</v>
      </c>
      <c r="I90" s="21"/>
      <c r="J90" s="21">
        <f t="shared" si="34"/>
        <v>6</v>
      </c>
      <c r="K90" s="21">
        <f t="shared" si="34"/>
        <v>106</v>
      </c>
      <c r="L90" s="21">
        <f t="shared" si="34"/>
        <v>-86</v>
      </c>
      <c r="M90" s="21">
        <f t="shared" si="34"/>
        <v>22</v>
      </c>
      <c r="N90" s="21">
        <f t="shared" si="34"/>
        <v>3028</v>
      </c>
      <c r="O90" s="1"/>
      <c r="P90" s="36" t="s">
        <v>247</v>
      </c>
    </row>
    <row r="91" ht="15" customHeight="1">
      <c r="A91" s="1"/>
      <c r="B91" s="41" t="s">
        <v>241</v>
      </c>
      <c r="C91" s="21">
        <f t="shared" si="35" ref="C91:N91">C86</f>
        <v>-23</v>
      </c>
      <c r="D91" s="21">
        <f t="shared" si="35"/>
        <v>-66</v>
      </c>
      <c r="E91" s="21">
        <f t="shared" si="35"/>
        <v>-30</v>
      </c>
      <c r="F91" s="21">
        <f t="shared" si="35"/>
        <v>-18</v>
      </c>
      <c r="G91" s="21">
        <f t="shared" si="35"/>
        <v>-141</v>
      </c>
      <c r="H91" s="59">
        <f t="shared" si="35"/>
        <v>-25</v>
      </c>
      <c r="I91" s="21"/>
      <c r="J91" s="21">
        <f t="shared" si="35"/>
        <v>-10</v>
      </c>
      <c r="K91" s="21">
        <f t="shared" si="35"/>
        <v>-103</v>
      </c>
      <c r="L91" s="21">
        <f t="shared" si="35"/>
        <v>-29</v>
      </c>
      <c r="M91" s="21">
        <f t="shared" si="35"/>
        <v>-23</v>
      </c>
      <c r="N91" s="21">
        <f t="shared" si="35"/>
        <v>-899</v>
      </c>
      <c r="O91" s="1"/>
      <c r="P91" s="36"/>
    </row>
    <row r="92" ht="15" customHeight="1">
      <c r="A92" s="1"/>
      <c r="B92" s="58" t="s">
        <v>231</v>
      </c>
      <c r="C92" s="45">
        <f t="shared" si="36" ref="C92:N92">C155-C89-C90-C91</f>
        <v>0</v>
      </c>
      <c r="D92" s="45">
        <f t="shared" si="36"/>
        <v>0</v>
      </c>
      <c r="E92" s="45">
        <f t="shared" si="36"/>
        <v>0</v>
      </c>
      <c r="F92" s="45">
        <f t="shared" si="36"/>
        <v>0</v>
      </c>
      <c r="G92" s="45">
        <f t="shared" si="36"/>
        <v>-1</v>
      </c>
      <c r="H92" s="46">
        <f t="shared" si="36"/>
        <v>0</v>
      </c>
      <c r="I92" s="45"/>
      <c r="J92" s="45">
        <f t="shared" si="36"/>
        <v>0</v>
      </c>
      <c r="K92" s="45">
        <f t="shared" si="36"/>
        <v>0</v>
      </c>
      <c r="L92" s="45">
        <f t="shared" si="36"/>
        <v>0</v>
      </c>
      <c r="M92" s="45">
        <f t="shared" si="36"/>
        <v>-1</v>
      </c>
      <c r="N92" s="45">
        <f t="shared" si="36"/>
        <v>0</v>
      </c>
      <c r="O92" s="1"/>
      <c r="P92" s="36" t="s">
        <v>232</v>
      </c>
    </row>
    <row r="93" ht="15" customHeight="1">
      <c r="A93" s="1"/>
      <c r="B93" s="25" t="s">
        <v>248</v>
      </c>
      <c r="C93" s="51">
        <f t="shared" si="24"/>
        <v>1852</v>
      </c>
      <c r="D93" s="51">
        <f t="shared" si="24"/>
        <v>1896</v>
      </c>
      <c r="E93" s="51">
        <f t="shared" si="24"/>
        <v>2002</v>
      </c>
      <c r="F93" s="51">
        <f t="shared" si="24"/>
        <v>1828</v>
      </c>
      <c r="G93" s="51">
        <f t="shared" si="24"/>
        <v>7176</v>
      </c>
      <c r="H93" s="52">
        <f t="shared" si="24"/>
        <v>2032.7070266360006</v>
      </c>
      <c r="I93" s="51"/>
      <c r="J93" s="51">
        <f t="shared" si="24"/>
        <v>1437</v>
      </c>
      <c r="K93" s="51">
        <f t="shared" si="24"/>
        <v>1619</v>
      </c>
      <c r="L93" s="51">
        <f t="shared" si="24"/>
        <v>1681</v>
      </c>
      <c r="M93" s="51">
        <f t="shared" si="24"/>
        <v>1747</v>
      </c>
      <c r="N93" s="51">
        <f t="shared" si="24"/>
        <v>5279</v>
      </c>
      <c r="O93" s="1"/>
      <c r="P93" s="36"/>
    </row>
    <row r="94" ht="15" customHeight="1">
      <c r="A94" s="1"/>
      <c r="B94" s="16" t="s">
        <v>249</v>
      </c>
      <c r="C94" s="21">
        <f t="shared" si="37" ref="C94:N94">C56</f>
        <v>47</v>
      </c>
      <c r="D94" s="21">
        <f t="shared" si="37"/>
        <v>50</v>
      </c>
      <c r="E94" s="21">
        <f t="shared" si="37"/>
        <v>14</v>
      </c>
      <c r="F94" s="21">
        <f t="shared" si="37"/>
        <v>30</v>
      </c>
      <c r="G94" s="21">
        <f t="shared" si="37"/>
        <v>165</v>
      </c>
      <c r="H94" s="59">
        <f t="shared" si="37"/>
        <v>3</v>
      </c>
      <c r="I94" s="21"/>
      <c r="J94" s="21">
        <f t="shared" si="37"/>
        <v>-23</v>
      </c>
      <c r="K94" s="21">
        <f t="shared" si="37"/>
        <v>15</v>
      </c>
      <c r="L94" s="21">
        <f t="shared" si="37"/>
        <v>16</v>
      </c>
      <c r="M94" s="21">
        <f t="shared" si="37"/>
        <v>52</v>
      </c>
      <c r="N94" s="21">
        <f t="shared" si="37"/>
        <v>26</v>
      </c>
      <c r="O94" s="1"/>
      <c r="P94" s="36"/>
    </row>
    <row r="95" ht="15" customHeight="1">
      <c r="A95" s="1"/>
      <c r="B95" s="41" t="s">
        <v>250</v>
      </c>
      <c r="C95" s="21">
        <f t="shared" si="38" ref="C95:N95">C56-C156</f>
        <v>41</v>
      </c>
      <c r="D95" s="21">
        <f t="shared" si="38"/>
        <v>42</v>
      </c>
      <c r="E95" s="21">
        <f t="shared" si="38"/>
        <v>13</v>
      </c>
      <c r="F95" s="21">
        <f t="shared" si="38"/>
        <v>34</v>
      </c>
      <c r="G95" s="21">
        <f t="shared" si="38"/>
        <v>155</v>
      </c>
      <c r="H95" s="68">
        <v>0</v>
      </c>
      <c r="I95" s="21"/>
      <c r="J95" s="21">
        <f t="shared" si="38"/>
        <v>-26</v>
      </c>
      <c r="K95" s="21">
        <f t="shared" si="38"/>
        <v>25</v>
      </c>
      <c r="L95" s="21">
        <f t="shared" si="38"/>
        <v>14</v>
      </c>
      <c r="M95" s="21">
        <f t="shared" si="38"/>
        <v>58</v>
      </c>
      <c r="N95" s="21">
        <f t="shared" si="38"/>
        <v>33</v>
      </c>
      <c r="O95" s="1"/>
      <c r="P95" s="36" t="s">
        <v>251</v>
      </c>
    </row>
    <row r="96" ht="15" customHeight="1">
      <c r="A96" s="1"/>
      <c r="B96" s="25" t="s">
        <v>252</v>
      </c>
      <c r="C96" s="51">
        <f t="shared" si="39" ref="C96:N169">C94-C95</f>
        <v>6</v>
      </c>
      <c r="D96" s="51">
        <f t="shared" si="39"/>
        <v>8</v>
      </c>
      <c r="E96" s="51">
        <f t="shared" si="39"/>
        <v>1</v>
      </c>
      <c r="F96" s="51">
        <f t="shared" si="39"/>
        <v>-4</v>
      </c>
      <c r="G96" s="51">
        <f t="shared" si="39"/>
        <v>10</v>
      </c>
      <c r="H96" s="52">
        <f t="shared" si="39"/>
        <v>3</v>
      </c>
      <c r="I96" s="51"/>
      <c r="J96" s="51">
        <f t="shared" si="39"/>
        <v>3</v>
      </c>
      <c r="K96" s="51">
        <f t="shared" si="39"/>
        <v>-10</v>
      </c>
      <c r="L96" s="51">
        <f t="shared" si="39"/>
        <v>2</v>
      </c>
      <c r="M96" s="51">
        <f t="shared" si="39"/>
        <v>-6</v>
      </c>
      <c r="N96" s="51">
        <f t="shared" si="39"/>
        <v>-7</v>
      </c>
      <c r="O96" s="1"/>
      <c r="P96" s="36" t="s">
        <v>253</v>
      </c>
    </row>
    <row r="97" ht="15" customHeight="1">
      <c r="A97" s="1"/>
      <c r="B97" s="16" t="s">
        <v>254</v>
      </c>
      <c r="C97" s="21">
        <f t="shared" si="40" ref="C97:N97">C58</f>
        <v>2004</v>
      </c>
      <c r="D97" s="21">
        <f t="shared" si="40"/>
        <v>1846</v>
      </c>
      <c r="E97" s="21">
        <f t="shared" si="40"/>
        <v>1932</v>
      </c>
      <c r="F97" s="21">
        <f t="shared" si="40"/>
        <v>2180</v>
      </c>
      <c r="G97" s="21">
        <f t="shared" si="40"/>
        <v>7327</v>
      </c>
      <c r="H97" s="59">
        <f t="shared" si="40"/>
        <v>1954.7070266360004</v>
      </c>
      <c r="I97" s="21"/>
      <c r="J97" s="21">
        <f t="shared" si="40"/>
        <v>1463</v>
      </c>
      <c r="K97" s="21">
        <f t="shared" si="40"/>
        <v>1601</v>
      </c>
      <c r="L97" s="21">
        <f t="shared" si="40"/>
        <v>1780</v>
      </c>
      <c r="M97" s="21">
        <f t="shared" si="40"/>
        <v>1697</v>
      </c>
      <c r="N97" s="21">
        <f t="shared" si="40"/>
        <v>3124</v>
      </c>
      <c r="O97" s="1"/>
      <c r="P97" s="36"/>
    </row>
    <row r="98" ht="15" customHeight="1">
      <c r="A98" s="1"/>
      <c r="B98" s="41" t="s">
        <v>255</v>
      </c>
      <c r="C98" s="21">
        <f t="shared" si="41" ref="C98:N98">C93-C96-C97</f>
        <v>-158</v>
      </c>
      <c r="D98" s="21">
        <f t="shared" si="41"/>
        <v>42</v>
      </c>
      <c r="E98" s="21">
        <f t="shared" si="41"/>
        <v>69</v>
      </c>
      <c r="F98" s="21">
        <f t="shared" si="41"/>
        <v>-348</v>
      </c>
      <c r="G98" s="21">
        <f t="shared" si="41"/>
        <v>-161</v>
      </c>
      <c r="H98" s="59">
        <f t="shared" si="41"/>
        <v>75.00000000000023</v>
      </c>
      <c r="I98" s="21"/>
      <c r="J98" s="21">
        <f t="shared" si="41"/>
        <v>-29</v>
      </c>
      <c r="K98" s="21">
        <f t="shared" si="41"/>
        <v>28</v>
      </c>
      <c r="L98" s="21">
        <f t="shared" si="41"/>
        <v>-101</v>
      </c>
      <c r="M98" s="21">
        <f t="shared" si="41"/>
        <v>56</v>
      </c>
      <c r="N98" s="21">
        <f t="shared" si="41"/>
        <v>2162</v>
      </c>
      <c r="O98" s="1"/>
      <c r="P98" s="36" t="s">
        <v>256</v>
      </c>
    </row>
    <row r="99" ht="15" customHeight="1">
      <c r="A99" s="1"/>
      <c r="B99" s="25" t="s">
        <v>257</v>
      </c>
      <c r="C99" s="51">
        <f t="shared" si="6"/>
        <v>1846</v>
      </c>
      <c r="D99" s="51">
        <f t="shared" si="6"/>
        <v>1888</v>
      </c>
      <c r="E99" s="51">
        <f t="shared" si="6"/>
        <v>2001</v>
      </c>
      <c r="F99" s="51">
        <f t="shared" si="6"/>
        <v>1832</v>
      </c>
      <c r="G99" s="51">
        <f t="shared" si="6"/>
        <v>7166</v>
      </c>
      <c r="H99" s="52">
        <f t="shared" si="6"/>
        <v>2029.7070266360006</v>
      </c>
      <c r="I99" s="51"/>
      <c r="J99" s="51">
        <f t="shared" si="6"/>
        <v>1434</v>
      </c>
      <c r="K99" s="51">
        <f t="shared" si="6"/>
        <v>1629</v>
      </c>
      <c r="L99" s="51">
        <f t="shared" si="6"/>
        <v>1679</v>
      </c>
      <c r="M99" s="51">
        <f t="shared" si="6"/>
        <v>1753</v>
      </c>
      <c r="N99" s="51">
        <f t="shared" si="6"/>
        <v>5286</v>
      </c>
      <c r="O99" s="1"/>
      <c r="P99" s="36" t="s">
        <v>258</v>
      </c>
    </row>
    <row r="100" ht="15" customHeight="1">
      <c r="A100" s="1"/>
      <c r="B100" s="58" t="s">
        <v>259</v>
      </c>
      <c r="C100" s="21">
        <f t="shared" si="42" ref="C100:N100">ROUND(C99-C157,6)</f>
        <v>0</v>
      </c>
      <c r="D100" s="21">
        <f t="shared" si="42"/>
        <v>0</v>
      </c>
      <c r="E100" s="21">
        <f t="shared" si="42"/>
        <v>0</v>
      </c>
      <c r="F100" s="21">
        <f t="shared" si="42"/>
        <v>0</v>
      </c>
      <c r="G100" s="21">
        <f t="shared" si="42"/>
        <v>0</v>
      </c>
      <c r="H100" s="59">
        <f t="shared" si="42"/>
        <v>0</v>
      </c>
      <c r="I100" s="21"/>
      <c r="J100" s="21">
        <f t="shared" si="42"/>
        <v>0</v>
      </c>
      <c r="K100" s="21">
        <f t="shared" si="42"/>
        <v>0</v>
      </c>
      <c r="L100" s="21">
        <f t="shared" si="42"/>
        <v>0</v>
      </c>
      <c r="M100" s="21">
        <f t="shared" si="42"/>
        <v>0</v>
      </c>
      <c r="N100" s="21">
        <f t="shared" si="42"/>
        <v>0</v>
      </c>
      <c r="O100" s="1"/>
      <c r="P100" s="36" t="s">
        <v>260</v>
      </c>
    </row>
    <row r="101" ht="15" customHeight="1">
      <c r="A101" s="1"/>
      <c r="B101" s="58" t="s">
        <v>261</v>
      </c>
      <c r="C101" s="21">
        <f t="shared" si="43" ref="C101:N101">ROUND(C79-C135,6)</f>
        <v>0</v>
      </c>
      <c r="D101" s="21">
        <f t="shared" si="43"/>
        <v>0</v>
      </c>
      <c r="E101" s="21">
        <f t="shared" si="43"/>
        <v>0</v>
      </c>
      <c r="F101" s="21">
        <f t="shared" si="43"/>
        <v>0</v>
      </c>
      <c r="G101" s="21">
        <f t="shared" si="43"/>
        <v>0</v>
      </c>
      <c r="H101" s="59">
        <f t="shared" si="43"/>
        <v>0</v>
      </c>
      <c r="I101" s="21"/>
      <c r="J101" s="21">
        <f t="shared" si="43"/>
        <v>0</v>
      </c>
      <c r="K101" s="21">
        <f t="shared" si="43"/>
        <v>0</v>
      </c>
      <c r="L101" s="21">
        <f t="shared" si="43"/>
        <v>0</v>
      </c>
      <c r="M101" s="21">
        <f t="shared" si="43"/>
        <v>0</v>
      </c>
      <c r="N101" s="21">
        <f t="shared" si="43"/>
        <v>0</v>
      </c>
      <c r="O101" s="1"/>
      <c r="P101" s="36" t="s">
        <v>262</v>
      </c>
    </row>
    <row r="102" ht="15" customHeight="1">
      <c r="A102" s="1"/>
      <c r="B102" s="1"/>
      <c r="C102" s="1"/>
      <c r="D102" s="1"/>
      <c r="E102" s="1"/>
      <c r="F102" s="1"/>
      <c r="G102" s="1"/>
      <c r="H102" s="40"/>
      <c r="I102" s="1"/>
      <c r="J102" s="1"/>
      <c r="K102" s="1"/>
      <c r="L102" s="1"/>
      <c r="M102" s="1"/>
      <c r="N102" s="1"/>
      <c r="O102" s="1"/>
      <c r="P102" s="36"/>
    </row>
    <row r="103" ht="15" customHeight="1">
      <c r="A103" s="1"/>
      <c r="B103" s="25" t="s">
        <v>263</v>
      </c>
      <c r="C103" s="1"/>
      <c r="D103" s="1"/>
      <c r="E103" s="1"/>
      <c r="F103" s="1"/>
      <c r="G103" s="1"/>
      <c r="H103" s="40"/>
      <c r="I103" s="1"/>
      <c r="J103" s="1"/>
      <c r="K103" s="1"/>
      <c r="L103" s="1"/>
      <c r="M103" s="1"/>
      <c r="N103" s="1"/>
      <c r="O103" s="1"/>
      <c r="P103" s="36"/>
    </row>
    <row r="104" ht="15" customHeight="1">
      <c r="A104" s="1"/>
      <c r="B104" s="25" t="s">
        <v>37</v>
      </c>
      <c r="C104" s="51">
        <f t="shared" si="44" ref="C104:N104">C17</f>
        <v>9076</v>
      </c>
      <c r="D104" s="51">
        <f t="shared" si="44"/>
        <v>9684</v>
      </c>
      <c r="E104" s="51">
        <f t="shared" si="44"/>
        <v>9555</v>
      </c>
      <c r="F104" s="51">
        <f t="shared" si="44"/>
        <v>9878</v>
      </c>
      <c r="G104" s="51">
        <f t="shared" si="44"/>
        <v>36800</v>
      </c>
      <c r="H104" s="52">
        <f t="shared" si="44"/>
        <v>10103.199550000001</v>
      </c>
      <c r="I104" s="51"/>
      <c r="J104" s="51">
        <f t="shared" si="44"/>
        <v>8470</v>
      </c>
      <c r="K104" s="51">
        <f t="shared" si="44"/>
        <v>9377</v>
      </c>
      <c r="L104" s="51">
        <f t="shared" si="44"/>
        <v>9013</v>
      </c>
      <c r="M104" s="51">
        <f t="shared" si="44"/>
        <v>9027</v>
      </c>
      <c r="N104" s="51">
        <f t="shared" si="44"/>
        <v>34176</v>
      </c>
      <c r="O104" s="1"/>
      <c r="P104" s="36"/>
    </row>
    <row r="105" ht="15" customHeight="1">
      <c r="A105" s="1"/>
      <c r="B105" s="41" t="s">
        <v>136</v>
      </c>
      <c r="C105" s="61">
        <v>-1318</v>
      </c>
      <c r="D105" s="61">
        <v>-1425</v>
      </c>
      <c r="E105" s="61">
        <v>-1481</v>
      </c>
      <c r="F105" s="61">
        <v>-1595</v>
      </c>
      <c r="G105" s="21">
        <f t="shared" si="3"/>
        <v>-5266</v>
      </c>
      <c r="H105" s="42">
        <f>-'Segment - ATS'!H68*(1-H106)</f>
        <v>-1660.6282392</v>
      </c>
      <c r="I105" s="21"/>
      <c r="J105" s="61">
        <v>-1142</v>
      </c>
      <c r="K105" s="61">
        <v>-1250</v>
      </c>
      <c r="L105" s="61">
        <v>-1249</v>
      </c>
      <c r="M105" s="61">
        <v>-1274</v>
      </c>
      <c r="N105" s="61">
        <v>-4582</v>
      </c>
      <c r="O105" s="1"/>
      <c r="P105" s="36"/>
    </row>
    <row r="106" ht="15" customHeight="1">
      <c r="A106" s="1"/>
      <c r="B106" s="43" t="s">
        <v>264</v>
      </c>
      <c r="C106" s="35">
        <f t="shared" si="45" ref="C106:N106">_xlfn.IFERROR(1+C105/C11,"n/a")</f>
        <v>0.7508506616257089</v>
      </c>
      <c r="D106" s="35">
        <f t="shared" si="45"/>
        <v>0.7459893048128342</v>
      </c>
      <c r="E106" s="35">
        <f t="shared" si="45"/>
        <v>0.7515934250251594</v>
      </c>
      <c r="F106" s="35">
        <f t="shared" si="45"/>
        <v>0.7460595446584939</v>
      </c>
      <c r="G106" s="35">
        <f t="shared" si="45"/>
        <v>0.7495124387575512</v>
      </c>
      <c r="H106" s="57">
        <v>0.748</v>
      </c>
      <c r="I106" s="35"/>
      <c r="J106" s="35">
        <f t="shared" si="45"/>
        <v>0.7375316019305906</v>
      </c>
      <c r="K106" s="35">
        <f t="shared" si="45"/>
        <v>0.7344944774851316</v>
      </c>
      <c r="L106" s="35">
        <f t="shared" si="45"/>
        <v>0.7498497897055878</v>
      </c>
      <c r="M106" s="35">
        <f t="shared" si="45"/>
        <v>0.7516569200779727</v>
      </c>
      <c r="N106" s="35">
        <f t="shared" si="45"/>
        <v>0.7326877078350155</v>
      </c>
      <c r="O106" s="1"/>
      <c r="P106" s="36" t="s">
        <v>265</v>
      </c>
    </row>
    <row r="107" ht="15" customHeight="1">
      <c r="A107" s="1"/>
      <c r="B107" s="54" t="s">
        <v>116</v>
      </c>
      <c r="C107" s="62">
        <f t="shared" si="10"/>
        <v>133.1905969511826</v>
      </c>
      <c r="D107" s="62">
        <f t="shared" si="10"/>
        <v>114.94827327702572</v>
      </c>
      <c r="E107" s="62">
        <f t="shared" si="10"/>
        <v>17.43635319571557</v>
      </c>
      <c r="F107" s="62">
        <f t="shared" si="10"/>
        <v>-55.97375419478801</v>
      </c>
      <c r="G107" s="62">
        <f t="shared" si="10"/>
        <v>168.2473092253578</v>
      </c>
      <c r="H107" s="63">
        <f t="shared" si="14"/>
        <v>-28.506616257089057</v>
      </c>
      <c r="I107" s="62"/>
      <c r="J107" s="62"/>
      <c r="K107" s="62"/>
      <c r="L107" s="62"/>
      <c r="M107" s="62"/>
      <c r="N107" s="62"/>
      <c r="O107" s="1"/>
      <c r="P107" s="36"/>
    </row>
    <row r="108" ht="15" customHeight="1">
      <c r="A108" s="1"/>
      <c r="B108" s="41" t="s">
        <v>138</v>
      </c>
      <c r="C108" s="61">
        <v>-303</v>
      </c>
      <c r="D108" s="61">
        <v>-288</v>
      </c>
      <c r="E108" s="61">
        <v>-287</v>
      </c>
      <c r="F108" s="61">
        <v>-263</v>
      </c>
      <c r="G108" s="21">
        <f t="shared" si="3"/>
        <v>-1196</v>
      </c>
      <c r="H108" s="59">
        <f>-H14*H109</f>
        <v>-266.2779744</v>
      </c>
      <c r="I108" s="21"/>
      <c r="J108" s="61">
        <v>-306</v>
      </c>
      <c r="K108" s="61">
        <v>-319</v>
      </c>
      <c r="L108" s="61">
        <v>-292</v>
      </c>
      <c r="M108" s="61">
        <v>-313</v>
      </c>
      <c r="N108" s="61">
        <v>-1262</v>
      </c>
      <c r="O108" s="1"/>
      <c r="P108" s="36"/>
    </row>
    <row r="109" ht="15" customHeight="1">
      <c r="A109" s="1"/>
      <c r="B109" s="43" t="s">
        <v>139</v>
      </c>
      <c r="C109" s="35">
        <f t="shared" si="46" ref="C109:N109">_xlfn.IFERROR(-C108/C14,"n/a")</f>
        <v>0.1111518708730741</v>
      </c>
      <c r="D109" s="35">
        <f t="shared" si="46"/>
        <v>0.09574468085106383</v>
      </c>
      <c r="E109" s="35">
        <f t="shared" si="46"/>
        <v>0.11098221191028615</v>
      </c>
      <c r="F109" s="35">
        <f t="shared" si="46"/>
        <v>0.10233463035019455</v>
      </c>
      <c r="G109" s="35">
        <f t="shared" si="46"/>
        <v>0.10387354524926176</v>
      </c>
      <c r="H109" s="57">
        <v>0.107</v>
      </c>
      <c r="I109" s="35"/>
      <c r="J109" s="35">
        <f t="shared" si="46"/>
        <v>0.09941520467836257</v>
      </c>
      <c r="K109" s="35">
        <f t="shared" si="46"/>
        <v>0.08963191907839281</v>
      </c>
      <c r="L109" s="35">
        <f t="shared" si="46"/>
        <v>0.09915110356536502</v>
      </c>
      <c r="M109" s="35">
        <f t="shared" si="46"/>
        <v>0.11040564373897707</v>
      </c>
      <c r="N109" s="35">
        <f t="shared" si="46"/>
        <v>0.09945622192450154</v>
      </c>
      <c r="O109" s="1"/>
      <c r="P109" s="36"/>
    </row>
    <row r="110" ht="15" customHeight="1">
      <c r="A110" s="1"/>
      <c r="B110" s="54" t="s">
        <v>116</v>
      </c>
      <c r="C110" s="62">
        <f t="shared" si="10"/>
        <v>117.36666194711532</v>
      </c>
      <c r="D110" s="62">
        <f t="shared" si="10"/>
        <v>61.127617726710184</v>
      </c>
      <c r="E110" s="62">
        <f t="shared" si="10"/>
        <v>118.31108344921127</v>
      </c>
      <c r="F110" s="62">
        <f t="shared" si="10"/>
        <v>-80.71013388782522</v>
      </c>
      <c r="G110" s="62">
        <f t="shared" si="10"/>
        <v>44.1732332476022</v>
      </c>
      <c r="H110" s="63">
        <f t="shared" si="14"/>
        <v>-41.51870873074101</v>
      </c>
      <c r="I110" s="62"/>
      <c r="J110" s="62"/>
      <c r="K110" s="62"/>
      <c r="L110" s="62"/>
      <c r="M110" s="62"/>
      <c r="N110" s="62"/>
      <c r="O110" s="1"/>
      <c r="P110" s="36"/>
    </row>
    <row r="111" ht="15" customHeight="1">
      <c r="A111" s="1"/>
      <c r="B111" s="41" t="s">
        <v>141</v>
      </c>
      <c r="C111" s="61">
        <v>-759</v>
      </c>
      <c r="D111" s="61">
        <v>-796</v>
      </c>
      <c r="E111" s="61">
        <v>-774</v>
      </c>
      <c r="F111" s="61">
        <v>-769</v>
      </c>
      <c r="G111" s="21">
        <f t="shared" si="3"/>
        <v>-3192</v>
      </c>
      <c r="H111" s="59">
        <f>-H16*H112</f>
        <v>-766.569661</v>
      </c>
      <c r="I111" s="21"/>
      <c r="J111" s="61">
        <v>-785</v>
      </c>
      <c r="K111" s="61">
        <v>-837</v>
      </c>
      <c r="L111" s="61">
        <v>-840</v>
      </c>
      <c r="M111" s="61">
        <v>-797</v>
      </c>
      <c r="N111" s="61">
        <v>-3321</v>
      </c>
      <c r="O111" s="1"/>
      <c r="P111" s="36"/>
    </row>
    <row r="112" ht="15" customHeight="1">
      <c r="A112" s="1"/>
      <c r="B112" s="43" t="s">
        <v>142</v>
      </c>
      <c r="C112" s="35">
        <f t="shared" si="47" ref="C112:N112">_xlfn.IFERROR(-C111/C16,"n/a")</f>
        <v>0.7160377358490566</v>
      </c>
      <c r="D112" s="35">
        <f t="shared" si="47"/>
        <v>0.7467166979362101</v>
      </c>
      <c r="E112" s="35">
        <f t="shared" si="47"/>
        <v>0.7686196623634558</v>
      </c>
      <c r="F112" s="35">
        <f t="shared" si="47"/>
        <v>0.7487828627069133</v>
      </c>
      <c r="G112" s="35">
        <f t="shared" si="47"/>
        <v>0.7489441576724543</v>
      </c>
      <c r="H112" s="57">
        <v>0.748</v>
      </c>
      <c r="I112" s="35"/>
      <c r="J112" s="35">
        <f t="shared" si="47"/>
        <v>0.7540826128722382</v>
      </c>
      <c r="K112" s="35">
        <f t="shared" si="47"/>
        <v>0.754054054054054</v>
      </c>
      <c r="L112" s="35">
        <f t="shared" si="47"/>
        <v>0.7813953488372093</v>
      </c>
      <c r="M112" s="35">
        <f t="shared" si="47"/>
        <v>0.7511781338360037</v>
      </c>
      <c r="N112" s="35">
        <f t="shared" si="47"/>
        <v>0.7641509433962265</v>
      </c>
      <c r="O112" s="1"/>
      <c r="P112" s="36" t="s">
        <v>266</v>
      </c>
    </row>
    <row r="113" ht="15" customHeight="1">
      <c r="A113" s="1"/>
      <c r="B113" s="54" t="s">
        <v>116</v>
      </c>
      <c r="C113" s="62">
        <f t="shared" si="10"/>
        <v>-380.448770231816</v>
      </c>
      <c r="D113" s="62">
        <f t="shared" si="10"/>
        <v>-73.37356117843919</v>
      </c>
      <c r="E113" s="62">
        <f t="shared" si="10"/>
        <v>-127.7568647375349</v>
      </c>
      <c r="F113" s="62">
        <f t="shared" si="10"/>
        <v>-23.95271129090437</v>
      </c>
      <c r="G113" s="62">
        <f t="shared" si="10"/>
        <v>-152.06785723772208</v>
      </c>
      <c r="H113" s="63">
        <f t="shared" si="14"/>
        <v>319.6226415094339</v>
      </c>
      <c r="I113" s="62"/>
      <c r="J113" s="62"/>
      <c r="K113" s="62"/>
      <c r="L113" s="62"/>
      <c r="M113" s="62"/>
      <c r="N113" s="62"/>
      <c r="O113" s="1"/>
      <c r="P113" s="36"/>
    </row>
    <row r="114" ht="15" customHeight="1">
      <c r="A114" s="1"/>
      <c r="B114" s="43" t="s">
        <v>80</v>
      </c>
      <c r="C114" s="50">
        <v>-1</v>
      </c>
      <c r="D114" s="45"/>
      <c r="E114" s="45"/>
      <c r="F114" s="45"/>
      <c r="G114" s="45">
        <f t="shared" si="3"/>
        <v>-1</v>
      </c>
      <c r="H114" s="46"/>
      <c r="I114" s="45"/>
      <c r="J114" s="45"/>
      <c r="K114" s="45"/>
      <c r="L114" s="45"/>
      <c r="M114" s="45"/>
      <c r="N114" s="45"/>
      <c r="O114" s="1"/>
      <c r="P114" s="36" t="s">
        <v>81</v>
      </c>
    </row>
    <row r="115" ht="15" customHeight="1">
      <c r="A115" s="1"/>
      <c r="B115" s="25" t="s">
        <v>267</v>
      </c>
      <c r="C115" s="51">
        <f t="shared" si="48" ref="C115:N115">C105+C108+C111+C114</f>
        <v>-2381</v>
      </c>
      <c r="D115" s="51">
        <f t="shared" si="48"/>
        <v>-2509</v>
      </c>
      <c r="E115" s="51">
        <f t="shared" si="48"/>
        <v>-2542</v>
      </c>
      <c r="F115" s="51">
        <f t="shared" si="48"/>
        <v>-2627</v>
      </c>
      <c r="G115" s="51">
        <f t="shared" si="48"/>
        <v>-9655</v>
      </c>
      <c r="H115" s="52">
        <f t="shared" si="48"/>
        <v>-2693.4758745999998</v>
      </c>
      <c r="I115" s="51"/>
      <c r="J115" s="51">
        <f t="shared" si="48"/>
        <v>-2233</v>
      </c>
      <c r="K115" s="51">
        <f t="shared" si="48"/>
        <v>-2406</v>
      </c>
      <c r="L115" s="51">
        <f t="shared" si="48"/>
        <v>-2381</v>
      </c>
      <c r="M115" s="51">
        <f t="shared" si="48"/>
        <v>-2384</v>
      </c>
      <c r="N115" s="51">
        <f t="shared" si="48"/>
        <v>-9165</v>
      </c>
      <c r="O115" s="1"/>
      <c r="P115" s="36"/>
    </row>
    <row r="116" ht="15" customHeight="1">
      <c r="A116" s="1"/>
      <c r="B116" s="25" t="s">
        <v>268</v>
      </c>
      <c r="C116" s="51">
        <f t="shared" si="49" ref="C116:N116">C104+C115</f>
        <v>6695</v>
      </c>
      <c r="D116" s="51">
        <f t="shared" si="49"/>
        <v>7175</v>
      </c>
      <c r="E116" s="51">
        <f t="shared" si="49"/>
        <v>7013</v>
      </c>
      <c r="F116" s="51">
        <f t="shared" si="49"/>
        <v>7251</v>
      </c>
      <c r="G116" s="51">
        <f t="shared" si="49"/>
        <v>27145</v>
      </c>
      <c r="H116" s="52">
        <f t="shared" si="49"/>
        <v>7409.723675400001</v>
      </c>
      <c r="I116" s="51"/>
      <c r="J116" s="51">
        <f t="shared" si="49"/>
        <v>6237</v>
      </c>
      <c r="K116" s="51">
        <f t="shared" si="49"/>
        <v>6971</v>
      </c>
      <c r="L116" s="51">
        <f t="shared" si="49"/>
        <v>6632</v>
      </c>
      <c r="M116" s="51">
        <f t="shared" si="49"/>
        <v>6643</v>
      </c>
      <c r="N116" s="51">
        <f t="shared" si="49"/>
        <v>25011</v>
      </c>
      <c r="O116" s="1"/>
      <c r="P116" s="36"/>
    </row>
    <row r="117" ht="15" customHeight="1">
      <c r="A117" s="1"/>
      <c r="B117" s="43" t="s">
        <v>269</v>
      </c>
      <c r="C117" s="35">
        <f t="shared" si="50" ref="C117:N117">_xlfn.IFERROR(C116/C104,"n/a")</f>
        <v>0.7376597620096959</v>
      </c>
      <c r="D117" s="35">
        <f t="shared" si="50"/>
        <v>0.7409128459314333</v>
      </c>
      <c r="E117" s="35">
        <f t="shared" si="50"/>
        <v>0.7339612768184197</v>
      </c>
      <c r="F117" s="35">
        <f t="shared" si="50"/>
        <v>0.7340554768171694</v>
      </c>
      <c r="G117" s="35">
        <f t="shared" si="50"/>
        <v>0.7376358695652174</v>
      </c>
      <c r="H117" s="44">
        <f t="shared" si="50"/>
        <v>0.7334036746210759</v>
      </c>
      <c r="I117" s="35"/>
      <c r="J117" s="35">
        <f t="shared" si="50"/>
        <v>0.7363636363636363</v>
      </c>
      <c r="K117" s="35">
        <f t="shared" si="50"/>
        <v>0.7434147381891864</v>
      </c>
      <c r="L117" s="35">
        <f t="shared" si="50"/>
        <v>0.7358260290691224</v>
      </c>
      <c r="M117" s="35">
        <f t="shared" si="50"/>
        <v>0.7359034009083859</v>
      </c>
      <c r="N117" s="35">
        <f t="shared" si="50"/>
        <v>0.7318293539325843</v>
      </c>
      <c r="O117" s="1"/>
      <c r="P117" s="36"/>
    </row>
    <row r="118" ht="15" customHeight="1">
      <c r="A118" s="1"/>
      <c r="B118" s="54" t="s">
        <v>116</v>
      </c>
      <c r="C118" s="62">
        <f t="shared" si="10"/>
        <v>12.961256460595205</v>
      </c>
      <c r="D118" s="62">
        <f t="shared" si="10"/>
        <v>-25.018922577531022</v>
      </c>
      <c r="E118" s="62">
        <f t="shared" si="10"/>
        <v>-18.64752250702706</v>
      </c>
      <c r="F118" s="62">
        <f t="shared" si="10"/>
        <v>-18.479240912164798</v>
      </c>
      <c r="G118" s="62">
        <f t="shared" si="10"/>
        <v>58.06515632633125</v>
      </c>
      <c r="H118" s="63">
        <f t="shared" si="14"/>
        <v>-42.56087388619933</v>
      </c>
      <c r="I118" s="62"/>
      <c r="J118" s="62"/>
      <c r="K118" s="62"/>
      <c r="L118" s="62"/>
      <c r="M118" s="62"/>
      <c r="N118" s="62"/>
      <c r="O118" s="1"/>
      <c r="P118" s="36"/>
    </row>
    <row r="119" ht="15" customHeight="1">
      <c r="A119" s="1"/>
      <c r="B119" s="41" t="s">
        <v>188</v>
      </c>
      <c r="C119" s="61">
        <v>-1643</v>
      </c>
      <c r="D119" s="61">
        <v>-1697</v>
      </c>
      <c r="E119" s="61">
        <v>-1700</v>
      </c>
      <c r="F119" s="61">
        <v>-1843</v>
      </c>
      <c r="G119" s="21">
        <f t="shared" si="3"/>
        <v>-6628</v>
      </c>
      <c r="H119" s="59">
        <f>-(H219+H176)</f>
        <v>-1883.250135</v>
      </c>
      <c r="I119" s="21"/>
      <c r="J119" s="61">
        <v>-1568</v>
      </c>
      <c r="K119" s="61">
        <v>-1673</v>
      </c>
      <c r="L119" s="61">
        <v>-1672</v>
      </c>
      <c r="M119" s="61">
        <v>-1616</v>
      </c>
      <c r="N119" s="61">
        <v>-6508</v>
      </c>
      <c r="O119" s="1"/>
      <c r="P119" s="36"/>
    </row>
    <row r="120" ht="15" customHeight="1">
      <c r="A120" s="1"/>
      <c r="B120" s="43" t="s">
        <v>69</v>
      </c>
      <c r="C120" s="35">
        <f t="shared" si="0"/>
        <v>0.04783163265306123</v>
      </c>
      <c r="D120" s="35">
        <f t="shared" si="0"/>
        <v>0.014345487148834435</v>
      </c>
      <c r="E120" s="35">
        <f t="shared" si="0"/>
        <v>0.01674641148325362</v>
      </c>
      <c r="F120" s="35">
        <f t="shared" si="0"/>
        <v>0.14047029702970293</v>
      </c>
      <c r="G120" s="35">
        <f t="shared" si="0"/>
        <v>0.018438844499077955</v>
      </c>
      <c r="H120" s="44">
        <f t="shared" si="8"/>
        <v>0.1462264972611078</v>
      </c>
      <c r="I120" s="35"/>
      <c r="J120" s="35"/>
      <c r="K120" s="35"/>
      <c r="L120" s="35"/>
      <c r="M120" s="35"/>
      <c r="N120" s="35"/>
      <c r="O120" s="1"/>
      <c r="P120" s="36"/>
    </row>
    <row r="121" ht="15" customHeight="1">
      <c r="A121" s="1"/>
      <c r="B121" s="43" t="s">
        <v>70</v>
      </c>
      <c r="C121" s="45">
        <f t="shared" si="51"/>
        <v>-27</v>
      </c>
      <c r="D121" s="45">
        <f t="shared" si="1"/>
        <v>-54</v>
      </c>
      <c r="E121" s="45">
        <f t="shared" si="1"/>
        <v>-3</v>
      </c>
      <c r="F121" s="45">
        <f t="shared" si="1"/>
        <v>-143</v>
      </c>
      <c r="G121" s="45"/>
      <c r="H121" s="46">
        <f t="shared" si="52"/>
        <v>-40.250135</v>
      </c>
      <c r="I121" s="45"/>
      <c r="J121" s="45"/>
      <c r="K121" s="45"/>
      <c r="L121" s="45"/>
      <c r="M121" s="45"/>
      <c r="N121" s="45"/>
      <c r="O121" s="1"/>
      <c r="P121" s="36"/>
    </row>
    <row r="122" ht="15" customHeight="1">
      <c r="A122" s="1"/>
      <c r="B122" s="43" t="s">
        <v>71</v>
      </c>
      <c r="C122" s="35">
        <f t="shared" si="53"/>
        <v>0.01670792079207928</v>
      </c>
      <c r="D122" s="35">
        <f t="shared" si="2"/>
        <v>0.03286670724284835</v>
      </c>
      <c r="E122" s="35">
        <f t="shared" si="2"/>
        <v>0.001767825574543247</v>
      </c>
      <c r="F122" s="35">
        <f t="shared" si="2"/>
        <v>0.08411764705882363</v>
      </c>
      <c r="G122" s="35"/>
      <c r="H122" s="44">
        <f t="shared" si="54"/>
        <v>0.02183946554530647</v>
      </c>
      <c r="I122" s="35"/>
      <c r="J122" s="35"/>
      <c r="K122" s="35"/>
      <c r="L122" s="35"/>
      <c r="M122" s="35"/>
      <c r="N122" s="35"/>
      <c r="O122" s="1"/>
      <c r="P122" s="36"/>
    </row>
    <row r="123" ht="15" customHeight="1">
      <c r="A123" s="1"/>
      <c r="B123" s="41" t="s">
        <v>189</v>
      </c>
      <c r="C123" s="61">
        <v>-2118</v>
      </c>
      <c r="D123" s="61">
        <v>-2234</v>
      </c>
      <c r="E123" s="61">
        <v>-2083</v>
      </c>
      <c r="F123" s="61">
        <v>-2258</v>
      </c>
      <c r="G123" s="21">
        <f t="shared" si="3"/>
        <v>-8580</v>
      </c>
      <c r="H123" s="59">
        <f>-(H225+H177)</f>
        <v>-2213.7415800000003</v>
      </c>
      <c r="I123" s="21"/>
      <c r="J123" s="61">
        <v>-2047</v>
      </c>
      <c r="K123" s="61">
        <v>-2443</v>
      </c>
      <c r="L123" s="61">
        <v>-2140</v>
      </c>
      <c r="M123" s="61">
        <v>-2088</v>
      </c>
      <c r="N123" s="61">
        <v>-8856</v>
      </c>
      <c r="O123" s="1"/>
      <c r="P123" s="36"/>
    </row>
    <row r="124" ht="15" customHeight="1">
      <c r="A124" s="1"/>
      <c r="B124" s="43" t="s">
        <v>69</v>
      </c>
      <c r="C124" s="35">
        <f t="shared" si="0"/>
        <v>0.03468490473864194</v>
      </c>
      <c r="D124" s="35">
        <f t="shared" si="0"/>
        <v>-0.08555055259926325</v>
      </c>
      <c r="E124" s="35">
        <f t="shared" si="0"/>
        <v>-0.026635514018691575</v>
      </c>
      <c r="F124" s="35">
        <f t="shared" si="0"/>
        <v>0.0814176245210727</v>
      </c>
      <c r="G124" s="35">
        <f t="shared" si="0"/>
        <v>-0.031165311653116534</v>
      </c>
      <c r="H124" s="44">
        <f t="shared" si="8"/>
        <v>0.0452037677053827</v>
      </c>
      <c r="I124" s="35"/>
      <c r="J124" s="35"/>
      <c r="K124" s="35"/>
      <c r="L124" s="35"/>
      <c r="M124" s="35"/>
      <c r="N124" s="35"/>
      <c r="O124" s="1"/>
      <c r="P124" s="36"/>
    </row>
    <row r="125" ht="15" customHeight="1">
      <c r="A125" s="1"/>
      <c r="B125" s="43" t="s">
        <v>70</v>
      </c>
      <c r="C125" s="45">
        <f t="shared" si="51"/>
        <v>-30</v>
      </c>
      <c r="D125" s="45">
        <f t="shared" si="1"/>
        <v>-116</v>
      </c>
      <c r="E125" s="45">
        <f t="shared" si="1"/>
        <v>151</v>
      </c>
      <c r="F125" s="45">
        <f t="shared" si="1"/>
        <v>-175</v>
      </c>
      <c r="G125" s="45"/>
      <c r="H125" s="46">
        <f t="shared" si="52"/>
        <v>44.25841999999966</v>
      </c>
      <c r="I125" s="45"/>
      <c r="J125" s="45"/>
      <c r="K125" s="45"/>
      <c r="L125" s="45"/>
      <c r="M125" s="45"/>
      <c r="N125" s="45"/>
      <c r="O125" s="1"/>
      <c r="P125" s="36"/>
    </row>
    <row r="126" ht="15" customHeight="1">
      <c r="A126" s="1"/>
      <c r="B126" s="43" t="s">
        <v>71</v>
      </c>
      <c r="C126" s="35">
        <f t="shared" si="53"/>
        <v>0.014367816091954033</v>
      </c>
      <c r="D126" s="35">
        <f t="shared" si="2"/>
        <v>0.05476864966949946</v>
      </c>
      <c r="E126" s="35">
        <f t="shared" si="2"/>
        <v>-0.06759176365264097</v>
      </c>
      <c r="F126" s="35">
        <f t="shared" si="2"/>
        <v>0.08401344215074413</v>
      </c>
      <c r="G126" s="35"/>
      <c r="H126" s="44">
        <f t="shared" si="54"/>
        <v>-0.01960071744906977</v>
      </c>
      <c r="I126" s="35"/>
      <c r="J126" s="35"/>
      <c r="K126" s="35"/>
      <c r="L126" s="35"/>
      <c r="M126" s="35"/>
      <c r="N126" s="35"/>
      <c r="O126" s="1"/>
      <c r="P126" s="36"/>
    </row>
    <row r="127" ht="15" customHeight="1">
      <c r="A127" s="1"/>
      <c r="B127" s="41" t="s">
        <v>190</v>
      </c>
      <c r="C127" s="61">
        <v>-360</v>
      </c>
      <c r="D127" s="61">
        <v>-393</v>
      </c>
      <c r="E127" s="61">
        <v>-342</v>
      </c>
      <c r="F127" s="61">
        <v>-392</v>
      </c>
      <c r="G127" s="21">
        <f t="shared" si="3"/>
        <v>-1470</v>
      </c>
      <c r="H127" s="59">
        <f>-(H231+H178)</f>
        <v>-396.78506999999996</v>
      </c>
      <c r="I127" s="21"/>
      <c r="J127" s="61">
        <v>-356</v>
      </c>
      <c r="K127" s="61">
        <v>-366</v>
      </c>
      <c r="L127" s="61">
        <v>-357</v>
      </c>
      <c r="M127" s="61">
        <v>-360</v>
      </c>
      <c r="N127" s="61">
        <v>-1409</v>
      </c>
      <c r="O127" s="1"/>
      <c r="P127" s="36"/>
    </row>
    <row r="128" ht="15" customHeight="1">
      <c r="A128" s="1"/>
      <c r="B128" s="43" t="s">
        <v>69</v>
      </c>
      <c r="C128" s="35">
        <f t="shared" si="0"/>
        <v>0.011235955056179803</v>
      </c>
      <c r="D128" s="35">
        <f t="shared" si="0"/>
        <v>0.07377049180327866</v>
      </c>
      <c r="E128" s="35">
        <f t="shared" si="0"/>
        <v>-0.04201680672268904</v>
      </c>
      <c r="F128" s="35">
        <f t="shared" si="0"/>
        <v>0.0888888888888888</v>
      </c>
      <c r="G128" s="35">
        <f t="shared" si="0"/>
        <v>0.04329311568488281</v>
      </c>
      <c r="H128" s="44">
        <f t="shared" si="8"/>
        <v>0.10218074999999982</v>
      </c>
      <c r="I128" s="35"/>
      <c r="J128" s="35"/>
      <c r="K128" s="35"/>
      <c r="L128" s="35"/>
      <c r="M128" s="35"/>
      <c r="N128" s="35"/>
      <c r="O128" s="1"/>
      <c r="P128" s="36"/>
    </row>
    <row r="129" ht="15" customHeight="1">
      <c r="A129" s="1"/>
      <c r="B129" s="43" t="s">
        <v>70</v>
      </c>
      <c r="C129" s="45">
        <f t="shared" si="51"/>
        <v>0</v>
      </c>
      <c r="D129" s="45">
        <f t="shared" si="1"/>
        <v>-33</v>
      </c>
      <c r="E129" s="45">
        <f t="shared" si="1"/>
        <v>51</v>
      </c>
      <c r="F129" s="45">
        <f t="shared" si="1"/>
        <v>-50</v>
      </c>
      <c r="G129" s="45"/>
      <c r="H129" s="46">
        <f t="shared" si="52"/>
        <v>-4.785069999999962</v>
      </c>
      <c r="I129" s="45"/>
      <c r="J129" s="45"/>
      <c r="K129" s="45"/>
      <c r="L129" s="45"/>
      <c r="M129" s="45"/>
      <c r="N129" s="45"/>
      <c r="O129" s="1"/>
      <c r="P129" s="36"/>
    </row>
    <row r="130" ht="15" customHeight="1">
      <c r="A130" s="1"/>
      <c r="B130" s="43" t="s">
        <v>71</v>
      </c>
      <c r="C130" s="35">
        <f t="shared" si="53"/>
        <v>0</v>
      </c>
      <c r="D130" s="35">
        <f t="shared" si="2"/>
        <v>0.09166666666666656</v>
      </c>
      <c r="E130" s="35">
        <f t="shared" si="2"/>
        <v>-0.1297709923664122</v>
      </c>
      <c r="F130" s="35">
        <f t="shared" si="2"/>
        <v>0.14619883040935666</v>
      </c>
      <c r="G130" s="35"/>
      <c r="H130" s="44">
        <f t="shared" si="54"/>
        <v>0.012206811224489744</v>
      </c>
      <c r="I130" s="35"/>
      <c r="J130" s="35"/>
      <c r="K130" s="35"/>
      <c r="L130" s="35"/>
      <c r="M130" s="35"/>
      <c r="N130" s="35"/>
      <c r="O130" s="1"/>
      <c r="P130" s="36"/>
    </row>
    <row r="131" ht="15" customHeight="1">
      <c r="A131" s="1"/>
      <c r="B131" s="41" t="s">
        <v>192</v>
      </c>
      <c r="C131" s="61">
        <v>-8</v>
      </c>
      <c r="D131" s="61">
        <v>-21</v>
      </c>
      <c r="E131" s="61">
        <v>-22</v>
      </c>
      <c r="F131" s="61">
        <v>-14</v>
      </c>
      <c r="G131" s="21">
        <f t="shared" si="3"/>
        <v>-48</v>
      </c>
      <c r="H131" s="68">
        <v>-15</v>
      </c>
      <c r="I131" s="21"/>
      <c r="J131" s="61">
        <v>-22</v>
      </c>
      <c r="K131" s="61">
        <v>-54</v>
      </c>
      <c r="L131" s="61">
        <v>-8</v>
      </c>
      <c r="M131" s="61">
        <v>-11</v>
      </c>
      <c r="N131" s="61">
        <v>-85</v>
      </c>
      <c r="O131" s="1"/>
      <c r="P131" s="36" t="s">
        <v>270</v>
      </c>
    </row>
    <row r="132" ht="15" customHeight="1">
      <c r="A132" s="1"/>
      <c r="B132" s="43" t="s">
        <v>80</v>
      </c>
      <c r="C132" s="45"/>
      <c r="D132" s="50">
        <v>-1</v>
      </c>
      <c r="E132" s="50">
        <v>1</v>
      </c>
      <c r="F132" s="50">
        <v>-1</v>
      </c>
      <c r="G132" s="45">
        <f t="shared" si="3"/>
        <v>-1</v>
      </c>
      <c r="H132" s="46"/>
      <c r="I132" s="45"/>
      <c r="J132" s="45"/>
      <c r="K132" s="50">
        <v>1</v>
      </c>
      <c r="L132" s="45"/>
      <c r="M132" s="45"/>
      <c r="N132" s="45"/>
      <c r="O132" s="1"/>
      <c r="P132" s="36" t="s">
        <v>81</v>
      </c>
    </row>
    <row r="133" ht="15" customHeight="1">
      <c r="A133" s="1"/>
      <c r="B133" s="25" t="s">
        <v>193</v>
      </c>
      <c r="C133" s="51">
        <f t="shared" si="55" ref="C133:N133">C115+C119+C123+C127+C131+C132</f>
        <v>-6510</v>
      </c>
      <c r="D133" s="51">
        <f t="shared" si="55"/>
        <v>-6855</v>
      </c>
      <c r="E133" s="51">
        <f t="shared" si="55"/>
        <v>-6688</v>
      </c>
      <c r="F133" s="51">
        <f t="shared" si="55"/>
        <v>-7135</v>
      </c>
      <c r="G133" s="51">
        <f t="shared" si="55"/>
        <v>-26382</v>
      </c>
      <c r="H133" s="52">
        <f t="shared" si="55"/>
        <v>-7202.252659600001</v>
      </c>
      <c r="I133" s="51"/>
      <c r="J133" s="51">
        <f t="shared" si="55"/>
        <v>-6226</v>
      </c>
      <c r="K133" s="51">
        <f t="shared" si="55"/>
        <v>-6941</v>
      </c>
      <c r="L133" s="51">
        <f t="shared" si="55"/>
        <v>-6558</v>
      </c>
      <c r="M133" s="51">
        <f t="shared" si="55"/>
        <v>-6459</v>
      </c>
      <c r="N133" s="51">
        <f t="shared" si="55"/>
        <v>-26023</v>
      </c>
      <c r="O133" s="1"/>
      <c r="P133" s="36" t="s">
        <v>271</v>
      </c>
    </row>
    <row r="134" ht="15" customHeight="1">
      <c r="A134" s="1"/>
      <c r="B134" s="43" t="s">
        <v>69</v>
      </c>
      <c r="C134" s="35">
        <f t="shared" si="0"/>
        <v>0.045615162222936156</v>
      </c>
      <c r="D134" s="35">
        <f t="shared" si="0"/>
        <v>-0.012390145512173989</v>
      </c>
      <c r="E134" s="35">
        <f t="shared" si="0"/>
        <v>0.019823116803903584</v>
      </c>
      <c r="F134" s="35">
        <f t="shared" si="0"/>
        <v>0.10466016411209167</v>
      </c>
      <c r="G134" s="35">
        <f t="shared" si="0"/>
        <v>0.01379548860623303</v>
      </c>
      <c r="H134" s="44">
        <f t="shared" si="8"/>
        <v>0.10633681407066065</v>
      </c>
      <c r="I134" s="35"/>
      <c r="J134" s="35"/>
      <c r="K134" s="35"/>
      <c r="L134" s="35"/>
      <c r="M134" s="35"/>
      <c r="N134" s="35"/>
      <c r="O134" s="1"/>
      <c r="P134" s="36"/>
    </row>
    <row r="135" ht="15" customHeight="1">
      <c r="A135" s="1"/>
      <c r="B135" s="25" t="s">
        <v>272</v>
      </c>
      <c r="C135" s="51">
        <f t="shared" si="56" ref="C135:N135">C104+C133</f>
        <v>2566</v>
      </c>
      <c r="D135" s="51">
        <f t="shared" si="56"/>
        <v>2829</v>
      </c>
      <c r="E135" s="51">
        <f t="shared" si="56"/>
        <v>2867</v>
      </c>
      <c r="F135" s="51">
        <f t="shared" si="56"/>
        <v>2743</v>
      </c>
      <c r="G135" s="51">
        <f t="shared" si="56"/>
        <v>10418</v>
      </c>
      <c r="H135" s="52">
        <f t="shared" si="56"/>
        <v>2900.9468904000005</v>
      </c>
      <c r="I135" s="51"/>
      <c r="J135" s="51">
        <f t="shared" si="56"/>
        <v>2244</v>
      </c>
      <c r="K135" s="51">
        <f t="shared" si="56"/>
        <v>2436</v>
      </c>
      <c r="L135" s="51">
        <f t="shared" si="56"/>
        <v>2455</v>
      </c>
      <c r="M135" s="51">
        <f t="shared" si="56"/>
        <v>2568</v>
      </c>
      <c r="N135" s="51">
        <f t="shared" si="56"/>
        <v>8153</v>
      </c>
      <c r="O135" s="1"/>
      <c r="P135" s="36"/>
    </row>
    <row r="136" ht="15" customHeight="1">
      <c r="A136" s="1"/>
      <c r="B136" s="43" t="s">
        <v>69</v>
      </c>
      <c r="C136" s="35">
        <f t="shared" si="0"/>
        <v>0.14349376114082002</v>
      </c>
      <c r="D136" s="35">
        <f t="shared" si="0"/>
        <v>0.16133004926108385</v>
      </c>
      <c r="E136" s="35">
        <f t="shared" si="0"/>
        <v>0.16782077393075356</v>
      </c>
      <c r="F136" s="35">
        <f t="shared" si="0"/>
        <v>0.06814641744548289</v>
      </c>
      <c r="G136" s="35">
        <f t="shared" si="0"/>
        <v>0.2778118483993621</v>
      </c>
      <c r="H136" s="44">
        <f t="shared" si="8"/>
        <v>0.13053269306313342</v>
      </c>
      <c r="I136" s="35"/>
      <c r="J136" s="35"/>
      <c r="K136" s="35"/>
      <c r="L136" s="35"/>
      <c r="M136" s="35"/>
      <c r="N136" s="35"/>
      <c r="O136" s="1"/>
      <c r="P136" s="36"/>
    </row>
    <row r="137" ht="15" customHeight="1">
      <c r="A137" s="1"/>
      <c r="B137" s="43" t="s">
        <v>70</v>
      </c>
      <c r="C137" s="45">
        <f t="shared" si="51"/>
        <v>-2</v>
      </c>
      <c r="D137" s="45">
        <f t="shared" si="1"/>
        <v>263</v>
      </c>
      <c r="E137" s="45">
        <f t="shared" si="1"/>
        <v>38</v>
      </c>
      <c r="F137" s="45">
        <f t="shared" si="1"/>
        <v>-124</v>
      </c>
      <c r="G137" s="45"/>
      <c r="H137" s="46">
        <f t="shared" si="52"/>
        <v>157.94689040000048</v>
      </c>
      <c r="I137" s="45"/>
      <c r="J137" s="45"/>
      <c r="K137" s="45"/>
      <c r="L137" s="45"/>
      <c r="M137" s="45"/>
      <c r="N137" s="45"/>
      <c r="O137" s="1"/>
      <c r="P137" s="36"/>
    </row>
    <row r="138" ht="15" customHeight="1">
      <c r="A138" s="1"/>
      <c r="B138" s="43" t="s">
        <v>71</v>
      </c>
      <c r="C138" s="35">
        <f t="shared" si="53"/>
        <v>-0.0007788161993769194</v>
      </c>
      <c r="D138" s="35">
        <f t="shared" si="2"/>
        <v>0.10249415432579889</v>
      </c>
      <c r="E138" s="35">
        <f t="shared" si="2"/>
        <v>0.013432308236125845</v>
      </c>
      <c r="F138" s="35">
        <f t="shared" si="2"/>
        <v>-0.043250784792466024</v>
      </c>
      <c r="G138" s="35"/>
      <c r="H138" s="44">
        <f t="shared" si="54"/>
        <v>0.057581804739336606</v>
      </c>
      <c r="I138" s="35"/>
      <c r="J138" s="35"/>
      <c r="K138" s="35"/>
      <c r="L138" s="35"/>
      <c r="M138" s="35"/>
      <c r="N138" s="35"/>
      <c r="O138" s="1"/>
      <c r="P138" s="36"/>
    </row>
    <row r="139" ht="15" customHeight="1">
      <c r="A139" s="1"/>
      <c r="B139" s="43" t="s">
        <v>273</v>
      </c>
      <c r="C139" s="35">
        <f t="shared" si="57" ref="C139:N139">_xlfn.IFERROR(C135/C104,"n/a")</f>
        <v>0.28272366681357425</v>
      </c>
      <c r="D139" s="35">
        <f t="shared" si="57"/>
        <v>0.29213135068153656</v>
      </c>
      <c r="E139" s="35">
        <f t="shared" si="57"/>
        <v>0.3000523286237572</v>
      </c>
      <c r="F139" s="35">
        <f t="shared" si="57"/>
        <v>0.27768779105082</v>
      </c>
      <c r="G139" s="35">
        <f t="shared" si="57"/>
        <v>0.2830978260869565</v>
      </c>
      <c r="H139" s="44">
        <f t="shared" si="57"/>
        <v>0.2871315048310612</v>
      </c>
      <c r="I139" s="35"/>
      <c r="J139" s="35">
        <f t="shared" si="57"/>
        <v>0.2649350649350649</v>
      </c>
      <c r="K139" s="35">
        <f t="shared" si="57"/>
        <v>0.2597845792897515</v>
      </c>
      <c r="L139" s="35">
        <f t="shared" si="57"/>
        <v>0.27238433374015314</v>
      </c>
      <c r="M139" s="35">
        <f t="shared" si="57"/>
        <v>0.2844798936523762</v>
      </c>
      <c r="N139" s="35">
        <f t="shared" si="57"/>
        <v>0.23855922284644196</v>
      </c>
      <c r="O139" s="1"/>
      <c r="P139" s="36"/>
    </row>
    <row r="140" ht="15" customHeight="1">
      <c r="A140" s="1"/>
      <c r="B140" s="54" t="s">
        <v>116</v>
      </c>
      <c r="C140" s="62">
        <f t="shared" si="10"/>
        <v>177.88601878509337</v>
      </c>
      <c r="D140" s="62">
        <f t="shared" si="10"/>
        <v>323.46771391785046</v>
      </c>
      <c r="E140" s="62">
        <f t="shared" si="10"/>
        <v>276.6799488360405</v>
      </c>
      <c r="F140" s="62">
        <f t="shared" si="10"/>
        <v>-67.92102601556216</v>
      </c>
      <c r="G140" s="62">
        <f t="shared" si="10"/>
        <v>445.38603240514533</v>
      </c>
      <c r="H140" s="63">
        <f t="shared" si="14"/>
        <v>44.07838017486954</v>
      </c>
      <c r="I140" s="62"/>
      <c r="J140" s="62"/>
      <c r="K140" s="62"/>
      <c r="L140" s="62"/>
      <c r="M140" s="62"/>
      <c r="N140" s="62"/>
      <c r="O140" s="1"/>
      <c r="P140" s="36"/>
    </row>
    <row r="141" ht="15" customHeight="1">
      <c r="A141" s="1"/>
      <c r="B141" s="41" t="s">
        <v>274</v>
      </c>
      <c r="C141" s="21">
        <f t="shared" si="58" ref="C141:N141">C135+C180</f>
        <v>2995</v>
      </c>
      <c r="D141" s="21">
        <f t="shared" si="58"/>
        <v>3145</v>
      </c>
      <c r="E141" s="21">
        <f t="shared" si="58"/>
        <v>3152</v>
      </c>
      <c r="F141" s="21">
        <f t="shared" si="58"/>
        <v>3211</v>
      </c>
      <c r="G141" s="21">
        <f t="shared" si="58"/>
        <v>12112</v>
      </c>
      <c r="H141" s="59">
        <f t="shared" si="58"/>
        <v>3431.7688904000006</v>
      </c>
      <c r="I141" s="21"/>
      <c r="J141" s="21">
        <f t="shared" si="58"/>
        <v>2779</v>
      </c>
      <c r="K141" s="21">
        <f t="shared" si="58"/>
        <v>3006</v>
      </c>
      <c r="L141" s="21">
        <f t="shared" si="58"/>
        <v>2875</v>
      </c>
      <c r="M141" s="21">
        <f t="shared" si="58"/>
        <v>3097</v>
      </c>
      <c r="N141" s="21">
        <f t="shared" si="58"/>
        <v>10538</v>
      </c>
      <c r="O141" s="1"/>
      <c r="P141" s="36" t="s">
        <v>275</v>
      </c>
    </row>
    <row r="142" ht="15" customHeight="1">
      <c r="A142" s="1"/>
      <c r="B142" s="43" t="s">
        <v>276</v>
      </c>
      <c r="C142" s="35">
        <f t="shared" si="59" ref="C142:N142">_xlfn.IFERROR(C141/C104,"n/a")</f>
        <v>0.32999118554429263</v>
      </c>
      <c r="D142" s="35">
        <f t="shared" si="59"/>
        <v>0.3247624948368443</v>
      </c>
      <c r="E142" s="35">
        <f t="shared" si="59"/>
        <v>0.3298796441653585</v>
      </c>
      <c r="F142" s="35">
        <f t="shared" si="59"/>
        <v>0.32506580279408787</v>
      </c>
      <c r="G142" s="35">
        <f t="shared" si="59"/>
        <v>0.32913043478260867</v>
      </c>
      <c r="H142" s="44">
        <f t="shared" si="59"/>
        <v>0.33967149450195705</v>
      </c>
      <c r="I142" s="35"/>
      <c r="J142" s="35">
        <f t="shared" si="59"/>
        <v>0.328099173553719</v>
      </c>
      <c r="K142" s="35">
        <f t="shared" si="59"/>
        <v>0.32057161138957024</v>
      </c>
      <c r="L142" s="35">
        <f t="shared" si="59"/>
        <v>0.3189836902252302</v>
      </c>
      <c r="M142" s="35">
        <f t="shared" si="59"/>
        <v>0.34308186551456743</v>
      </c>
      <c r="N142" s="35">
        <f t="shared" si="59"/>
        <v>0.30834503745318353</v>
      </c>
      <c r="O142" s="1"/>
      <c r="P142" s="36"/>
    </row>
    <row r="143" ht="15" customHeight="1">
      <c r="A143" s="1"/>
      <c r="B143" s="54" t="s">
        <v>116</v>
      </c>
      <c r="C143" s="62">
        <f t="shared" si="10"/>
        <v>18.9201199057365</v>
      </c>
      <c r="D143" s="62">
        <f t="shared" si="10"/>
        <v>41.908834472740295</v>
      </c>
      <c r="E143" s="62">
        <f t="shared" si="10"/>
        <v>108.95953940128267</v>
      </c>
      <c r="F143" s="62">
        <f t="shared" si="10"/>
        <v>-180.16062720479565</v>
      </c>
      <c r="G143" s="62">
        <f t="shared" si="10"/>
        <v>207.85397329425138</v>
      </c>
      <c r="H143" s="63">
        <f t="shared" si="14"/>
        <v>96.80308957664418</v>
      </c>
      <c r="I143" s="62"/>
      <c r="J143" s="62"/>
      <c r="K143" s="62"/>
      <c r="L143" s="62"/>
      <c r="M143" s="62"/>
      <c r="N143" s="62"/>
      <c r="O143" s="1"/>
      <c r="P143" s="36"/>
    </row>
    <row r="144" ht="15" customHeight="1">
      <c r="A144" s="1"/>
      <c r="B144" s="41" t="s">
        <v>197</v>
      </c>
      <c r="C144" s="21">
        <f t="shared" si="60" ref="C144:N144">C45</f>
        <v>46</v>
      </c>
      <c r="D144" s="21">
        <f t="shared" si="60"/>
        <v>65</v>
      </c>
      <c r="E144" s="21">
        <f t="shared" si="60"/>
        <v>24</v>
      </c>
      <c r="F144" s="21">
        <f t="shared" si="60"/>
        <v>-39</v>
      </c>
      <c r="G144" s="21">
        <f t="shared" si="60"/>
        <v>118</v>
      </c>
      <c r="H144" s="59">
        <f t="shared" si="60"/>
        <v>10</v>
      </c>
      <c r="I144" s="21"/>
      <c r="J144" s="21">
        <f t="shared" si="60"/>
        <v>-62</v>
      </c>
      <c r="K144" s="21">
        <f t="shared" si="60"/>
        <v>-83</v>
      </c>
      <c r="L144" s="21">
        <f t="shared" si="60"/>
        <v>10</v>
      </c>
      <c r="M144" s="21">
        <f t="shared" si="60"/>
        <v>-3</v>
      </c>
      <c r="N144" s="21">
        <f t="shared" si="60"/>
        <v>-298</v>
      </c>
      <c r="O144" s="1"/>
      <c r="P144" s="36"/>
    </row>
    <row r="145" ht="15" customHeight="1">
      <c r="A145" s="1"/>
      <c r="B145" s="41" t="s">
        <v>277</v>
      </c>
      <c r="C145" s="61">
        <v>175</v>
      </c>
      <c r="D145" s="61">
        <v>115</v>
      </c>
      <c r="E145" s="61">
        <v>90</v>
      </c>
      <c r="F145" s="61">
        <v>101</v>
      </c>
      <c r="G145" s="21">
        <f t="shared" si="3"/>
        <v>521</v>
      </c>
      <c r="H145" s="68">
        <v>90</v>
      </c>
      <c r="I145" s="21"/>
      <c r="J145" s="61">
        <v>153</v>
      </c>
      <c r="K145" s="61">
        <v>170</v>
      </c>
      <c r="L145" s="61">
        <v>124</v>
      </c>
      <c r="M145" s="61">
        <v>107</v>
      </c>
      <c r="N145" s="61">
        <v>652</v>
      </c>
      <c r="O145" s="1"/>
      <c r="P145" s="36" t="s">
        <v>278</v>
      </c>
    </row>
    <row r="146" ht="15" customHeight="1">
      <c r="A146" s="1"/>
      <c r="B146" s="41" t="s">
        <v>279</v>
      </c>
      <c r="C146" s="61">
        <v>-219</v>
      </c>
      <c r="D146" s="61">
        <v>-177</v>
      </c>
      <c r="E146" s="61">
        <v>-148</v>
      </c>
      <c r="F146" s="61">
        <v>-161</v>
      </c>
      <c r="G146" s="21">
        <f t="shared" si="3"/>
        <v>-752</v>
      </c>
      <c r="H146" s="68">
        <v>-158</v>
      </c>
      <c r="I146" s="21"/>
      <c r="J146" s="61">
        <v>-178</v>
      </c>
      <c r="K146" s="61">
        <v>-210</v>
      </c>
      <c r="L146" s="61">
        <v>-207</v>
      </c>
      <c r="M146" s="61">
        <v>-149</v>
      </c>
      <c r="N146" s="61">
        <v>-715</v>
      </c>
      <c r="O146" s="1"/>
      <c r="P146" s="36" t="s">
        <v>280</v>
      </c>
    </row>
    <row r="147" ht="15" customHeight="1">
      <c r="A147" s="1"/>
      <c r="B147" s="54" t="s">
        <v>80</v>
      </c>
      <c r="C147" s="45"/>
      <c r="D147" s="50">
        <v>1</v>
      </c>
      <c r="E147" s="50">
        <v>-1</v>
      </c>
      <c r="F147" s="45"/>
      <c r="G147" s="45">
        <f t="shared" si="3"/>
        <v>1</v>
      </c>
      <c r="H147" s="46"/>
      <c r="I147" s="45"/>
      <c r="J147" s="50">
        <v>1</v>
      </c>
      <c r="K147" s="45"/>
      <c r="L147" s="45"/>
      <c r="M147" s="45"/>
      <c r="N147" s="45"/>
      <c r="O147" s="1"/>
      <c r="P147" s="36" t="s">
        <v>81</v>
      </c>
    </row>
    <row r="148" ht="15" customHeight="1">
      <c r="A148" s="1"/>
      <c r="B148" s="55" t="s">
        <v>281</v>
      </c>
      <c r="C148" s="51">
        <f t="shared" si="4"/>
        <v>-44</v>
      </c>
      <c r="D148" s="51">
        <f t="shared" si="4"/>
        <v>-61</v>
      </c>
      <c r="E148" s="51">
        <f t="shared" si="4"/>
        <v>-59</v>
      </c>
      <c r="F148" s="51">
        <f t="shared" si="4"/>
        <v>-60</v>
      </c>
      <c r="G148" s="51">
        <f t="shared" si="4"/>
        <v>-230</v>
      </c>
      <c r="H148" s="52">
        <f t="shared" si="4"/>
        <v>-68</v>
      </c>
      <c r="I148" s="51"/>
      <c r="J148" s="51">
        <f t="shared" si="4"/>
        <v>-24</v>
      </c>
      <c r="K148" s="51">
        <f t="shared" si="4"/>
        <v>-40</v>
      </c>
      <c r="L148" s="51">
        <f t="shared" si="4"/>
        <v>-83</v>
      </c>
      <c r="M148" s="51">
        <f t="shared" si="4"/>
        <v>-42</v>
      </c>
      <c r="N148" s="51">
        <f t="shared" si="4"/>
        <v>-63</v>
      </c>
      <c r="O148" s="1"/>
      <c r="P148" s="36"/>
    </row>
    <row r="149" ht="15" customHeight="1">
      <c r="A149" s="1"/>
      <c r="B149" s="43" t="s">
        <v>80</v>
      </c>
      <c r="C149" s="50">
        <v>1</v>
      </c>
      <c r="D149" s="45"/>
      <c r="E149" s="45"/>
      <c r="F149" s="50">
        <v>-1</v>
      </c>
      <c r="G149" s="45">
        <f t="shared" si="3"/>
        <v>2</v>
      </c>
      <c r="H149" s="46"/>
      <c r="I149" s="45"/>
      <c r="J149" s="50">
        <v>-1</v>
      </c>
      <c r="K149" s="45"/>
      <c r="L149" s="45"/>
      <c r="M149" s="50">
        <v>1</v>
      </c>
      <c r="N149" s="45"/>
      <c r="O149" s="1"/>
      <c r="P149" s="36" t="s">
        <v>81</v>
      </c>
    </row>
    <row r="150" ht="15" customHeight="1">
      <c r="A150" s="1"/>
      <c r="B150" s="25" t="s">
        <v>282</v>
      </c>
      <c r="C150" s="51">
        <f t="shared" si="61" ref="C150:N150">C135+C144+C148+C149</f>
        <v>2569</v>
      </c>
      <c r="D150" s="51">
        <f t="shared" si="61"/>
        <v>2833</v>
      </c>
      <c r="E150" s="51">
        <f t="shared" si="61"/>
        <v>2832</v>
      </c>
      <c r="F150" s="51">
        <f t="shared" si="61"/>
        <v>2643</v>
      </c>
      <c r="G150" s="51">
        <f t="shared" si="61"/>
        <v>10308</v>
      </c>
      <c r="H150" s="52">
        <f t="shared" si="61"/>
        <v>2842.9468904000005</v>
      </c>
      <c r="I150" s="51"/>
      <c r="J150" s="51">
        <f t="shared" si="61"/>
        <v>2157</v>
      </c>
      <c r="K150" s="51">
        <f t="shared" si="61"/>
        <v>2313</v>
      </c>
      <c r="L150" s="51">
        <f t="shared" si="61"/>
        <v>2382</v>
      </c>
      <c r="M150" s="51">
        <f t="shared" si="61"/>
        <v>2524</v>
      </c>
      <c r="N150" s="51">
        <f t="shared" si="61"/>
        <v>7792</v>
      </c>
      <c r="O150" s="1"/>
      <c r="P150" s="36"/>
    </row>
    <row r="151" ht="15" customHeight="1">
      <c r="A151" s="1"/>
      <c r="B151" s="41" t="s">
        <v>283</v>
      </c>
      <c r="C151" s="61">
        <v>-717</v>
      </c>
      <c r="D151" s="61">
        <v>-937</v>
      </c>
      <c r="E151" s="61">
        <v>-830</v>
      </c>
      <c r="F151" s="61">
        <v>-815</v>
      </c>
      <c r="G151" s="21">
        <f t="shared" si="3"/>
        <v>-3131</v>
      </c>
      <c r="H151" s="59">
        <f>-H152*H150</f>
        <v>-810.2398637640001</v>
      </c>
      <c r="I151" s="21"/>
      <c r="J151" s="61">
        <v>-720</v>
      </c>
      <c r="K151" s="61">
        <v>-694</v>
      </c>
      <c r="L151" s="61">
        <v>-701</v>
      </c>
      <c r="M151" s="61">
        <v>-776</v>
      </c>
      <c r="N151" s="61">
        <v>-2513</v>
      </c>
      <c r="O151" s="1"/>
      <c r="P151" s="36"/>
    </row>
    <row r="152" ht="15" customHeight="1">
      <c r="A152" s="1"/>
      <c r="B152" s="43" t="s">
        <v>284</v>
      </c>
      <c r="C152" s="35">
        <f t="shared" si="16"/>
        <v>0.27909692487349164</v>
      </c>
      <c r="D152" s="35">
        <f t="shared" si="16"/>
        <v>0.33074479350511826</v>
      </c>
      <c r="E152" s="35">
        <f t="shared" si="16"/>
        <v>0.2930790960451977</v>
      </c>
      <c r="F152" s="35">
        <f t="shared" si="16"/>
        <v>0.3083617101778282</v>
      </c>
      <c r="G152" s="35">
        <f t="shared" si="16"/>
        <v>0.30374466433837793</v>
      </c>
      <c r="H152" s="57">
        <v>0.285</v>
      </c>
      <c r="I152" s="35"/>
      <c r="J152" s="35">
        <f t="shared" si="16"/>
        <v>0.3337969401947149</v>
      </c>
      <c r="K152" s="35">
        <f t="shared" si="16"/>
        <v>0.30004323389537396</v>
      </c>
      <c r="L152" s="35">
        <f t="shared" si="16"/>
        <v>0.29429051217464314</v>
      </c>
      <c r="M152" s="35">
        <f t="shared" si="16"/>
        <v>0.3074484944532488</v>
      </c>
      <c r="N152" s="35">
        <f t="shared" si="16"/>
        <v>0.32251026694045176</v>
      </c>
      <c r="O152" s="1"/>
      <c r="P152" s="36" t="s">
        <v>285</v>
      </c>
    </row>
    <row r="153" ht="15" customHeight="1">
      <c r="A153" s="1"/>
      <c r="B153" s="54" t="s">
        <v>116</v>
      </c>
      <c r="C153" s="62">
        <f t="shared" si="10"/>
        <v>-547.0001532122326</v>
      </c>
      <c r="D153" s="62">
        <f t="shared" si="10"/>
        <v>307.015596097443</v>
      </c>
      <c r="E153" s="62">
        <f t="shared" si="10"/>
        <v>-12.114161294454195</v>
      </c>
      <c r="F153" s="62">
        <f t="shared" si="10"/>
        <v>9.132157245794193</v>
      </c>
      <c r="G153" s="62">
        <f t="shared" si="10"/>
        <v>-187.65602602073827</v>
      </c>
      <c r="H153" s="63">
        <f t="shared" si="14"/>
        <v>59.030751265083396</v>
      </c>
      <c r="I153" s="62"/>
      <c r="J153" s="62"/>
      <c r="K153" s="62"/>
      <c r="L153" s="62"/>
      <c r="M153" s="62"/>
      <c r="N153" s="62"/>
      <c r="O153" s="1"/>
      <c r="P153" s="36"/>
    </row>
    <row r="154" ht="15" customHeight="1">
      <c r="A154" s="1"/>
      <c r="B154" s="43" t="s">
        <v>80</v>
      </c>
      <c r="C154" s="45"/>
      <c r="D154" s="45"/>
      <c r="E154" s="45"/>
      <c r="F154" s="45"/>
      <c r="G154" s="45">
        <f t="shared" si="3"/>
        <v>-1</v>
      </c>
      <c r="H154" s="46"/>
      <c r="I154" s="45"/>
      <c r="J154" s="45"/>
      <c r="K154" s="45"/>
      <c r="L154" s="45"/>
      <c r="M154" s="50">
        <v>-1</v>
      </c>
      <c r="N154" s="45"/>
      <c r="O154" s="1"/>
      <c r="P154" s="36" t="s">
        <v>81</v>
      </c>
    </row>
    <row r="155" ht="15" customHeight="1">
      <c r="A155" s="1"/>
      <c r="B155" s="25" t="s">
        <v>286</v>
      </c>
      <c r="C155" s="51">
        <f t="shared" si="62" ref="C155:N155">C150+C151+C154</f>
        <v>1852</v>
      </c>
      <c r="D155" s="51">
        <f t="shared" si="62"/>
        <v>1896</v>
      </c>
      <c r="E155" s="51">
        <f t="shared" si="62"/>
        <v>2002</v>
      </c>
      <c r="F155" s="51">
        <f t="shared" si="62"/>
        <v>1828</v>
      </c>
      <c r="G155" s="51">
        <f t="shared" si="62"/>
        <v>7176</v>
      </c>
      <c r="H155" s="52">
        <f t="shared" si="62"/>
        <v>2032.7070266360004</v>
      </c>
      <c r="I155" s="51"/>
      <c r="J155" s="51">
        <f t="shared" si="62"/>
        <v>1437</v>
      </c>
      <c r="K155" s="51">
        <f t="shared" si="62"/>
        <v>1619</v>
      </c>
      <c r="L155" s="51">
        <f t="shared" si="62"/>
        <v>1681</v>
      </c>
      <c r="M155" s="51">
        <f t="shared" si="62"/>
        <v>1747</v>
      </c>
      <c r="N155" s="51">
        <f t="shared" si="62"/>
        <v>5279</v>
      </c>
      <c r="O155" s="1"/>
      <c r="P155" s="36"/>
    </row>
    <row r="156" ht="15" customHeight="1">
      <c r="A156" s="1"/>
      <c r="B156" s="41" t="s">
        <v>287</v>
      </c>
      <c r="C156" s="61">
        <v>6</v>
      </c>
      <c r="D156" s="61">
        <v>8</v>
      </c>
      <c r="E156" s="61">
        <v>1</v>
      </c>
      <c r="F156" s="61">
        <v>-4</v>
      </c>
      <c r="G156" s="21">
        <f t="shared" si="3"/>
        <v>10</v>
      </c>
      <c r="H156" s="68">
        <v>3</v>
      </c>
      <c r="I156" s="21"/>
      <c r="J156" s="61">
        <v>3</v>
      </c>
      <c r="K156" s="61">
        <v>-10</v>
      </c>
      <c r="L156" s="61">
        <v>2</v>
      </c>
      <c r="M156" s="61">
        <v>-6</v>
      </c>
      <c r="N156" s="61">
        <v>-7</v>
      </c>
      <c r="O156" s="1"/>
      <c r="P156" s="36" t="s">
        <v>288</v>
      </c>
    </row>
    <row r="157" ht="15" customHeight="1">
      <c r="A157" s="1"/>
      <c r="B157" s="25" t="s">
        <v>289</v>
      </c>
      <c r="C157" s="51">
        <f t="shared" si="39"/>
        <v>1846</v>
      </c>
      <c r="D157" s="51">
        <f t="shared" si="39"/>
        <v>1888</v>
      </c>
      <c r="E157" s="51">
        <f t="shared" si="39"/>
        <v>2001</v>
      </c>
      <c r="F157" s="51">
        <f t="shared" si="39"/>
        <v>1832</v>
      </c>
      <c r="G157" s="51">
        <f t="shared" si="39"/>
        <v>7166</v>
      </c>
      <c r="H157" s="52">
        <f t="shared" si="39"/>
        <v>2029.7070266360004</v>
      </c>
      <c r="I157" s="51"/>
      <c r="J157" s="51">
        <f t="shared" si="39"/>
        <v>1434</v>
      </c>
      <c r="K157" s="51">
        <f t="shared" si="39"/>
        <v>1629</v>
      </c>
      <c r="L157" s="51">
        <f t="shared" si="39"/>
        <v>1679</v>
      </c>
      <c r="M157" s="51">
        <f t="shared" si="39"/>
        <v>1753</v>
      </c>
      <c r="N157" s="51">
        <f t="shared" si="39"/>
        <v>5286</v>
      </c>
      <c r="O157" s="1"/>
      <c r="P157" s="36" t="s">
        <v>290</v>
      </c>
    </row>
    <row r="158" ht="15" customHeight="1">
      <c r="A158" s="1"/>
      <c r="B158" s="43" t="s">
        <v>69</v>
      </c>
      <c r="C158" s="35">
        <f t="shared" si="0"/>
        <v>0.28730822873082285</v>
      </c>
      <c r="D158" s="35">
        <f t="shared" si="0"/>
        <v>0.15899324739103737</v>
      </c>
      <c r="E158" s="35">
        <f t="shared" si="0"/>
        <v>0.19178082191780832</v>
      </c>
      <c r="F158" s="35">
        <f t="shared" si="0"/>
        <v>0.04506560182544206</v>
      </c>
      <c r="G158" s="35">
        <f t="shared" si="0"/>
        <v>0.35565645100264853</v>
      </c>
      <c r="H158" s="44">
        <f t="shared" si="8"/>
        <v>0.09951626578331552</v>
      </c>
      <c r="I158" s="35"/>
      <c r="J158" s="35"/>
      <c r="K158" s="35"/>
      <c r="L158" s="35"/>
      <c r="M158" s="35"/>
      <c r="N158" s="35"/>
      <c r="O158" s="1"/>
      <c r="P158" s="36"/>
    </row>
    <row r="159" ht="15" customHeight="1">
      <c r="A159" s="1"/>
      <c r="B159" s="43" t="s">
        <v>70</v>
      </c>
      <c r="C159" s="45">
        <f t="shared" si="51"/>
        <v>93</v>
      </c>
      <c r="D159" s="45">
        <f t="shared" si="1"/>
        <v>42</v>
      </c>
      <c r="E159" s="45">
        <f t="shared" si="1"/>
        <v>113</v>
      </c>
      <c r="F159" s="45">
        <f t="shared" si="1"/>
        <v>-169</v>
      </c>
      <c r="G159" s="45"/>
      <c r="H159" s="46">
        <f t="shared" si="52"/>
        <v>197.70702663600036</v>
      </c>
      <c r="I159" s="45"/>
      <c r="J159" s="45"/>
      <c r="K159" s="45"/>
      <c r="L159" s="45"/>
      <c r="M159" s="45"/>
      <c r="N159" s="45"/>
      <c r="O159" s="1"/>
      <c r="P159" s="36"/>
    </row>
    <row r="160" ht="15" customHeight="1">
      <c r="A160" s="1"/>
      <c r="B160" s="43" t="s">
        <v>71</v>
      </c>
      <c r="C160" s="35">
        <f t="shared" si="53"/>
        <v>0.05305191100969764</v>
      </c>
      <c r="D160" s="35">
        <f t="shared" si="2"/>
        <v>0.02275189599133265</v>
      </c>
      <c r="E160" s="35">
        <f t="shared" si="2"/>
        <v>0.05985169491525433</v>
      </c>
      <c r="F160" s="35">
        <f t="shared" si="2"/>
        <v>-0.08445777111444275</v>
      </c>
      <c r="G160" s="35"/>
      <c r="H160" s="44">
        <f t="shared" si="54"/>
        <v>0.10791868266157234</v>
      </c>
      <c r="I160" s="35"/>
      <c r="J160" s="35"/>
      <c r="K160" s="35"/>
      <c r="L160" s="35"/>
      <c r="M160" s="35"/>
      <c r="N160" s="35"/>
      <c r="O160" s="1"/>
      <c r="P160" s="36"/>
    </row>
    <row r="161" ht="15" customHeight="1">
      <c r="A161" s="1"/>
      <c r="B161" s="25" t="s">
        <v>291</v>
      </c>
      <c r="C161" s="71">
        <f t="shared" si="63" ref="C161:N161">C157/C62</f>
        <v>1.5859106529209621</v>
      </c>
      <c r="D161" s="71">
        <f t="shared" si="63"/>
        <v>1.6192109777015438</v>
      </c>
      <c r="E161" s="71">
        <f t="shared" si="63"/>
        <v>1.7205503009458298</v>
      </c>
      <c r="F161" s="71">
        <f t="shared" si="63"/>
        <v>1.5888985255854293</v>
      </c>
      <c r="G161" s="71">
        <f t="shared" si="63"/>
        <v>6.145797598627787</v>
      </c>
      <c r="H161" s="72">
        <f t="shared" si="63"/>
        <v>1.7656043906706962</v>
      </c>
      <c r="I161" s="71"/>
      <c r="J161" s="71">
        <f t="shared" si="63"/>
        <v>1.2298456260720412</v>
      </c>
      <c r="K161" s="71">
        <f t="shared" si="63"/>
        <v>1.3982832618025751</v>
      </c>
      <c r="L161" s="71">
        <f t="shared" si="63"/>
        <v>1.4387317909168809</v>
      </c>
      <c r="M161" s="71">
        <f t="shared" si="63"/>
        <v>1.5034305317324186</v>
      </c>
      <c r="N161" s="71">
        <f t="shared" si="63"/>
        <v>4.5334476843910805</v>
      </c>
      <c r="O161" s="1"/>
      <c r="P161" s="36" t="s">
        <v>292</v>
      </c>
    </row>
    <row r="162" ht="15" customHeight="1">
      <c r="A162" s="1"/>
      <c r="B162" s="43" t="s">
        <v>69</v>
      </c>
      <c r="C162" s="35">
        <f t="shared" si="0"/>
        <v>0.28952009853963867</v>
      </c>
      <c r="D162" s="35">
        <f t="shared" si="0"/>
        <v>0.157999256612829</v>
      </c>
      <c r="E162" s="35">
        <f t="shared" si="0"/>
        <v>0.1958798101273278</v>
      </c>
      <c r="F162" s="35">
        <f t="shared" si="0"/>
        <v>0.056848648506908406</v>
      </c>
      <c r="G162" s="35">
        <f t="shared" si="0"/>
        <v>0.35565645100264853</v>
      </c>
      <c r="H162" s="44">
        <f t="shared" si="8"/>
        <v>0.11330634384652782</v>
      </c>
      <c r="I162" s="35"/>
      <c r="J162" s="35"/>
      <c r="K162" s="35"/>
      <c r="L162" s="35"/>
      <c r="M162" s="35"/>
      <c r="N162" s="35"/>
      <c r="O162" s="1"/>
      <c r="P162" s="36"/>
    </row>
    <row r="163" ht="15" customHeight="1">
      <c r="A163" s="1"/>
      <c r="B163" s="43" t="s">
        <v>293</v>
      </c>
      <c r="C163" s="76">
        <f t="shared" si="51"/>
        <v>0.08248012118854353</v>
      </c>
      <c r="D163" s="76">
        <f t="shared" si="1"/>
        <v>0.03330032478058165</v>
      </c>
      <c r="E163" s="76">
        <f t="shared" si="1"/>
        <v>0.10133932324428607</v>
      </c>
      <c r="F163" s="76">
        <f t="shared" si="1"/>
        <v>-0.1316517753604005</v>
      </c>
      <c r="G163" s="76"/>
      <c r="H163" s="77">
        <f t="shared" si="52"/>
        <v>0.17670586508526687</v>
      </c>
      <c r="I163" s="76"/>
      <c r="J163" s="76"/>
      <c r="K163" s="76"/>
      <c r="L163" s="76"/>
      <c r="M163" s="76"/>
      <c r="N163" s="76"/>
      <c r="O163" s="1"/>
      <c r="P163" s="36"/>
    </row>
    <row r="164" ht="15" customHeight="1">
      <c r="A164" s="1"/>
      <c r="B164" s="43" t="s">
        <v>71</v>
      </c>
      <c r="C164" s="35">
        <f t="shared" si="53"/>
        <v>0.05486127855438783</v>
      </c>
      <c r="D164" s="35">
        <f t="shared" si="2"/>
        <v>0.02099760457453792</v>
      </c>
      <c r="E164" s="35">
        <f t="shared" si="2"/>
        <v>0.06258562018158775</v>
      </c>
      <c r="F164" s="35">
        <f t="shared" si="2"/>
        <v>-0.07651724874769905</v>
      </c>
      <c r="G164" s="35"/>
      <c r="H164" s="44">
        <f t="shared" si="54"/>
        <v>0.11121280701054181</v>
      </c>
      <c r="I164" s="35"/>
      <c r="J164" s="35"/>
      <c r="K164" s="35"/>
      <c r="L164" s="35"/>
      <c r="M164" s="35"/>
      <c r="N164" s="35"/>
      <c r="O164" s="1"/>
      <c r="P164" s="36"/>
    </row>
    <row r="165" ht="15" customHeight="1">
      <c r="A165" s="1"/>
      <c r="B165" s="41" t="s">
        <v>294</v>
      </c>
      <c r="C165" s="24">
        <f t="shared" si="64" ref="C165:N165">C157/C63</f>
        <v>1.575085324232082</v>
      </c>
      <c r="D165" s="24">
        <f t="shared" si="64"/>
        <v>1.6109215017064846</v>
      </c>
      <c r="E165" s="24">
        <f t="shared" si="64"/>
        <v>1.7131849315068493</v>
      </c>
      <c r="F165" s="24">
        <f t="shared" si="64"/>
        <v>1.5820379965457685</v>
      </c>
      <c r="G165" s="24">
        <f t="shared" si="64"/>
        <v>6.09872340425532</v>
      </c>
      <c r="H165" s="74">
        <f t="shared" si="64"/>
        <v>1.7579583144687863</v>
      </c>
      <c r="I165" s="24"/>
      <c r="J165" s="24">
        <f t="shared" si="64"/>
        <v>1.2173174872665535</v>
      </c>
      <c r="K165" s="24">
        <f t="shared" si="64"/>
        <v>1.385204081632653</v>
      </c>
      <c r="L165" s="24">
        <f t="shared" si="64"/>
        <v>1.4265080713678844</v>
      </c>
      <c r="M165" s="24">
        <f t="shared" si="64"/>
        <v>1.4919148936170212</v>
      </c>
      <c r="N165" s="24">
        <f t="shared" si="64"/>
        <v>4.479661016949152</v>
      </c>
      <c r="O165" s="1"/>
      <c r="P165" s="36" t="s">
        <v>295</v>
      </c>
    </row>
    <row r="166" ht="15" customHeight="1">
      <c r="A166" s="1"/>
      <c r="B166" s="41" t="s">
        <v>296</v>
      </c>
      <c r="C166" s="73">
        <v>1.59</v>
      </c>
      <c r="D166" s="73">
        <v>1.62</v>
      </c>
      <c r="E166" s="73">
        <v>1.72</v>
      </c>
      <c r="F166" s="73">
        <v>1.59</v>
      </c>
      <c r="G166" s="73">
        <v>6.15</v>
      </c>
      <c r="H166" s="74"/>
      <c r="I166" s="24"/>
      <c r="J166" s="73">
        <v>1.23</v>
      </c>
      <c r="K166" s="73">
        <v>1.4</v>
      </c>
      <c r="L166" s="73">
        <v>1.44</v>
      </c>
      <c r="M166" s="73">
        <v>1.5</v>
      </c>
      <c r="N166" s="73">
        <v>4.53</v>
      </c>
      <c r="O166" s="1"/>
      <c r="P166" s="36" t="s">
        <v>297</v>
      </c>
    </row>
    <row r="167" ht="15" customHeight="1">
      <c r="A167" s="1"/>
      <c r="B167" s="41" t="s">
        <v>298</v>
      </c>
      <c r="C167" s="23">
        <f>Inputs!E105</f>
        <v>1.59</v>
      </c>
      <c r="D167" s="23">
        <f>Inputs!E106</f>
        <v>1.62</v>
      </c>
      <c r="E167" s="23">
        <f>Inputs!E107</f>
        <v>1.72</v>
      </c>
      <c r="F167" s="23">
        <f>Inputs!E108</f>
        <v>1.59</v>
      </c>
      <c r="G167" s="24"/>
      <c r="H167" s="74"/>
      <c r="I167" s="24"/>
      <c r="J167" s="24"/>
      <c r="K167" s="24"/>
      <c r="L167" s="23">
        <f>Inputs!E103</f>
        <v>1.44</v>
      </c>
      <c r="M167" s="23">
        <f>Inputs!E104</f>
        <v>1.5</v>
      </c>
      <c r="N167" s="24"/>
      <c r="O167" s="1"/>
      <c r="P167" s="36"/>
    </row>
    <row r="168" ht="15" customHeight="1">
      <c r="A168" s="1"/>
      <c r="B168" s="41" t="s">
        <v>299</v>
      </c>
      <c r="C168" s="23">
        <f>Inputs!D105</f>
        <v>1.5</v>
      </c>
      <c r="D168" s="23">
        <f>Inputs!D106</f>
        <v>1.51</v>
      </c>
      <c r="E168" s="23">
        <f>Inputs!D107</f>
        <v>1.66</v>
      </c>
      <c r="F168" s="23">
        <f>Inputs!D108</f>
        <v>1.75</v>
      </c>
      <c r="G168" s="24"/>
      <c r="H168" s="78">
        <f>Inputs!C45</f>
        <v>1.83</v>
      </c>
      <c r="I168" s="24"/>
      <c r="J168" s="24"/>
      <c r="K168" s="24"/>
      <c r="L168" s="23">
        <f>Inputs!D103</f>
        <v>1.29</v>
      </c>
      <c r="M168" s="23">
        <f>Inputs!D104</f>
        <v>1.45</v>
      </c>
      <c r="N168" s="24"/>
      <c r="O168" s="1"/>
      <c r="P168" s="36" t="s">
        <v>300</v>
      </c>
    </row>
    <row r="169" ht="15" customHeight="1">
      <c r="A169" s="1"/>
      <c r="B169" s="41" t="s">
        <v>301</v>
      </c>
      <c r="C169" s="24">
        <f t="shared" si="39"/>
        <v>0.09000000000000008</v>
      </c>
      <c r="D169" s="24">
        <f t="shared" si="39"/>
        <v>0.1100000000000001</v>
      </c>
      <c r="E169" s="24">
        <f t="shared" si="39"/>
        <v>0.06000000000000005</v>
      </c>
      <c r="F169" s="24">
        <f t="shared" si="39"/>
        <v>-0.15999999999999992</v>
      </c>
      <c r="G169" s="24"/>
      <c r="H169" s="74">
        <f>H161-H168</f>
        <v>-0.06439560932930388</v>
      </c>
      <c r="I169" s="24"/>
      <c r="J169" s="24"/>
      <c r="K169" s="24"/>
      <c r="L169" s="24">
        <f t="shared" si="39"/>
        <v>0.1499999999999999</v>
      </c>
      <c r="M169" s="24">
        <f t="shared" si="39"/>
        <v>0.050000000000000044</v>
      </c>
      <c r="N169" s="24"/>
      <c r="O169" s="1"/>
      <c r="P169" s="36" t="s">
        <v>302</v>
      </c>
    </row>
    <row r="170" ht="15" customHeight="1">
      <c r="A170" s="1"/>
      <c r="B170" s="58" t="s">
        <v>303</v>
      </c>
      <c r="C170" s="24">
        <f t="shared" si="65" ref="C170:M170">ROUND(ROUND(C161,2)-C167,6)</f>
        <v>0</v>
      </c>
      <c r="D170" s="24">
        <f t="shared" si="65"/>
        <v>0</v>
      </c>
      <c r="E170" s="24">
        <f t="shared" si="65"/>
        <v>0</v>
      </c>
      <c r="F170" s="24">
        <f t="shared" si="65"/>
        <v>0</v>
      </c>
      <c r="G170" s="24"/>
      <c r="H170" s="74"/>
      <c r="I170" s="24"/>
      <c r="J170" s="24"/>
      <c r="K170" s="24"/>
      <c r="L170" s="24">
        <f t="shared" si="65"/>
        <v>0</v>
      </c>
      <c r="M170" s="24">
        <f t="shared" si="65"/>
        <v>0</v>
      </c>
      <c r="N170" s="24"/>
      <c r="O170" s="1"/>
      <c r="P170" s="36" t="s">
        <v>304</v>
      </c>
    </row>
    <row r="171" ht="15" customHeight="1">
      <c r="A171" s="1"/>
      <c r="B171" s="58" t="s">
        <v>305</v>
      </c>
      <c r="C171" s="21">
        <f t="shared" si="66" ref="C171:H171">ROUND(C161*C62-C157,6)</f>
        <v>0</v>
      </c>
      <c r="D171" s="21">
        <f t="shared" si="66"/>
        <v>0</v>
      </c>
      <c r="E171" s="21">
        <f t="shared" si="66"/>
        <v>0</v>
      </c>
      <c r="F171" s="21">
        <f t="shared" si="66"/>
        <v>0</v>
      </c>
      <c r="G171" s="21">
        <f t="shared" si="66"/>
        <v>0</v>
      </c>
      <c r="H171" s="59">
        <f t="shared" si="66"/>
        <v>0</v>
      </c>
      <c r="I171" s="21"/>
      <c r="J171" s="21"/>
      <c r="K171" s="21"/>
      <c r="L171" s="21"/>
      <c r="M171" s="21"/>
      <c r="N171" s="21"/>
      <c r="O171" s="1"/>
      <c r="P171" s="36" t="s">
        <v>306</v>
      </c>
    </row>
    <row r="172" ht="15" customHeight="1">
      <c r="A172" s="1"/>
      <c r="B172" s="58" t="s">
        <v>307</v>
      </c>
      <c r="C172" s="21">
        <f t="shared" si="67" ref="C172:H172">ROUND(C65*C63-C58,6)</f>
        <v>0</v>
      </c>
      <c r="D172" s="21">
        <f t="shared" si="67"/>
        <v>0</v>
      </c>
      <c r="E172" s="21">
        <f t="shared" si="67"/>
        <v>0</v>
      </c>
      <c r="F172" s="21">
        <f t="shared" si="67"/>
        <v>0</v>
      </c>
      <c r="G172" s="21">
        <f t="shared" si="67"/>
        <v>0</v>
      </c>
      <c r="H172" s="59">
        <f t="shared" si="67"/>
        <v>0</v>
      </c>
      <c r="I172" s="21"/>
      <c r="J172" s="21"/>
      <c r="K172" s="21"/>
      <c r="L172" s="21"/>
      <c r="M172" s="21"/>
      <c r="N172" s="21"/>
      <c r="O172" s="1"/>
      <c r="P172" s="36" t="s">
        <v>308</v>
      </c>
    </row>
    <row r="173" ht="15" customHeight="1">
      <c r="A173" s="1"/>
      <c r="B173" s="1"/>
      <c r="C173" s="1"/>
      <c r="D173" s="1"/>
      <c r="E173" s="1"/>
      <c r="F173" s="1"/>
      <c r="G173" s="1"/>
      <c r="H173" s="40"/>
      <c r="I173" s="1"/>
      <c r="J173" s="1"/>
      <c r="K173" s="1"/>
      <c r="L173" s="1"/>
      <c r="M173" s="1"/>
      <c r="N173" s="1"/>
      <c r="O173" s="1"/>
      <c r="P173" s="36"/>
    </row>
    <row r="174" ht="15" customHeight="1">
      <c r="A174" s="1"/>
      <c r="B174" s="25" t="s">
        <v>309</v>
      </c>
      <c r="C174" s="1"/>
      <c r="D174" s="1"/>
      <c r="E174" s="1"/>
      <c r="F174" s="1"/>
      <c r="G174" s="1"/>
      <c r="H174" s="40"/>
      <c r="I174" s="1"/>
      <c r="J174" s="1"/>
      <c r="K174" s="1"/>
      <c r="L174" s="1"/>
      <c r="M174" s="1"/>
      <c r="N174" s="1"/>
      <c r="O174" s="1"/>
      <c r="P174" s="36"/>
    </row>
    <row r="175" ht="15" customHeight="1">
      <c r="A175" s="1"/>
      <c r="B175" s="41" t="s">
        <v>310</v>
      </c>
      <c r="C175" s="61">
        <v>99</v>
      </c>
      <c r="D175" s="61">
        <v>73</v>
      </c>
      <c r="E175" s="61">
        <v>70</v>
      </c>
      <c r="F175" s="61">
        <v>104</v>
      </c>
      <c r="G175" s="21">
        <f t="shared" si="3"/>
        <v>380</v>
      </c>
      <c r="H175" s="59">
        <f>H180*H190</f>
        <v>116.78084000000004</v>
      </c>
      <c r="I175" s="21"/>
      <c r="J175" s="61">
        <v>118</v>
      </c>
      <c r="K175" s="61">
        <v>136</v>
      </c>
      <c r="L175" s="61">
        <v>94</v>
      </c>
      <c r="M175" s="61">
        <v>114</v>
      </c>
      <c r="N175" s="61">
        <v>540</v>
      </c>
      <c r="O175" s="1"/>
      <c r="P175" s="36" t="s">
        <v>311</v>
      </c>
    </row>
    <row r="176" ht="15" customHeight="1">
      <c r="A176" s="1"/>
      <c r="B176" s="41" t="s">
        <v>312</v>
      </c>
      <c r="C176" s="61">
        <v>156</v>
      </c>
      <c r="D176" s="61">
        <v>119</v>
      </c>
      <c r="E176" s="61">
        <v>123</v>
      </c>
      <c r="F176" s="61">
        <v>202</v>
      </c>
      <c r="G176" s="21">
        <f t="shared" si="3"/>
        <v>601</v>
      </c>
      <c r="H176" s="59">
        <f>H180*H184</f>
        <v>228.25346</v>
      </c>
      <c r="I176" s="21"/>
      <c r="J176" s="61">
        <v>169</v>
      </c>
      <c r="K176" s="61">
        <v>180</v>
      </c>
      <c r="L176" s="61">
        <v>136</v>
      </c>
      <c r="M176" s="61">
        <v>190</v>
      </c>
      <c r="N176" s="61">
        <v>751</v>
      </c>
      <c r="O176" s="1"/>
      <c r="P176" s="36"/>
    </row>
    <row r="177" ht="15" customHeight="1">
      <c r="A177" s="1"/>
      <c r="B177" s="41" t="s">
        <v>313</v>
      </c>
      <c r="C177" s="61">
        <v>147</v>
      </c>
      <c r="D177" s="61">
        <v>101</v>
      </c>
      <c r="E177" s="61">
        <v>90</v>
      </c>
      <c r="F177" s="61">
        <v>135</v>
      </c>
      <c r="G177" s="21">
        <f t="shared" si="3"/>
        <v>579</v>
      </c>
      <c r="H177" s="59">
        <f>H180*H186</f>
        <v>153.93838</v>
      </c>
      <c r="I177" s="21"/>
      <c r="J177" s="61">
        <v>199</v>
      </c>
      <c r="K177" s="61">
        <v>200</v>
      </c>
      <c r="L177" s="61">
        <v>151</v>
      </c>
      <c r="M177" s="61">
        <v>180</v>
      </c>
      <c r="N177" s="61">
        <v>876</v>
      </c>
      <c r="O177" s="1"/>
      <c r="P177" s="36"/>
    </row>
    <row r="178" ht="15" customHeight="1">
      <c r="A178" s="1"/>
      <c r="B178" s="41" t="s">
        <v>314</v>
      </c>
      <c r="C178" s="61">
        <v>28</v>
      </c>
      <c r="D178" s="61">
        <v>23</v>
      </c>
      <c r="E178" s="61">
        <v>2</v>
      </c>
      <c r="F178" s="61">
        <v>27</v>
      </c>
      <c r="G178" s="21">
        <f t="shared" si="3"/>
        <v>135</v>
      </c>
      <c r="H178" s="59">
        <f>H180*H188</f>
        <v>31.84932</v>
      </c>
      <c r="I178" s="21"/>
      <c r="J178" s="61">
        <v>49</v>
      </c>
      <c r="K178" s="61">
        <v>54</v>
      </c>
      <c r="L178" s="61">
        <v>39</v>
      </c>
      <c r="M178" s="61">
        <v>45</v>
      </c>
      <c r="N178" s="61">
        <v>217</v>
      </c>
      <c r="O178" s="1"/>
      <c r="P178" s="36"/>
    </row>
    <row r="179" ht="15" customHeight="1">
      <c r="A179" s="1"/>
      <c r="B179" s="43" t="s">
        <v>80</v>
      </c>
      <c r="C179" s="50">
        <v>-1</v>
      </c>
      <c r="D179" s="45"/>
      <c r="E179" s="45"/>
      <c r="F179" s="45"/>
      <c r="G179" s="45">
        <f t="shared" si="3"/>
        <v>-1</v>
      </c>
      <c r="H179" s="46"/>
      <c r="I179" s="45"/>
      <c r="J179" s="45"/>
      <c r="K179" s="45"/>
      <c r="L179" s="45"/>
      <c r="M179" s="45"/>
      <c r="N179" s="50">
        <v>1</v>
      </c>
      <c r="O179" s="1"/>
      <c r="P179" s="36" t="s">
        <v>81</v>
      </c>
    </row>
    <row r="180" ht="15" customHeight="1">
      <c r="A180" s="1"/>
      <c r="B180" s="25" t="s">
        <v>315</v>
      </c>
      <c r="C180" s="51">
        <f t="shared" si="68" ref="C180:N180">C175+C176+C177+C178+C179</f>
        <v>429</v>
      </c>
      <c r="D180" s="51">
        <f t="shared" si="68"/>
        <v>316</v>
      </c>
      <c r="E180" s="51">
        <f t="shared" si="68"/>
        <v>285</v>
      </c>
      <c r="F180" s="51">
        <f t="shared" si="68"/>
        <v>468</v>
      </c>
      <c r="G180" s="51">
        <f t="shared" si="68"/>
        <v>1694</v>
      </c>
      <c r="H180" s="52">
        <f>H194+H197</f>
        <v>530.822</v>
      </c>
      <c r="I180" s="51"/>
      <c r="J180" s="51">
        <f t="shared" si="68"/>
        <v>535</v>
      </c>
      <c r="K180" s="51">
        <f t="shared" si="68"/>
        <v>570</v>
      </c>
      <c r="L180" s="51">
        <f t="shared" si="68"/>
        <v>420</v>
      </c>
      <c r="M180" s="51">
        <f t="shared" si="68"/>
        <v>529</v>
      </c>
      <c r="N180" s="51">
        <f t="shared" si="68"/>
        <v>2385</v>
      </c>
      <c r="O180" s="1"/>
      <c r="P180" s="36" t="s">
        <v>316</v>
      </c>
    </row>
    <row r="181" ht="15" customHeight="1">
      <c r="A181" s="1"/>
      <c r="B181" s="43" t="s">
        <v>69</v>
      </c>
      <c r="C181" s="35">
        <f t="shared" si="0"/>
        <v>-0.19813084112149537</v>
      </c>
      <c r="D181" s="35">
        <f t="shared" si="0"/>
        <v>-0.44561403508771935</v>
      </c>
      <c r="E181" s="35">
        <f t="shared" si="0"/>
        <v>-0.3214285714285714</v>
      </c>
      <c r="F181" s="35">
        <f t="shared" si="0"/>
        <v>-0.11531190926275992</v>
      </c>
      <c r="G181" s="35">
        <f t="shared" si="0"/>
        <v>-0.289727463312369</v>
      </c>
      <c r="H181" s="44">
        <f t="shared" si="8"/>
        <v>0.23734731934731945</v>
      </c>
      <c r="I181" s="35"/>
      <c r="J181" s="35"/>
      <c r="K181" s="35"/>
      <c r="L181" s="35"/>
      <c r="M181" s="35"/>
      <c r="N181" s="35"/>
      <c r="O181" s="1"/>
      <c r="P181" s="36"/>
    </row>
    <row r="182" ht="15" customHeight="1">
      <c r="A182" s="1"/>
      <c r="B182" s="43" t="s">
        <v>70</v>
      </c>
      <c r="C182" s="45">
        <f t="shared" si="51"/>
        <v>-100</v>
      </c>
      <c r="D182" s="45">
        <f t="shared" si="1"/>
        <v>-113</v>
      </c>
      <c r="E182" s="45">
        <f t="shared" si="1"/>
        <v>-31</v>
      </c>
      <c r="F182" s="45">
        <f t="shared" si="1"/>
        <v>183</v>
      </c>
      <c r="G182" s="45"/>
      <c r="H182" s="46">
        <f t="shared" si="52"/>
        <v>62.822</v>
      </c>
      <c r="I182" s="45"/>
      <c r="J182" s="45"/>
      <c r="K182" s="45"/>
      <c r="L182" s="45"/>
      <c r="M182" s="45"/>
      <c r="N182" s="45"/>
      <c r="O182" s="1"/>
      <c r="P182" s="36"/>
    </row>
    <row r="183" ht="15" customHeight="1">
      <c r="A183" s="1"/>
      <c r="B183" s="43" t="s">
        <v>71</v>
      </c>
      <c r="C183" s="35">
        <f t="shared" si="53"/>
        <v>-0.18903591682419663</v>
      </c>
      <c r="D183" s="35">
        <f t="shared" si="2"/>
        <v>-0.26340326340326337</v>
      </c>
      <c r="E183" s="35">
        <f t="shared" si="2"/>
        <v>-0.09810126582278478</v>
      </c>
      <c r="F183" s="35">
        <f t="shared" si="2"/>
        <v>0.6421052631578947</v>
      </c>
      <c r="G183" s="35"/>
      <c r="H183" s="44">
        <f t="shared" si="54"/>
        <v>0.13423504273504272</v>
      </c>
      <c r="I183" s="35"/>
      <c r="J183" s="35"/>
      <c r="K183" s="35"/>
      <c r="L183" s="35"/>
      <c r="M183" s="35"/>
      <c r="N183" s="35"/>
      <c r="O183" s="1"/>
      <c r="P183" s="36"/>
    </row>
    <row r="184" ht="15" customHeight="1">
      <c r="A184" s="1"/>
      <c r="B184" s="43" t="s">
        <v>317</v>
      </c>
      <c r="C184" s="35">
        <f t="shared" si="69" ref="C184:N184">_xlfn.IFERROR(C176/C180,"n/a")</f>
        <v>0.36363636363636365</v>
      </c>
      <c r="D184" s="35">
        <f t="shared" si="69"/>
        <v>0.37658227848101267</v>
      </c>
      <c r="E184" s="35">
        <f t="shared" si="69"/>
        <v>0.43157894736842106</v>
      </c>
      <c r="F184" s="35">
        <f t="shared" si="69"/>
        <v>0.43162393162393164</v>
      </c>
      <c r="G184" s="35">
        <f t="shared" si="69"/>
        <v>0.3547815820543093</v>
      </c>
      <c r="H184" s="57">
        <v>0.43</v>
      </c>
      <c r="I184" s="35"/>
      <c r="J184" s="35">
        <f t="shared" si="69"/>
        <v>0.31588785046728973</v>
      </c>
      <c r="K184" s="35">
        <f t="shared" si="69"/>
        <v>0.3157894736842105</v>
      </c>
      <c r="L184" s="35">
        <f t="shared" si="69"/>
        <v>0.3238095238095238</v>
      </c>
      <c r="M184" s="35">
        <f t="shared" si="69"/>
        <v>0.3591682419659735</v>
      </c>
      <c r="N184" s="35">
        <f t="shared" si="69"/>
        <v>0.3148846960167715</v>
      </c>
      <c r="O184" s="1"/>
      <c r="P184" s="36"/>
    </row>
    <row r="185" ht="15" customHeight="1">
      <c r="A185" s="1"/>
      <c r="B185" s="54" t="s">
        <v>116</v>
      </c>
      <c r="C185" s="62">
        <f t="shared" si="10"/>
        <v>477.48513169073914</v>
      </c>
      <c r="D185" s="62">
        <f t="shared" si="10"/>
        <v>607.9280479680216</v>
      </c>
      <c r="E185" s="62">
        <f t="shared" si="10"/>
        <v>1077.6942355889723</v>
      </c>
      <c r="F185" s="62">
        <f t="shared" si="10"/>
        <v>724.5568965795812</v>
      </c>
      <c r="G185" s="62">
        <f t="shared" si="10"/>
        <v>398.96886037537826</v>
      </c>
      <c r="H185" s="63">
        <f t="shared" si="14"/>
        <v>663.6363636363635</v>
      </c>
      <c r="I185" s="62"/>
      <c r="J185" s="62"/>
      <c r="K185" s="62"/>
      <c r="L185" s="62"/>
      <c r="M185" s="62"/>
      <c r="N185" s="62"/>
      <c r="O185" s="1"/>
      <c r="P185" s="36"/>
    </row>
    <row r="186" ht="15" customHeight="1">
      <c r="A186" s="1"/>
      <c r="B186" s="43" t="s">
        <v>318</v>
      </c>
      <c r="C186" s="35">
        <f t="shared" si="70" ref="C186:N186">_xlfn.IFERROR(C177/C180,"n/a")</f>
        <v>0.34265734265734266</v>
      </c>
      <c r="D186" s="35">
        <f t="shared" si="70"/>
        <v>0.31962025316455694</v>
      </c>
      <c r="E186" s="35">
        <f t="shared" si="70"/>
        <v>0.3157894736842105</v>
      </c>
      <c r="F186" s="35">
        <f t="shared" si="70"/>
        <v>0.28846153846153844</v>
      </c>
      <c r="G186" s="35">
        <f t="shared" si="70"/>
        <v>0.3417945690672963</v>
      </c>
      <c r="H186" s="57">
        <v>0.29</v>
      </c>
      <c r="I186" s="35"/>
      <c r="J186" s="35">
        <f t="shared" si="70"/>
        <v>0.3719626168224299</v>
      </c>
      <c r="K186" s="35">
        <f t="shared" si="70"/>
        <v>0.3508771929824561</v>
      </c>
      <c r="L186" s="35">
        <f t="shared" si="70"/>
        <v>0.3595238095238095</v>
      </c>
      <c r="M186" s="35">
        <f t="shared" si="70"/>
        <v>0.34026465028355385</v>
      </c>
      <c r="N186" s="35">
        <f t="shared" si="70"/>
        <v>0.3672955974842767</v>
      </c>
      <c r="O186" s="1"/>
      <c r="P186" s="36"/>
    </row>
    <row r="187" ht="15" customHeight="1">
      <c r="A187" s="1"/>
      <c r="B187" s="54" t="s">
        <v>116</v>
      </c>
      <c r="C187" s="62">
        <f t="shared" si="10"/>
        <v>-293.0527416508727</v>
      </c>
      <c r="D187" s="62">
        <f t="shared" si="10"/>
        <v>-312.5693981789918</v>
      </c>
      <c r="E187" s="62">
        <f t="shared" si="10"/>
        <v>-437.34335839599015</v>
      </c>
      <c r="F187" s="62">
        <f t="shared" si="10"/>
        <v>-518.0311182201541</v>
      </c>
      <c r="G187" s="62">
        <f t="shared" si="10"/>
        <v>-255.01028416980375</v>
      </c>
      <c r="H187" s="63">
        <f t="shared" si="14"/>
        <v>-526.5734265734268</v>
      </c>
      <c r="I187" s="62"/>
      <c r="J187" s="62"/>
      <c r="K187" s="62"/>
      <c r="L187" s="62"/>
      <c r="M187" s="62"/>
      <c r="N187" s="62"/>
      <c r="O187" s="1"/>
      <c r="P187" s="36"/>
    </row>
    <row r="188" ht="15" customHeight="1">
      <c r="A188" s="1"/>
      <c r="B188" s="43" t="s">
        <v>319</v>
      </c>
      <c r="C188" s="35">
        <f t="shared" si="71" ref="C188:N188">_xlfn.IFERROR(C178/C180,"n/a")</f>
        <v>0.06526806526806526</v>
      </c>
      <c r="D188" s="35">
        <f t="shared" si="71"/>
        <v>0.07278481012658228</v>
      </c>
      <c r="E188" s="35">
        <f t="shared" si="71"/>
        <v>0.007017543859649123</v>
      </c>
      <c r="F188" s="35">
        <f t="shared" si="71"/>
        <v>0.057692307692307696</v>
      </c>
      <c r="G188" s="35">
        <f t="shared" si="71"/>
        <v>0.07969303423848878</v>
      </c>
      <c r="H188" s="57">
        <v>0.06</v>
      </c>
      <c r="I188" s="35"/>
      <c r="J188" s="35">
        <f t="shared" si="71"/>
        <v>0.09158878504672897</v>
      </c>
      <c r="K188" s="35">
        <f t="shared" si="71"/>
        <v>0.09473684210526316</v>
      </c>
      <c r="L188" s="35">
        <f t="shared" si="71"/>
        <v>0.09285714285714286</v>
      </c>
      <c r="M188" s="35">
        <f t="shared" si="71"/>
        <v>0.08506616257088846</v>
      </c>
      <c r="N188" s="35">
        <f t="shared" si="71"/>
        <v>0.0909853249475891</v>
      </c>
      <c r="O188" s="1"/>
      <c r="P188" s="36"/>
    </row>
    <row r="189" ht="15" customHeight="1">
      <c r="A189" s="1"/>
      <c r="B189" s="54" t="s">
        <v>116</v>
      </c>
      <c r="C189" s="62">
        <f t="shared" si="10"/>
        <v>-263.2071977866371</v>
      </c>
      <c r="D189" s="62">
        <f t="shared" si="10"/>
        <v>-219.52031978680884</v>
      </c>
      <c r="E189" s="62">
        <f t="shared" si="10"/>
        <v>-858.3959899749374</v>
      </c>
      <c r="F189" s="62">
        <f t="shared" si="10"/>
        <v>-273.73854878580767</v>
      </c>
      <c r="G189" s="62">
        <f t="shared" si="10"/>
        <v>-112.92290709100317</v>
      </c>
      <c r="H189" s="63">
        <f t="shared" si="14"/>
        <v>-52.68065268065267</v>
      </c>
      <c r="I189" s="62"/>
      <c r="J189" s="62"/>
      <c r="K189" s="62"/>
      <c r="L189" s="62"/>
      <c r="M189" s="62"/>
      <c r="N189" s="62"/>
      <c r="O189" s="1"/>
      <c r="P189" s="36"/>
    </row>
    <row r="190" ht="15" customHeight="1">
      <c r="A190" s="1"/>
      <c r="B190" s="43" t="s">
        <v>320</v>
      </c>
      <c r="C190" s="35">
        <f t="shared" si="72" ref="C190:N190">_xlfn.IFERROR(C175/C180,"n/a")</f>
        <v>0.23076923076923078</v>
      </c>
      <c r="D190" s="35">
        <f t="shared" si="72"/>
        <v>0.2310126582278481</v>
      </c>
      <c r="E190" s="35">
        <f t="shared" si="72"/>
        <v>0.24561403508771928</v>
      </c>
      <c r="F190" s="35">
        <f t="shared" si="72"/>
        <v>0.2222222222222222</v>
      </c>
      <c r="G190" s="35">
        <f t="shared" si="72"/>
        <v>0.2243211334120425</v>
      </c>
      <c r="H190" s="44">
        <f>1-H184-H186-H188</f>
        <v>0.22000000000000008</v>
      </c>
      <c r="I190" s="35"/>
      <c r="J190" s="35">
        <f t="shared" si="72"/>
        <v>0.2205607476635514</v>
      </c>
      <c r="K190" s="35">
        <f t="shared" si="72"/>
        <v>0.23859649122807017</v>
      </c>
      <c r="L190" s="35">
        <f t="shared" si="72"/>
        <v>0.22380952380952382</v>
      </c>
      <c r="M190" s="35">
        <f t="shared" si="72"/>
        <v>0.21550094517958412</v>
      </c>
      <c r="N190" s="35">
        <f t="shared" si="72"/>
        <v>0.22641509433962265</v>
      </c>
      <c r="O190" s="1"/>
      <c r="P190" s="36" t="s">
        <v>321</v>
      </c>
    </row>
    <row r="191" ht="15" customHeight="1">
      <c r="A191" s="1"/>
      <c r="B191" s="54" t="s">
        <v>116</v>
      </c>
      <c r="C191" s="62">
        <f t="shared" si="10"/>
        <v>102.08483105679372</v>
      </c>
      <c r="D191" s="62">
        <f t="shared" si="10"/>
        <v>-75.83833000222057</v>
      </c>
      <c r="E191" s="62">
        <f t="shared" si="10"/>
        <v>218.04511278195466</v>
      </c>
      <c r="F191" s="62">
        <f t="shared" si="10"/>
        <v>67.21277042638086</v>
      </c>
      <c r="G191" s="62">
        <f t="shared" si="10"/>
        <v>-20.939609275801573</v>
      </c>
      <c r="H191" s="63">
        <f t="shared" si="14"/>
        <v>-107.69230769230698</v>
      </c>
      <c r="I191" s="62"/>
      <c r="J191" s="62"/>
      <c r="K191" s="62"/>
      <c r="L191" s="62"/>
      <c r="M191" s="62"/>
      <c r="N191" s="62"/>
      <c r="O191" s="1"/>
      <c r="P191" s="36"/>
    </row>
    <row r="192" ht="15" customHeight="1">
      <c r="A192" s="1"/>
      <c r="B192" s="41" t="s">
        <v>322</v>
      </c>
      <c r="C192" s="79" t="s">
        <v>41</v>
      </c>
      <c r="D192" s="80">
        <v>208.35</v>
      </c>
      <c r="E192" s="80">
        <v>146.9</v>
      </c>
      <c r="F192" s="80">
        <v>134</v>
      </c>
      <c r="G192" s="79">
        <f t="shared" si="74" ref="G192:G217">D192</f>
        <v>208.35</v>
      </c>
      <c r="H192" s="81">
        <v>185.66</v>
      </c>
      <c r="I192" s="79"/>
      <c r="J192" s="79"/>
      <c r="K192" s="79"/>
      <c r="L192" s="79"/>
      <c r="M192" s="79"/>
      <c r="N192" s="79"/>
      <c r="O192" s="1"/>
      <c r="P192" s="36" t="s">
        <v>323</v>
      </c>
    </row>
    <row r="193" ht="15" customHeight="1">
      <c r="A193" s="1"/>
      <c r="B193" s="43" t="s">
        <v>324</v>
      </c>
      <c r="C193" s="82" t="s">
        <v>41</v>
      </c>
      <c r="D193" s="82" t="s">
        <v>41</v>
      </c>
      <c r="E193" s="82">
        <f t="shared" si="73" ref="E193:F193">E192-D192</f>
        <v>-61.44999999999999</v>
      </c>
      <c r="F193" s="82">
        <f t="shared" si="73"/>
        <v>-12.900000000000006</v>
      </c>
      <c r="G193" s="82"/>
      <c r="H193" s="83">
        <f>H192-F192</f>
        <v>51.66</v>
      </c>
      <c r="I193" s="82"/>
      <c r="J193" s="82"/>
      <c r="K193" s="82"/>
      <c r="L193" s="82"/>
      <c r="M193" s="82"/>
      <c r="N193" s="82"/>
      <c r="O193" s="1"/>
      <c r="P193" s="36"/>
    </row>
    <row r="194" ht="15" customHeight="1">
      <c r="A194" s="1"/>
      <c r="B194" s="41" t="s">
        <v>325</v>
      </c>
      <c r="C194" s="21"/>
      <c r="D194" s="21"/>
      <c r="E194" s="21"/>
      <c r="F194" s="21"/>
      <c r="G194" s="21"/>
      <c r="H194" s="68">
        <v>358</v>
      </c>
      <c r="I194" s="21"/>
      <c r="J194" s="21"/>
      <c r="K194" s="21"/>
      <c r="L194" s="21"/>
      <c r="M194" s="21"/>
      <c r="N194" s="21"/>
      <c r="O194" s="1"/>
      <c r="P194" s="36" t="s">
        <v>326</v>
      </c>
    </row>
    <row r="195" ht="15" customHeight="1">
      <c r="A195" s="1"/>
      <c r="B195" s="41" t="s">
        <v>327</v>
      </c>
      <c r="C195" s="21"/>
      <c r="D195" s="21"/>
      <c r="E195" s="21"/>
      <c r="F195" s="21"/>
      <c r="G195" s="21"/>
      <c r="H195" s="68">
        <v>85</v>
      </c>
      <c r="I195" s="21"/>
      <c r="J195" s="21"/>
      <c r="K195" s="21"/>
      <c r="L195" s="21"/>
      <c r="M195" s="21"/>
      <c r="N195" s="21"/>
      <c r="O195" s="1"/>
      <c r="P195" s="36" t="s">
        <v>328</v>
      </c>
    </row>
    <row r="196" ht="15" customHeight="1">
      <c r="A196" s="1"/>
      <c r="B196" s="41" t="s">
        <v>329</v>
      </c>
      <c r="C196" s="79"/>
      <c r="D196" s="79"/>
      <c r="E196" s="79"/>
      <c r="F196" s="79"/>
      <c r="G196" s="79"/>
      <c r="H196" s="81">
        <v>1.7</v>
      </c>
      <c r="I196" s="79"/>
      <c r="J196" s="79"/>
      <c r="K196" s="79"/>
      <c r="L196" s="79"/>
      <c r="M196" s="79"/>
      <c r="N196" s="79"/>
      <c r="O196" s="1"/>
      <c r="P196" s="36" t="s">
        <v>330</v>
      </c>
    </row>
    <row r="197" ht="15" customHeight="1">
      <c r="A197" s="1"/>
      <c r="B197" s="41" t="s">
        <v>331</v>
      </c>
      <c r="C197" s="21"/>
      <c r="D197" s="21"/>
      <c r="E197" s="21"/>
      <c r="F197" s="21"/>
      <c r="G197" s="21"/>
      <c r="H197" s="59">
        <f>H195+H196*H193</f>
        <v>172.822</v>
      </c>
      <c r="I197" s="21"/>
      <c r="J197" s="21"/>
      <c r="K197" s="21"/>
      <c r="L197" s="21"/>
      <c r="M197" s="21"/>
      <c r="N197" s="21"/>
      <c r="O197" s="1"/>
      <c r="P197" s="36" t="s">
        <v>332</v>
      </c>
    </row>
    <row r="198" ht="15" customHeight="1">
      <c r="A198" s="1"/>
      <c r="B198" s="41" t="s">
        <v>333</v>
      </c>
      <c r="C198" s="84">
        <v>14462</v>
      </c>
      <c r="D198" s="84">
        <v>14557</v>
      </c>
      <c r="E198" s="84">
        <v>14684</v>
      </c>
      <c r="F198" s="84">
        <v>14752</v>
      </c>
      <c r="G198" s="66">
        <f t="shared" si="74"/>
        <v>14557</v>
      </c>
      <c r="H198" s="85">
        <v>14800</v>
      </c>
      <c r="I198" s="66"/>
      <c r="J198" s="84">
        <v>13357</v>
      </c>
      <c r="K198" s="84">
        <v>13646</v>
      </c>
      <c r="L198" s="84">
        <v>13862</v>
      </c>
      <c r="M198" s="84">
        <v>14148</v>
      </c>
      <c r="N198" s="84">
        <v>13646</v>
      </c>
      <c r="O198" s="1"/>
      <c r="P198" s="36"/>
    </row>
    <row r="199" ht="15" customHeight="1">
      <c r="A199" s="1"/>
      <c r="B199" s="43" t="s">
        <v>69</v>
      </c>
      <c r="C199" s="35">
        <f t="shared" si="0"/>
        <v>0.0827281575204013</v>
      </c>
      <c r="D199" s="35">
        <f t="shared" si="0"/>
        <v>0.06675948996042802</v>
      </c>
      <c r="E199" s="35">
        <f t="shared" si="0"/>
        <v>0.05929880248160435</v>
      </c>
      <c r="F199" s="35">
        <f t="shared" si="0"/>
        <v>0.042691546508340394</v>
      </c>
      <c r="G199" s="35">
        <f t="shared" si="0"/>
        <v>0.06675948996042802</v>
      </c>
      <c r="H199" s="44">
        <f t="shared" si="8"/>
        <v>0.023371594523579065</v>
      </c>
      <c r="I199" s="35"/>
      <c r="J199" s="35"/>
      <c r="K199" s="35"/>
      <c r="L199" s="35"/>
      <c r="M199" s="35"/>
      <c r="N199" s="35"/>
      <c r="O199" s="1"/>
      <c r="P199" s="36"/>
    </row>
    <row r="200" ht="15" customHeight="1">
      <c r="A200" s="1"/>
      <c r="B200" s="43" t="s">
        <v>155</v>
      </c>
      <c r="C200" s="62">
        <f t="shared" si="51"/>
        <v>314</v>
      </c>
      <c r="D200" s="62">
        <f t="shared" si="1"/>
        <v>95</v>
      </c>
      <c r="E200" s="62">
        <f t="shared" si="1"/>
        <v>127</v>
      </c>
      <c r="F200" s="62">
        <f t="shared" si="1"/>
        <v>68</v>
      </c>
      <c r="G200" s="62"/>
      <c r="H200" s="63">
        <f t="shared" si="52"/>
        <v>48</v>
      </c>
      <c r="I200" s="62"/>
      <c r="J200" s="62"/>
      <c r="K200" s="62"/>
      <c r="L200" s="62"/>
      <c r="M200" s="62"/>
      <c r="N200" s="62"/>
      <c r="O200" s="1"/>
      <c r="P200" s="36"/>
    </row>
    <row r="201" ht="15" customHeight="1">
      <c r="A201" s="1"/>
      <c r="B201" s="41" t="s">
        <v>334</v>
      </c>
      <c r="C201" s="84">
        <v>18899</v>
      </c>
      <c r="D201" s="84">
        <v>18691</v>
      </c>
      <c r="E201" s="84">
        <v>18640</v>
      </c>
      <c r="F201" s="84">
        <v>18741</v>
      </c>
      <c r="G201" s="66">
        <f t="shared" si="74"/>
        <v>18691</v>
      </c>
      <c r="H201" s="85">
        <v>18700</v>
      </c>
      <c r="I201" s="66"/>
      <c r="J201" s="84">
        <v>18582</v>
      </c>
      <c r="K201" s="84">
        <v>18770</v>
      </c>
      <c r="L201" s="84">
        <v>18639</v>
      </c>
      <c r="M201" s="84">
        <v>18732</v>
      </c>
      <c r="N201" s="84">
        <v>18770</v>
      </c>
      <c r="O201" s="1"/>
      <c r="P201" s="36"/>
    </row>
    <row r="202" ht="15" customHeight="1">
      <c r="A202" s="1"/>
      <c r="B202" s="43" t="s">
        <v>69</v>
      </c>
      <c r="C202" s="35">
        <f t="shared" si="0"/>
        <v>0.0170595199655581</v>
      </c>
      <c r="D202" s="35">
        <f t="shared" si="0"/>
        <v>-0.00420884389984022</v>
      </c>
      <c r="E202" s="35">
        <f t="shared" si="0"/>
        <v>0.00005365094693932093</v>
      </c>
      <c r="F202" s="35">
        <f t="shared" si="0"/>
        <v>0.00048046124279310654</v>
      </c>
      <c r="G202" s="35">
        <f t="shared" si="0"/>
        <v>-0.00420884389984022</v>
      </c>
      <c r="H202" s="44">
        <f t="shared" si="8"/>
        <v>-0.010529657653844171</v>
      </c>
      <c r="I202" s="35"/>
      <c r="J202" s="35"/>
      <c r="K202" s="35"/>
      <c r="L202" s="35"/>
      <c r="M202" s="35"/>
      <c r="N202" s="35"/>
      <c r="O202" s="1"/>
      <c r="P202" s="36"/>
    </row>
    <row r="203" ht="15" customHeight="1">
      <c r="A203" s="1"/>
      <c r="B203" s="43" t="s">
        <v>155</v>
      </c>
      <c r="C203" s="62">
        <f t="shared" si="51"/>
        <v>167</v>
      </c>
      <c r="D203" s="62">
        <f t="shared" si="1"/>
        <v>-208</v>
      </c>
      <c r="E203" s="62">
        <f t="shared" si="1"/>
        <v>-51</v>
      </c>
      <c r="F203" s="62">
        <f t="shared" si="1"/>
        <v>101</v>
      </c>
      <c r="G203" s="62"/>
      <c r="H203" s="63">
        <f t="shared" si="52"/>
        <v>-41</v>
      </c>
      <c r="I203" s="62"/>
      <c r="J203" s="62"/>
      <c r="K203" s="62"/>
      <c r="L203" s="62"/>
      <c r="M203" s="62"/>
      <c r="N203" s="62"/>
      <c r="O203" s="1"/>
      <c r="P203" s="36"/>
    </row>
    <row r="204" ht="15" customHeight="1">
      <c r="A204" s="1"/>
      <c r="B204" s="41" t="s">
        <v>335</v>
      </c>
      <c r="C204" s="84">
        <v>37909</v>
      </c>
      <c r="D204" s="84">
        <v>37965</v>
      </c>
      <c r="E204" s="84">
        <v>37947</v>
      </c>
      <c r="F204" s="84">
        <v>38309</v>
      </c>
      <c r="G204" s="66">
        <f t="shared" si="74"/>
        <v>37965</v>
      </c>
      <c r="H204" s="85">
        <v>38400</v>
      </c>
      <c r="I204" s="66"/>
      <c r="J204" s="84">
        <v>36774</v>
      </c>
      <c r="K204" s="84">
        <v>37590</v>
      </c>
      <c r="L204" s="84">
        <v>36902</v>
      </c>
      <c r="M204" s="84">
        <v>37174</v>
      </c>
      <c r="N204" s="84">
        <v>37590</v>
      </c>
      <c r="O204" s="1"/>
      <c r="P204" s="36" t="s">
        <v>336</v>
      </c>
    </row>
    <row r="205" ht="15" customHeight="1">
      <c r="A205" s="1"/>
      <c r="B205" s="43" t="s">
        <v>69</v>
      </c>
      <c r="C205" s="35">
        <f t="shared" si="0"/>
        <v>0.030864197530864113</v>
      </c>
      <c r="D205" s="35">
        <f t="shared" si="0"/>
        <v>0.00997605746209107</v>
      </c>
      <c r="E205" s="35">
        <f t="shared" si="0"/>
        <v>0.028318248333423668</v>
      </c>
      <c r="F205" s="35">
        <f t="shared" si="0"/>
        <v>0.03053209232259113</v>
      </c>
      <c r="G205" s="35">
        <f t="shared" si="0"/>
        <v>0.00997605746209107</v>
      </c>
      <c r="H205" s="44">
        <f t="shared" si="8"/>
        <v>0.012952069429423174</v>
      </c>
      <c r="I205" s="35"/>
      <c r="J205" s="35"/>
      <c r="K205" s="35"/>
      <c r="L205" s="35"/>
      <c r="M205" s="35"/>
      <c r="N205" s="35"/>
      <c r="O205" s="1"/>
      <c r="P205" s="36"/>
    </row>
    <row r="206" ht="15" customHeight="1">
      <c r="A206" s="1"/>
      <c r="B206" s="43" t="s">
        <v>155</v>
      </c>
      <c r="C206" s="62">
        <f t="shared" si="51"/>
        <v>735</v>
      </c>
      <c r="D206" s="62">
        <f t="shared" si="1"/>
        <v>56</v>
      </c>
      <c r="E206" s="62">
        <f t="shared" si="1"/>
        <v>-18</v>
      </c>
      <c r="F206" s="62">
        <f t="shared" si="1"/>
        <v>362</v>
      </c>
      <c r="G206" s="62"/>
      <c r="H206" s="63">
        <f t="shared" si="52"/>
        <v>91</v>
      </c>
      <c r="I206" s="62"/>
      <c r="J206" s="62"/>
      <c r="K206" s="62"/>
      <c r="L206" s="62"/>
      <c r="M206" s="62"/>
      <c r="N206" s="62"/>
      <c r="O206" s="1"/>
      <c r="P206" s="36"/>
    </row>
    <row r="207" ht="15" customHeight="1">
      <c r="A207" s="1"/>
      <c r="B207" s="41" t="s">
        <v>337</v>
      </c>
      <c r="C207" s="84">
        <v>26914</v>
      </c>
      <c r="D207" s="84">
        <v>26823</v>
      </c>
      <c r="E207" s="84">
        <v>27002</v>
      </c>
      <c r="F207" s="84">
        <v>27382</v>
      </c>
      <c r="G207" s="66">
        <f t="shared" si="74"/>
        <v>26823</v>
      </c>
      <c r="H207" s="85">
        <v>27400</v>
      </c>
      <c r="I207" s="66"/>
      <c r="J207" s="84">
        <v>26969</v>
      </c>
      <c r="K207" s="84">
        <v>26983</v>
      </c>
      <c r="L207" s="84">
        <v>26671</v>
      </c>
      <c r="M207" s="84">
        <v>26467</v>
      </c>
      <c r="N207" s="84">
        <v>26983</v>
      </c>
      <c r="O207" s="1"/>
      <c r="P207" s="36"/>
    </row>
    <row r="208" ht="15" customHeight="1">
      <c r="A208" s="1"/>
      <c r="B208" s="43" t="s">
        <v>69</v>
      </c>
      <c r="C208" s="35">
        <f t="shared" si="0"/>
        <v>-0.002039378545737658</v>
      </c>
      <c r="D208" s="35">
        <f t="shared" si="0"/>
        <v>-0.005929659415187305</v>
      </c>
      <c r="E208" s="35">
        <f t="shared" si="0"/>
        <v>0.012410483296464214</v>
      </c>
      <c r="F208" s="35">
        <f t="shared" si="0"/>
        <v>0.034571353005629746</v>
      </c>
      <c r="G208" s="35">
        <f t="shared" si="0"/>
        <v>-0.005929659415187305</v>
      </c>
      <c r="H208" s="44">
        <f t="shared" si="8"/>
        <v>0.01805751653414589</v>
      </c>
      <c r="I208" s="35"/>
      <c r="J208" s="35"/>
      <c r="K208" s="35"/>
      <c r="L208" s="35"/>
      <c r="M208" s="35"/>
      <c r="N208" s="35"/>
      <c r="O208" s="1"/>
      <c r="P208" s="36"/>
    </row>
    <row r="209" ht="15" customHeight="1">
      <c r="A209" s="1"/>
      <c r="B209" s="43" t="s">
        <v>155</v>
      </c>
      <c r="C209" s="62">
        <f t="shared" si="51"/>
        <v>447</v>
      </c>
      <c r="D209" s="62">
        <f t="shared" si="1"/>
        <v>-91</v>
      </c>
      <c r="E209" s="62">
        <f t="shared" si="1"/>
        <v>179</v>
      </c>
      <c r="F209" s="62">
        <f t="shared" si="1"/>
        <v>380</v>
      </c>
      <c r="G209" s="62"/>
      <c r="H209" s="63">
        <f t="shared" si="52"/>
        <v>18</v>
      </c>
      <c r="I209" s="62"/>
      <c r="J209" s="62"/>
      <c r="K209" s="62"/>
      <c r="L209" s="62"/>
      <c r="M209" s="62"/>
      <c r="N209" s="62"/>
      <c r="O209" s="1"/>
      <c r="P209" s="36"/>
    </row>
    <row r="210" ht="15" customHeight="1">
      <c r="A210" s="1"/>
      <c r="B210" s="41" t="s">
        <v>338</v>
      </c>
      <c r="C210" s="84">
        <v>7258</v>
      </c>
      <c r="D210" s="84">
        <v>7337</v>
      </c>
      <c r="E210" s="84">
        <v>7390</v>
      </c>
      <c r="F210" s="84">
        <v>7415</v>
      </c>
      <c r="G210" s="66">
        <f t="shared" si="74"/>
        <v>7337</v>
      </c>
      <c r="H210" s="85">
        <v>7450</v>
      </c>
      <c r="I210" s="66"/>
      <c r="J210" s="84">
        <v>6878</v>
      </c>
      <c r="K210" s="84">
        <v>6971</v>
      </c>
      <c r="L210" s="84">
        <v>6949</v>
      </c>
      <c r="M210" s="84">
        <v>7157</v>
      </c>
      <c r="N210" s="84">
        <v>6971</v>
      </c>
      <c r="O210" s="1"/>
      <c r="P210" s="36" t="s">
        <v>339</v>
      </c>
    </row>
    <row r="211" ht="15" customHeight="1">
      <c r="A211" s="1"/>
      <c r="B211" s="43" t="s">
        <v>69</v>
      </c>
      <c r="C211" s="35">
        <f t="shared" si="0"/>
        <v>0.05524861878453047</v>
      </c>
      <c r="D211" s="35">
        <f t="shared" si="0"/>
        <v>0.05250322765743798</v>
      </c>
      <c r="E211" s="35">
        <f t="shared" si="0"/>
        <v>0.06346236868614197</v>
      </c>
      <c r="F211" s="35">
        <f t="shared" si="0"/>
        <v>0.036048623725024376</v>
      </c>
      <c r="G211" s="35">
        <f t="shared" si="0"/>
        <v>0.05250322765743798</v>
      </c>
      <c r="H211" s="44">
        <f t="shared" si="8"/>
        <v>0.026453568476164202</v>
      </c>
      <c r="I211" s="35"/>
      <c r="J211" s="35"/>
      <c r="K211" s="35"/>
      <c r="L211" s="35"/>
      <c r="M211" s="35"/>
      <c r="N211" s="35"/>
      <c r="O211" s="1"/>
      <c r="P211" s="36"/>
    </row>
    <row r="212" ht="15" customHeight="1">
      <c r="A212" s="1"/>
      <c r="B212" s="43" t="s">
        <v>155</v>
      </c>
      <c r="C212" s="62">
        <f t="shared" si="51"/>
        <v>101</v>
      </c>
      <c r="D212" s="62">
        <f t="shared" si="1"/>
        <v>79</v>
      </c>
      <c r="E212" s="62">
        <f t="shared" si="1"/>
        <v>53</v>
      </c>
      <c r="F212" s="62">
        <f t="shared" si="1"/>
        <v>25</v>
      </c>
      <c r="G212" s="62"/>
      <c r="H212" s="63">
        <f t="shared" si="52"/>
        <v>35</v>
      </c>
      <c r="I212" s="62"/>
      <c r="J212" s="62"/>
      <c r="K212" s="62"/>
      <c r="L212" s="62"/>
      <c r="M212" s="62"/>
      <c r="N212" s="62"/>
      <c r="O212" s="1"/>
      <c r="P212" s="36"/>
    </row>
    <row r="213" ht="15" customHeight="1">
      <c r="A213" s="1"/>
      <c r="B213" s="41" t="s">
        <v>340</v>
      </c>
      <c r="C213" s="84">
        <v>5289</v>
      </c>
      <c r="D213" s="84">
        <v>5277</v>
      </c>
      <c r="E213" s="84">
        <v>5374</v>
      </c>
      <c r="F213" s="84">
        <v>5419</v>
      </c>
      <c r="G213" s="66">
        <f t="shared" si="74"/>
        <v>5277</v>
      </c>
      <c r="H213" s="85">
        <v>5450</v>
      </c>
      <c r="I213" s="66"/>
      <c r="J213" s="84">
        <v>5023</v>
      </c>
      <c r="K213" s="84">
        <v>5161</v>
      </c>
      <c r="L213" s="84">
        <v>5164</v>
      </c>
      <c r="M213" s="84">
        <v>5252</v>
      </c>
      <c r="N213" s="84">
        <v>5161</v>
      </c>
      <c r="O213" s="1"/>
      <c r="P213" s="36"/>
    </row>
    <row r="214" ht="15" customHeight="1">
      <c r="A214" s="1"/>
      <c r="B214" s="43" t="s">
        <v>69</v>
      </c>
      <c r="C214" s="35">
        <f t="shared" si="0"/>
        <v>0.05295640055743589</v>
      </c>
      <c r="D214" s="35">
        <f t="shared" si="0"/>
        <v>0.022476264289866377</v>
      </c>
      <c r="E214" s="35">
        <f t="shared" si="0"/>
        <v>0.04066615027110765</v>
      </c>
      <c r="F214" s="35">
        <f t="shared" si="0"/>
        <v>0.03179741051028184</v>
      </c>
      <c r="G214" s="35">
        <f t="shared" si="0"/>
        <v>0.022476264289866377</v>
      </c>
      <c r="H214" s="44">
        <f t="shared" si="8"/>
        <v>0.030440536963509235</v>
      </c>
      <c r="I214" s="35"/>
      <c r="J214" s="35"/>
      <c r="K214" s="35"/>
      <c r="L214" s="35"/>
      <c r="M214" s="35"/>
      <c r="N214" s="35"/>
      <c r="O214" s="1"/>
      <c r="P214" s="36"/>
    </row>
    <row r="215" ht="15" customHeight="1">
      <c r="A215" s="1"/>
      <c r="B215" s="43" t="s">
        <v>155</v>
      </c>
      <c r="C215" s="62">
        <f t="shared" si="51"/>
        <v>37</v>
      </c>
      <c r="D215" s="62">
        <f t="shared" si="1"/>
        <v>-12</v>
      </c>
      <c r="E215" s="62">
        <f t="shared" si="1"/>
        <v>97</v>
      </c>
      <c r="F215" s="62">
        <f t="shared" si="1"/>
        <v>45</v>
      </c>
      <c r="G215" s="62"/>
      <c r="H215" s="63">
        <f t="shared" si="52"/>
        <v>31</v>
      </c>
      <c r="I215" s="62"/>
      <c r="J215" s="62"/>
      <c r="K215" s="62"/>
      <c r="L215" s="62"/>
      <c r="M215" s="62"/>
      <c r="N215" s="62"/>
      <c r="O215" s="1"/>
      <c r="P215" s="36"/>
    </row>
    <row r="216" ht="15" customHeight="1">
      <c r="A216" s="1"/>
      <c r="B216" s="43" t="s">
        <v>80</v>
      </c>
      <c r="C216" s="86">
        <v>-1</v>
      </c>
      <c r="D216" s="62"/>
      <c r="E216" s="86">
        <v>1</v>
      </c>
      <c r="F216" s="86">
        <v>1</v>
      </c>
      <c r="G216" s="62">
        <f t="shared" si="74"/>
        <v>0</v>
      </c>
      <c r="H216" s="63"/>
      <c r="I216" s="62"/>
      <c r="J216" s="62"/>
      <c r="K216" s="62"/>
      <c r="L216" s="62"/>
      <c r="M216" s="86">
        <v>-1</v>
      </c>
      <c r="N216" s="62"/>
      <c r="O216" s="1"/>
      <c r="P216" s="36" t="s">
        <v>81</v>
      </c>
    </row>
    <row r="217" ht="15" customHeight="1">
      <c r="A217" s="1"/>
      <c r="B217" s="25" t="s">
        <v>341</v>
      </c>
      <c r="C217" s="87">
        <f t="shared" si="75" ref="C217:N217">C198+C201+C204+C207+C210+C213+C216</f>
        <v>110730</v>
      </c>
      <c r="D217" s="87">
        <f t="shared" si="75"/>
        <v>110650</v>
      </c>
      <c r="E217" s="87">
        <f t="shared" si="75"/>
        <v>111038</v>
      </c>
      <c r="F217" s="87">
        <f t="shared" si="75"/>
        <v>112019</v>
      </c>
      <c r="G217" s="87">
        <f t="shared" si="74"/>
        <v>110650</v>
      </c>
      <c r="H217" s="88">
        <f t="shared" si="75"/>
        <v>112200</v>
      </c>
      <c r="I217" s="87"/>
      <c r="J217" s="87">
        <f t="shared" si="75"/>
        <v>107583</v>
      </c>
      <c r="K217" s="87">
        <f t="shared" si="75"/>
        <v>109121</v>
      </c>
      <c r="L217" s="87">
        <f t="shared" si="75"/>
        <v>108187</v>
      </c>
      <c r="M217" s="87">
        <f t="shared" si="75"/>
        <v>108929</v>
      </c>
      <c r="N217" s="87">
        <f t="shared" si="75"/>
        <v>109121</v>
      </c>
      <c r="O217" s="1"/>
      <c r="P217" s="36"/>
    </row>
    <row r="218" ht="15" customHeight="1">
      <c r="A218" s="1"/>
      <c r="B218" s="41" t="s">
        <v>342</v>
      </c>
      <c r="C218" s="66">
        <f>(C204+M204)/2</f>
        <v>37541.5</v>
      </c>
      <c r="D218" s="66">
        <f t="shared" si="76" ref="D218:F218">(D204+C204)/2</f>
        <v>37937</v>
      </c>
      <c r="E218" s="66">
        <f t="shared" si="76"/>
        <v>37956</v>
      </c>
      <c r="F218" s="66">
        <f t="shared" si="76"/>
        <v>38128</v>
      </c>
      <c r="G218" s="66"/>
      <c r="H218" s="67">
        <f>(H204+F204)/2</f>
        <v>38354.5</v>
      </c>
      <c r="I218" s="66"/>
      <c r="J218" s="66"/>
      <c r="K218" s="66"/>
      <c r="L218" s="66"/>
      <c r="M218" s="66"/>
      <c r="N218" s="66"/>
      <c r="O218" s="1"/>
      <c r="P218" s="36"/>
    </row>
    <row r="219" ht="15" customHeight="1">
      <c r="A219" s="1"/>
      <c r="B219" s="41" t="s">
        <v>343</v>
      </c>
      <c r="C219" s="21">
        <f t="shared" si="77" ref="C219:N219">-C119-C176</f>
        <v>1487</v>
      </c>
      <c r="D219" s="21">
        <f t="shared" si="77"/>
        <v>1578</v>
      </c>
      <c r="E219" s="21">
        <f t="shared" si="77"/>
        <v>1577</v>
      </c>
      <c r="F219" s="21">
        <f t="shared" si="77"/>
        <v>1641</v>
      </c>
      <c r="G219" s="21">
        <f t="shared" si="77"/>
        <v>6027</v>
      </c>
      <c r="H219" s="59">
        <f t="shared" si="82" ref="H219:H231">H218*H221/1000</f>
        <v>1654.996675</v>
      </c>
      <c r="I219" s="21"/>
      <c r="J219" s="21">
        <f t="shared" si="77"/>
        <v>1399</v>
      </c>
      <c r="K219" s="21">
        <f t="shared" si="77"/>
        <v>1493</v>
      </c>
      <c r="L219" s="21">
        <f t="shared" si="77"/>
        <v>1536</v>
      </c>
      <c r="M219" s="21">
        <f t="shared" si="77"/>
        <v>1426</v>
      </c>
      <c r="N219" s="21">
        <f t="shared" si="77"/>
        <v>5757</v>
      </c>
      <c r="O219" s="1"/>
      <c r="P219" s="36" t="s">
        <v>344</v>
      </c>
    </row>
    <row r="220" ht="15" customHeight="1">
      <c r="A220" s="1"/>
      <c r="B220" s="43" t="s">
        <v>69</v>
      </c>
      <c r="C220" s="35">
        <f t="shared" si="0"/>
        <v>0.0629020729092209</v>
      </c>
      <c r="D220" s="35">
        <f t="shared" si="0"/>
        <v>0.056932350971198975</v>
      </c>
      <c r="E220" s="35">
        <f t="shared" si="0"/>
        <v>0.02669270833333326</v>
      </c>
      <c r="F220" s="35">
        <f t="shared" si="0"/>
        <v>0.15077138849929872</v>
      </c>
      <c r="G220" s="35">
        <f t="shared" si="0"/>
        <v>0.04689942678478376</v>
      </c>
      <c r="H220" s="44">
        <f t="shared" si="8"/>
        <v>0.11297691661062559</v>
      </c>
      <c r="I220" s="35"/>
      <c r="J220" s="35"/>
      <c r="K220" s="35"/>
      <c r="L220" s="35"/>
      <c r="M220" s="35"/>
      <c r="N220" s="35"/>
      <c r="O220" s="1"/>
      <c r="P220" s="36"/>
    </row>
    <row r="221" ht="15" customHeight="1">
      <c r="A221" s="1"/>
      <c r="B221" s="41" t="s">
        <v>345</v>
      </c>
      <c r="C221" s="21">
        <f t="shared" si="78" ref="C221:F233">_xlfn.IFERROR(C219/C218*1000,"n/a")</f>
        <v>39.60949882130442</v>
      </c>
      <c r="D221" s="21">
        <f t="shared" si="78"/>
        <v>41.595276379260355</v>
      </c>
      <c r="E221" s="21">
        <f t="shared" si="78"/>
        <v>41.54810833596796</v>
      </c>
      <c r="F221" s="21">
        <f t="shared" si="78"/>
        <v>43.03923625681914</v>
      </c>
      <c r="G221" s="21"/>
      <c r="H221" s="68">
        <v>43.15</v>
      </c>
      <c r="I221" s="21"/>
      <c r="J221" s="21"/>
      <c r="K221" s="21"/>
      <c r="L221" s="21"/>
      <c r="M221" s="21"/>
      <c r="N221" s="21"/>
      <c r="O221" s="1"/>
      <c r="P221" s="36" t="s">
        <v>346</v>
      </c>
    </row>
    <row r="222" ht="15" customHeight="1">
      <c r="A222" s="1"/>
      <c r="B222" s="43" t="s">
        <v>158</v>
      </c>
      <c r="C222" s="45" t="s">
        <v>41</v>
      </c>
      <c r="D222" s="45" t="s">
        <v>41</v>
      </c>
      <c r="E222" s="45" t="s">
        <v>41</v>
      </c>
      <c r="F222" s="45" t="s">
        <v>41</v>
      </c>
      <c r="G222" s="45"/>
      <c r="H222" s="46">
        <f t="shared" si="83" ref="H222:H234">_xlfn.IFERROR(H221-C221,"n/a")</f>
        <v>3.5405011786955782</v>
      </c>
      <c r="I222" s="45"/>
      <c r="J222" s="45"/>
      <c r="K222" s="45"/>
      <c r="L222" s="45"/>
      <c r="M222" s="45"/>
      <c r="N222" s="45"/>
      <c r="O222" s="1"/>
      <c r="P222" s="36" t="s">
        <v>159</v>
      </c>
    </row>
    <row r="223" ht="15" customHeight="1">
      <c r="A223" s="1"/>
      <c r="B223" s="43" t="s">
        <v>160</v>
      </c>
      <c r="C223" s="45"/>
      <c r="D223" s="45">
        <f t="shared" si="79" ref="D223:F235">_xlfn.IFERROR(D221-C221,"n/a")</f>
        <v>1.9857775579559345</v>
      </c>
      <c r="E223" s="45">
        <f t="shared" si="79"/>
        <v>-0.04716804329239466</v>
      </c>
      <c r="F223" s="45">
        <f t="shared" si="79"/>
        <v>1.4911279208511772</v>
      </c>
      <c r="G223" s="45"/>
      <c r="H223" s="46">
        <f t="shared" si="84" ref="H223:H235">_xlfn.IFERROR(H221-F221,"n/a")</f>
        <v>0.11076374318086124</v>
      </c>
      <c r="I223" s="45"/>
      <c r="J223" s="45"/>
      <c r="K223" s="45"/>
      <c r="L223" s="45"/>
      <c r="M223" s="45"/>
      <c r="N223" s="45"/>
      <c r="O223" s="1"/>
      <c r="P223" s="36"/>
    </row>
    <row r="224" ht="15" customHeight="1">
      <c r="A224" s="1"/>
      <c r="B224" s="41" t="s">
        <v>347</v>
      </c>
      <c r="C224" s="66">
        <f>(C207+M207)/2</f>
        <v>26690.5</v>
      </c>
      <c r="D224" s="66">
        <f t="shared" si="80" ref="D224:F224">(D207+C207)/2</f>
        <v>26868.5</v>
      </c>
      <c r="E224" s="66">
        <f t="shared" si="80"/>
        <v>26912.5</v>
      </c>
      <c r="F224" s="66">
        <f t="shared" si="80"/>
        <v>27192</v>
      </c>
      <c r="G224" s="66"/>
      <c r="H224" s="67">
        <f>(H207+F207)/2</f>
        <v>27391</v>
      </c>
      <c r="I224" s="66"/>
      <c r="J224" s="66"/>
      <c r="K224" s="66"/>
      <c r="L224" s="66"/>
      <c r="M224" s="66"/>
      <c r="N224" s="66"/>
      <c r="O224" s="1"/>
      <c r="P224" s="36"/>
    </row>
    <row r="225" ht="15" customHeight="1">
      <c r="A225" s="1"/>
      <c r="B225" s="41" t="s">
        <v>348</v>
      </c>
      <c r="C225" s="21">
        <f t="shared" si="81" ref="C225:N225">-C123-C177</f>
        <v>1971</v>
      </c>
      <c r="D225" s="21">
        <f t="shared" si="81"/>
        <v>2133</v>
      </c>
      <c r="E225" s="21">
        <f t="shared" si="81"/>
        <v>1993</v>
      </c>
      <c r="F225" s="21">
        <f t="shared" si="81"/>
        <v>2123</v>
      </c>
      <c r="G225" s="21">
        <f t="shared" si="81"/>
        <v>8001</v>
      </c>
      <c r="H225" s="59">
        <f t="shared" si="82"/>
        <v>2059.8032000000003</v>
      </c>
      <c r="I225" s="21"/>
      <c r="J225" s="21">
        <f t="shared" si="81"/>
        <v>1848</v>
      </c>
      <c r="K225" s="21">
        <f t="shared" si="81"/>
        <v>2243</v>
      </c>
      <c r="L225" s="21">
        <f t="shared" si="81"/>
        <v>1989</v>
      </c>
      <c r="M225" s="21">
        <f t="shared" si="81"/>
        <v>1908</v>
      </c>
      <c r="N225" s="21">
        <f t="shared" si="81"/>
        <v>7980</v>
      </c>
      <c r="O225" s="1"/>
      <c r="P225" s="36" t="s">
        <v>349</v>
      </c>
    </row>
    <row r="226" ht="15" customHeight="1">
      <c r="A226" s="1"/>
      <c r="B226" s="43" t="s">
        <v>69</v>
      </c>
      <c r="C226" s="35">
        <f t="shared" si="0"/>
        <v>0.06655844155844148</v>
      </c>
      <c r="D226" s="35">
        <f t="shared" si="0"/>
        <v>-0.04904146232724027</v>
      </c>
      <c r="E226" s="35">
        <f t="shared" si="0"/>
        <v>0.002011060834590239</v>
      </c>
      <c r="F226" s="35">
        <f t="shared" si="0"/>
        <v>0.11268343815513626</v>
      </c>
      <c r="G226" s="35">
        <f t="shared" si="0"/>
        <v>0.002631578947368318</v>
      </c>
      <c r="H226" s="44">
        <f t="shared" si="8"/>
        <v>0.04505489599188239</v>
      </c>
      <c r="I226" s="35"/>
      <c r="J226" s="35"/>
      <c r="K226" s="35"/>
      <c r="L226" s="35"/>
      <c r="M226" s="35"/>
      <c r="N226" s="35"/>
      <c r="O226" s="1"/>
      <c r="P226" s="36"/>
    </row>
    <row r="227" ht="15" customHeight="1">
      <c r="A227" s="1"/>
      <c r="B227" s="41" t="s">
        <v>350</v>
      </c>
      <c r="C227" s="21">
        <f t="shared" si="78"/>
        <v>73.84649969090127</v>
      </c>
      <c r="D227" s="21">
        <f t="shared" si="78"/>
        <v>79.38664235070809</v>
      </c>
      <c r="E227" s="21">
        <f t="shared" si="78"/>
        <v>74.05480724570367</v>
      </c>
      <c r="F227" s="21">
        <f t="shared" si="78"/>
        <v>78.07443365695794</v>
      </c>
      <c r="G227" s="21"/>
      <c r="H227" s="68">
        <v>75.2</v>
      </c>
      <c r="I227" s="21"/>
      <c r="J227" s="21"/>
      <c r="K227" s="21"/>
      <c r="L227" s="21"/>
      <c r="M227" s="21"/>
      <c r="N227" s="21"/>
      <c r="O227" s="1"/>
      <c r="P227" s="36" t="s">
        <v>351</v>
      </c>
    </row>
    <row r="228" ht="15" customHeight="1">
      <c r="A228" s="1"/>
      <c r="B228" s="43" t="s">
        <v>158</v>
      </c>
      <c r="C228" s="45" t="s">
        <v>41</v>
      </c>
      <c r="D228" s="45" t="s">
        <v>41</v>
      </c>
      <c r="E228" s="45" t="s">
        <v>41</v>
      </c>
      <c r="F228" s="45" t="s">
        <v>41</v>
      </c>
      <c r="G228" s="45"/>
      <c r="H228" s="46">
        <f t="shared" si="83"/>
        <v>1.3535003090987345</v>
      </c>
      <c r="I228" s="45"/>
      <c r="J228" s="45"/>
      <c r="K228" s="45"/>
      <c r="L228" s="45"/>
      <c r="M228" s="45"/>
      <c r="N228" s="45"/>
      <c r="O228" s="1"/>
      <c r="P228" s="36" t="s">
        <v>159</v>
      </c>
    </row>
    <row r="229" ht="15" customHeight="1">
      <c r="A229" s="1"/>
      <c r="B229" s="43" t="s">
        <v>160</v>
      </c>
      <c r="C229" s="45"/>
      <c r="D229" s="45">
        <f t="shared" si="79"/>
        <v>5.540142659806818</v>
      </c>
      <c r="E229" s="45">
        <f t="shared" si="79"/>
        <v>-5.331835105004416</v>
      </c>
      <c r="F229" s="45">
        <f t="shared" si="79"/>
        <v>4.019626411254265</v>
      </c>
      <c r="G229" s="45"/>
      <c r="H229" s="46">
        <f t="shared" si="84"/>
        <v>-2.874433656957933</v>
      </c>
      <c r="I229" s="45"/>
      <c r="J229" s="45"/>
      <c r="K229" s="45"/>
      <c r="L229" s="45"/>
      <c r="M229" s="45"/>
      <c r="N229" s="45"/>
      <c r="O229" s="1"/>
      <c r="P229" s="36"/>
    </row>
    <row r="230" ht="15" customHeight="1">
      <c r="A230" s="1"/>
      <c r="B230" s="41" t="s">
        <v>352</v>
      </c>
      <c r="C230" s="66">
        <f>(C210+M210)/2</f>
        <v>7207.5</v>
      </c>
      <c r="D230" s="66">
        <f t="shared" si="85" ref="D230:F230">(D210+C210)/2</f>
        <v>7297.5</v>
      </c>
      <c r="E230" s="66">
        <f t="shared" si="85"/>
        <v>7363.5</v>
      </c>
      <c r="F230" s="66">
        <f t="shared" si="85"/>
        <v>7402.5</v>
      </c>
      <c r="G230" s="66"/>
      <c r="H230" s="67">
        <f>(H210+F210)/2</f>
        <v>7432.5</v>
      </c>
      <c r="I230" s="66"/>
      <c r="J230" s="66"/>
      <c r="K230" s="66"/>
      <c r="L230" s="66"/>
      <c r="M230" s="66"/>
      <c r="N230" s="66"/>
      <c r="O230" s="1"/>
      <c r="P230" s="36"/>
    </row>
    <row r="231" ht="15" customHeight="1">
      <c r="A231" s="1"/>
      <c r="B231" s="41" t="s">
        <v>353</v>
      </c>
      <c r="C231" s="21">
        <f t="shared" si="86" ref="C231:N231">-C127-C178</f>
        <v>332</v>
      </c>
      <c r="D231" s="21">
        <f t="shared" si="86"/>
        <v>370</v>
      </c>
      <c r="E231" s="21">
        <f t="shared" si="86"/>
        <v>340</v>
      </c>
      <c r="F231" s="21">
        <f t="shared" si="86"/>
        <v>365</v>
      </c>
      <c r="G231" s="21">
        <f t="shared" si="86"/>
        <v>1335</v>
      </c>
      <c r="H231" s="59">
        <f t="shared" si="82"/>
        <v>364.93575</v>
      </c>
      <c r="I231" s="21"/>
      <c r="J231" s="21">
        <f t="shared" si="86"/>
        <v>307</v>
      </c>
      <c r="K231" s="21">
        <f t="shared" si="86"/>
        <v>312</v>
      </c>
      <c r="L231" s="21">
        <f t="shared" si="86"/>
        <v>318</v>
      </c>
      <c r="M231" s="21">
        <f t="shared" si="86"/>
        <v>315</v>
      </c>
      <c r="N231" s="21">
        <f t="shared" si="86"/>
        <v>1192</v>
      </c>
      <c r="O231" s="1"/>
      <c r="P231" s="36" t="s">
        <v>354</v>
      </c>
    </row>
    <row r="232" ht="15" customHeight="1">
      <c r="A232" s="1"/>
      <c r="B232" s="43" t="s">
        <v>69</v>
      </c>
      <c r="C232" s="35">
        <f t="shared" si="0"/>
        <v>0.08143322475570036</v>
      </c>
      <c r="D232" s="35">
        <f t="shared" si="0"/>
        <v>0.1858974358974359</v>
      </c>
      <c r="E232" s="35">
        <f t="shared" si="0"/>
        <v>0.0691823899371069</v>
      </c>
      <c r="F232" s="35">
        <f t="shared" si="0"/>
        <v>0.15873015873015883</v>
      </c>
      <c r="G232" s="35">
        <f t="shared" si="0"/>
        <v>0.11996644295302006</v>
      </c>
      <c r="H232" s="44">
        <f t="shared" si="8"/>
        <v>0.09920406626506018</v>
      </c>
      <c r="I232" s="35"/>
      <c r="J232" s="35"/>
      <c r="K232" s="35"/>
      <c r="L232" s="35"/>
      <c r="M232" s="35"/>
      <c r="N232" s="35"/>
      <c r="O232" s="1"/>
      <c r="P232" s="36"/>
    </row>
    <row r="233" ht="15" customHeight="1">
      <c r="A233" s="1"/>
      <c r="B233" s="41" t="s">
        <v>355</v>
      </c>
      <c r="C233" s="21">
        <f t="shared" si="78"/>
        <v>46.06312868539716</v>
      </c>
      <c r="D233" s="21">
        <f t="shared" si="78"/>
        <v>50.70229530661186</v>
      </c>
      <c r="E233" s="21">
        <f t="shared" si="78"/>
        <v>46.17369457459089</v>
      </c>
      <c r="F233" s="21">
        <f t="shared" si="78"/>
        <v>49.30766632894292</v>
      </c>
      <c r="G233" s="21"/>
      <c r="H233" s="68">
        <v>49.1</v>
      </c>
      <c r="I233" s="21"/>
      <c r="J233" s="21"/>
      <c r="K233" s="21"/>
      <c r="L233" s="21"/>
      <c r="M233" s="21"/>
      <c r="N233" s="21"/>
      <c r="O233" s="1"/>
      <c r="P233" s="36" t="s">
        <v>356</v>
      </c>
    </row>
    <row r="234" ht="15" customHeight="1">
      <c r="A234" s="1"/>
      <c r="B234" s="43" t="s">
        <v>158</v>
      </c>
      <c r="C234" s="45" t="s">
        <v>41</v>
      </c>
      <c r="D234" s="45" t="s">
        <v>41</v>
      </c>
      <c r="E234" s="45" t="s">
        <v>41</v>
      </c>
      <c r="F234" s="45" t="s">
        <v>41</v>
      </c>
      <c r="G234" s="45"/>
      <c r="H234" s="46">
        <f t="shared" si="83"/>
        <v>3.036871314602841</v>
      </c>
      <c r="I234" s="45"/>
      <c r="J234" s="45"/>
      <c r="K234" s="45"/>
      <c r="L234" s="45"/>
      <c r="M234" s="45"/>
      <c r="N234" s="45"/>
      <c r="O234" s="1"/>
      <c r="P234" s="36" t="s">
        <v>159</v>
      </c>
    </row>
    <row r="235" ht="15" customHeight="1">
      <c r="A235" s="1"/>
      <c r="B235" s="43" t="s">
        <v>160</v>
      </c>
      <c r="C235" s="45"/>
      <c r="D235" s="45">
        <f t="shared" si="79"/>
        <v>4.639166621214699</v>
      </c>
      <c r="E235" s="45">
        <f t="shared" si="79"/>
        <v>-4.528600732020969</v>
      </c>
      <c r="F235" s="45">
        <f t="shared" si="79"/>
        <v>3.1339717543520322</v>
      </c>
      <c r="G235" s="45"/>
      <c r="H235" s="46">
        <f t="shared" si="84"/>
        <v>-0.20766632894292059</v>
      </c>
      <c r="I235" s="45"/>
      <c r="J235" s="45"/>
      <c r="K235" s="45"/>
      <c r="L235" s="45"/>
      <c r="M235" s="45"/>
      <c r="N235" s="45"/>
      <c r="O235" s="1"/>
      <c r="P235" s="36"/>
    </row>
    <row r="236" ht="15" customHeight="1">
      <c r="A236" s="1"/>
      <c r="B236" s="58" t="s">
        <v>357</v>
      </c>
      <c r="C236" s="35"/>
      <c r="D236" s="35"/>
      <c r="E236" s="35"/>
      <c r="F236" s="35"/>
      <c r="G236" s="35"/>
      <c r="H236" s="57">
        <v>0.25</v>
      </c>
      <c r="I236" s="35"/>
      <c r="J236" s="35"/>
      <c r="K236" s="35"/>
      <c r="L236" s="35"/>
      <c r="M236" s="35"/>
      <c r="N236" s="35"/>
      <c r="O236" s="1"/>
      <c r="P236" s="36" t="s">
        <v>358</v>
      </c>
    </row>
    <row r="237" ht="15" customHeight="1">
      <c r="A237" s="1"/>
      <c r="B237" s="58" t="s">
        <v>359</v>
      </c>
      <c r="C237" s="35"/>
      <c r="D237" s="35"/>
      <c r="E237" s="35"/>
      <c r="F237" s="35"/>
      <c r="G237" s="35"/>
      <c r="H237" s="57">
        <v>0.65</v>
      </c>
      <c r="I237" s="35"/>
      <c r="J237" s="35"/>
      <c r="K237" s="35"/>
      <c r="L237" s="35"/>
      <c r="M237" s="35"/>
      <c r="N237" s="35"/>
      <c r="O237" s="1"/>
      <c r="P237" s="36"/>
    </row>
    <row r="238" ht="15" customHeight="1">
      <c r="A238" s="1"/>
      <c r="B238" s="58" t="s">
        <v>360</v>
      </c>
      <c r="C238" s="35"/>
      <c r="D238" s="35"/>
      <c r="E238" s="35"/>
      <c r="F238" s="35"/>
      <c r="G238" s="35"/>
      <c r="H238" s="57">
        <v>0.09</v>
      </c>
      <c r="I238" s="35"/>
      <c r="J238" s="35"/>
      <c r="K238" s="35"/>
      <c r="L238" s="35"/>
      <c r="M238" s="35"/>
      <c r="N238" s="35"/>
      <c r="O238" s="1"/>
      <c r="P238" s="36"/>
    </row>
    <row r="239" ht="15" customHeight="1">
      <c r="A239" s="1"/>
      <c r="B239" s="58" t="s">
        <v>361</v>
      </c>
      <c r="C239" s="35"/>
      <c r="D239" s="35"/>
      <c r="E239" s="35"/>
      <c r="F239" s="35"/>
      <c r="G239" s="35"/>
      <c r="H239" s="44">
        <f>1-H236-H237-H238</f>
        <v>0.009999999999999981</v>
      </c>
      <c r="I239" s="35"/>
      <c r="J239" s="35"/>
      <c r="K239" s="35"/>
      <c r="L239" s="35"/>
      <c r="M239" s="35"/>
      <c r="N239" s="35"/>
      <c r="O239" s="1"/>
      <c r="P239" s="36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524FB9E-1348-F07B-E8D7-F52C217D5AD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2.00390625" customWidth="1"/>
    <col min="10" max="10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</row>
    <row r="3" ht="15" customHeight="1">
      <c r="A3" s="1"/>
      <c r="B3" s="3" t="s">
        <v>362</v>
      </c>
      <c r="C3" s="1"/>
      <c r="D3" s="1"/>
      <c r="E3" s="1"/>
      <c r="F3" s="1"/>
      <c r="G3" s="1"/>
      <c r="H3" s="1"/>
      <c r="I3" s="1"/>
      <c r="J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ht="15" customHeight="1">
      <c r="A6" s="1"/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7" t="s">
        <v>9</v>
      </c>
      <c r="I6" s="1"/>
      <c r="J6" s="3" t="s">
        <v>65</v>
      </c>
    </row>
    <row r="7" ht="15" customHeight="1">
      <c r="A7" s="1"/>
      <c r="B7" s="8" t="s">
        <v>10</v>
      </c>
      <c r="C7" s="9">
        <v>45930</v>
      </c>
      <c r="D7" s="9">
        <v>46022</v>
      </c>
      <c r="E7" s="9">
        <v>46112</v>
      </c>
      <c r="F7" s="9">
        <v>46203</v>
      </c>
      <c r="G7" s="9">
        <v>46022</v>
      </c>
      <c r="H7" s="10">
        <v>46295</v>
      </c>
      <c r="I7" s="1"/>
      <c r="J7" s="1"/>
    </row>
    <row r="8" ht="15" customHeight="1">
      <c r="A8" s="1"/>
      <c r="B8" s="11" t="s">
        <v>11</v>
      </c>
      <c r="C8" s="12">
        <v>92</v>
      </c>
      <c r="D8" s="12">
        <v>92</v>
      </c>
      <c r="E8" s="12">
        <v>90</v>
      </c>
      <c r="F8" s="12">
        <v>91</v>
      </c>
      <c r="G8" s="12">
        <v>365</v>
      </c>
      <c r="H8" s="13">
        <v>92</v>
      </c>
      <c r="I8" s="1"/>
      <c r="J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36"/>
    </row>
    <row r="10" ht="15" customHeight="1">
      <c r="A10" s="1"/>
      <c r="B10" s="25" t="s">
        <v>363</v>
      </c>
      <c r="C10" s="1"/>
      <c r="D10" s="1"/>
      <c r="E10" s="1"/>
      <c r="F10" s="1"/>
      <c r="G10" s="1"/>
      <c r="H10" s="40"/>
      <c r="I10" s="1"/>
      <c r="J10" s="36"/>
    </row>
    <row r="11" ht="15" customHeight="1">
      <c r="A11" s="1"/>
      <c r="B11" s="41" t="s">
        <v>364</v>
      </c>
      <c r="C11" s="61">
        <v>8554</v>
      </c>
      <c r="D11" s="61">
        <v>8220</v>
      </c>
      <c r="E11" s="61">
        <v>9648</v>
      </c>
      <c r="F11" s="61">
        <v>10511</v>
      </c>
      <c r="G11" s="21">
        <f t="shared" si="0" ref="G11:G63">D11</f>
        <v>8220</v>
      </c>
      <c r="H11" s="42">
        <f>'Cash Flow Statement'!H52</f>
        <v>9544.7212904</v>
      </c>
      <c r="I11" s="1"/>
      <c r="J11" s="36" t="s">
        <v>365</v>
      </c>
    </row>
    <row r="12" ht="15" customHeight="1">
      <c r="A12" s="1"/>
      <c r="B12" s="41" t="s">
        <v>366</v>
      </c>
      <c r="C12" s="61">
        <v>1380</v>
      </c>
      <c r="D12" s="61">
        <v>1552</v>
      </c>
      <c r="E12" s="61">
        <v>397</v>
      </c>
      <c r="F12" s="61">
        <v>1114</v>
      </c>
      <c r="G12" s="21">
        <f t="shared" si="0"/>
        <v>1552</v>
      </c>
      <c r="H12" s="42">
        <f>F12-'Cash Flow Statement'!H31-'Cash Flow Statement'!H32</f>
        <v>1114</v>
      </c>
      <c r="I12" s="1"/>
      <c r="J12" s="36"/>
    </row>
    <row r="13" ht="15" customHeight="1">
      <c r="A13" s="1"/>
      <c r="B13" s="41" t="s">
        <v>367</v>
      </c>
      <c r="C13" s="61">
        <v>5778</v>
      </c>
      <c r="D13" s="61">
        <v>6675</v>
      </c>
      <c r="E13" s="61">
        <v>8575</v>
      </c>
      <c r="F13" s="61">
        <v>7076</v>
      </c>
      <c r="G13" s="21">
        <f t="shared" si="0"/>
        <v>6675</v>
      </c>
      <c r="H13" s="42">
        <f>F13-'Cash Flow Statement'!H18-'Cash Flow Statement'!H16</f>
        <v>6476</v>
      </c>
      <c r="I13" s="1"/>
      <c r="J13" s="36"/>
    </row>
    <row r="14" ht="15" customHeight="1">
      <c r="A14" s="1"/>
      <c r="B14" s="41" t="s">
        <v>368</v>
      </c>
      <c r="C14" s="61">
        <v>2777</v>
      </c>
      <c r="D14" s="61">
        <v>3212</v>
      </c>
      <c r="E14" s="61">
        <v>3184</v>
      </c>
      <c r="F14" s="61">
        <v>3267</v>
      </c>
      <c r="G14" s="21">
        <f t="shared" si="0"/>
        <v>3212</v>
      </c>
      <c r="H14" s="42">
        <f>F14-'Cash Flow Statement'!H19</f>
        <v>3417</v>
      </c>
      <c r="I14" s="1"/>
      <c r="J14" s="36"/>
    </row>
    <row r="15" ht="15" customHeight="1">
      <c r="A15" s="1"/>
      <c r="B15" s="41" t="s">
        <v>369</v>
      </c>
      <c r="C15" s="61">
        <v>418</v>
      </c>
      <c r="D15" s="61">
        <v>598</v>
      </c>
      <c r="E15" s="61">
        <v>451</v>
      </c>
      <c r="F15" s="61">
        <v>680</v>
      </c>
      <c r="G15" s="21">
        <f t="shared" si="0"/>
        <v>598</v>
      </c>
      <c r="H15" s="59">
        <f t="shared" si="1" ref="H15:H63">F15</f>
        <v>680</v>
      </c>
      <c r="I15" s="1"/>
      <c r="J15" s="36"/>
    </row>
    <row r="16" ht="15" customHeight="1">
      <c r="A16" s="1"/>
      <c r="B16" s="43" t="s">
        <v>80</v>
      </c>
      <c r="C16" s="45"/>
      <c r="D16" s="50">
        <v>-1</v>
      </c>
      <c r="E16" s="45"/>
      <c r="F16" s="50">
        <v>1</v>
      </c>
      <c r="G16" s="45">
        <f t="shared" si="0"/>
        <v>-1</v>
      </c>
      <c r="H16" s="46">
        <f t="shared" si="1"/>
        <v>1</v>
      </c>
      <c r="I16" s="1"/>
      <c r="J16" s="36" t="s">
        <v>370</v>
      </c>
    </row>
    <row r="17" ht="15" customHeight="1">
      <c r="A17" s="1"/>
      <c r="B17" s="25" t="s">
        <v>371</v>
      </c>
      <c r="C17" s="51">
        <f t="shared" si="2" ref="C17:H59">C11+C12+C13+C14+C15+C16</f>
        <v>18907</v>
      </c>
      <c r="D17" s="51">
        <f t="shared" si="2"/>
        <v>20256</v>
      </c>
      <c r="E17" s="51">
        <f t="shared" si="2"/>
        <v>22255</v>
      </c>
      <c r="F17" s="51">
        <f t="shared" si="2"/>
        <v>22649</v>
      </c>
      <c r="G17" s="51">
        <f t="shared" si="2"/>
        <v>20256</v>
      </c>
      <c r="H17" s="52">
        <f t="shared" si="2"/>
        <v>21232.7212904</v>
      </c>
      <c r="I17" s="1"/>
      <c r="J17" s="36"/>
    </row>
    <row r="18" ht="15" customHeight="1">
      <c r="A18" s="1"/>
      <c r="B18" s="41" t="s">
        <v>372</v>
      </c>
      <c r="C18" s="61">
        <v>29028</v>
      </c>
      <c r="D18" s="61">
        <v>29014</v>
      </c>
      <c r="E18" s="61">
        <v>29488</v>
      </c>
      <c r="F18" s="61">
        <v>30408</v>
      </c>
      <c r="G18" s="21">
        <f t="shared" si="0"/>
        <v>29014</v>
      </c>
      <c r="H18" s="42">
        <f>F18-'Cash Flow Statement'!H28*H72</f>
        <v>31248</v>
      </c>
      <c r="I18" s="1"/>
      <c r="J18" s="36"/>
    </row>
    <row r="19" ht="15" customHeight="1">
      <c r="A19" s="1"/>
      <c r="B19" s="41" t="s">
        <v>373</v>
      </c>
      <c r="C19" s="61">
        <v>2390</v>
      </c>
      <c r="D19" s="61">
        <v>2282</v>
      </c>
      <c r="E19" s="61">
        <v>2269</v>
      </c>
      <c r="F19" s="61">
        <v>2638</v>
      </c>
      <c r="G19" s="21">
        <f t="shared" si="0"/>
        <v>2282</v>
      </c>
      <c r="H19" s="42">
        <f>F19-'Cash Flow Statement'!H28*(1-H72)-H73</f>
        <v>2758</v>
      </c>
      <c r="I19" s="1"/>
      <c r="J19" s="36"/>
    </row>
    <row r="20" ht="15" customHeight="1">
      <c r="A20" s="1"/>
      <c r="B20" s="41" t="s">
        <v>374</v>
      </c>
      <c r="C20" s="61">
        <v>4396</v>
      </c>
      <c r="D20" s="61">
        <v>4497</v>
      </c>
      <c r="E20" s="61">
        <v>4477</v>
      </c>
      <c r="F20" s="61">
        <v>4504</v>
      </c>
      <c r="G20" s="21">
        <f t="shared" si="0"/>
        <v>4497</v>
      </c>
      <c r="H20" s="42">
        <f>F20-'Cash Flow Statement'!H29-'Cash Flow Statement'!H30-('Cash Flow Statement'!H12-H73)</f>
        <v>4444</v>
      </c>
      <c r="I20" s="1"/>
      <c r="J20" s="36"/>
    </row>
    <row r="21" ht="15" customHeight="1">
      <c r="A21" s="1"/>
      <c r="B21" s="41" t="s">
        <v>375</v>
      </c>
      <c r="C21" s="61">
        <v>7058</v>
      </c>
      <c r="D21" s="61">
        <v>7269</v>
      </c>
      <c r="E21" s="61">
        <v>7634</v>
      </c>
      <c r="F21" s="61">
        <v>8123</v>
      </c>
      <c r="G21" s="21">
        <f t="shared" si="0"/>
        <v>7269</v>
      </c>
      <c r="H21" s="59">
        <f t="shared" si="1"/>
        <v>8123</v>
      </c>
      <c r="I21" s="1"/>
      <c r="J21" s="36"/>
    </row>
    <row r="22" ht="15" customHeight="1">
      <c r="A22" s="1"/>
      <c r="B22" s="41" t="s">
        <v>376</v>
      </c>
      <c r="C22" s="61">
        <v>126</v>
      </c>
      <c r="D22" s="61">
        <v>218</v>
      </c>
      <c r="E22" s="61">
        <v>141</v>
      </c>
      <c r="F22" s="61">
        <v>149</v>
      </c>
      <c r="G22" s="21">
        <f t="shared" si="0"/>
        <v>218</v>
      </c>
      <c r="H22" s="59">
        <f t="shared" si="1"/>
        <v>149</v>
      </c>
      <c r="I22" s="1"/>
      <c r="J22" s="36" t="s">
        <v>377</v>
      </c>
    </row>
    <row r="23" ht="15" customHeight="1">
      <c r="A23" s="1"/>
      <c r="B23" s="41" t="s">
        <v>378</v>
      </c>
      <c r="C23" s="61">
        <v>3964</v>
      </c>
      <c r="D23" s="61">
        <v>4419</v>
      </c>
      <c r="E23" s="61">
        <v>4380</v>
      </c>
      <c r="F23" s="61">
        <v>4450</v>
      </c>
      <c r="G23" s="21">
        <f t="shared" si="0"/>
        <v>4419</v>
      </c>
      <c r="H23" s="59">
        <f t="shared" si="1"/>
        <v>4450</v>
      </c>
      <c r="I23" s="1"/>
      <c r="J23" s="36" t="s">
        <v>379</v>
      </c>
    </row>
    <row r="24" ht="15" customHeight="1">
      <c r="A24" s="1"/>
      <c r="B24" s="41" t="s">
        <v>380</v>
      </c>
      <c r="C24" s="61">
        <v>317</v>
      </c>
      <c r="D24" s="61">
        <v>244</v>
      </c>
      <c r="E24" s="61">
        <v>285</v>
      </c>
      <c r="F24" s="61">
        <v>307</v>
      </c>
      <c r="G24" s="21">
        <f t="shared" si="0"/>
        <v>244</v>
      </c>
      <c r="H24" s="59">
        <f t="shared" si="1"/>
        <v>307</v>
      </c>
      <c r="I24" s="1"/>
      <c r="J24" s="36"/>
    </row>
    <row r="25" ht="15" customHeight="1">
      <c r="A25" s="1"/>
      <c r="B25" s="41" t="s">
        <v>381</v>
      </c>
      <c r="C25" s="61">
        <v>2210</v>
      </c>
      <c r="D25" s="61">
        <v>2163</v>
      </c>
      <c r="E25" s="61">
        <v>2533</v>
      </c>
      <c r="F25" s="61">
        <v>2381</v>
      </c>
      <c r="G25" s="21">
        <f t="shared" si="0"/>
        <v>2163</v>
      </c>
      <c r="H25" s="59">
        <f t="shared" si="1"/>
        <v>2381</v>
      </c>
      <c r="I25" s="1"/>
      <c r="J25" s="36"/>
    </row>
    <row r="26" ht="15" customHeight="1">
      <c r="A26" s="1"/>
      <c r="B26" s="43" t="s">
        <v>80</v>
      </c>
      <c r="C26" s="50">
        <v>1</v>
      </c>
      <c r="D26" s="45"/>
      <c r="E26" s="45"/>
      <c r="F26" s="45"/>
      <c r="G26" s="45">
        <f t="shared" si="0"/>
        <v>0</v>
      </c>
      <c r="H26" s="46">
        <f t="shared" si="1"/>
        <v>0</v>
      </c>
      <c r="I26" s="1"/>
      <c r="J26" s="36" t="s">
        <v>370</v>
      </c>
    </row>
    <row r="27" ht="15" customHeight="1">
      <c r="A27" s="1"/>
      <c r="B27" s="25" t="s">
        <v>382</v>
      </c>
      <c r="C27" s="51">
        <f t="shared" si="3" ref="C27:H27">C18+C19+C20+C21+C22+C23+C24+C25+C26</f>
        <v>49490</v>
      </c>
      <c r="D27" s="51">
        <f t="shared" si="3"/>
        <v>50106</v>
      </c>
      <c r="E27" s="51">
        <f t="shared" si="3"/>
        <v>51207</v>
      </c>
      <c r="F27" s="51">
        <f t="shared" si="3"/>
        <v>52960</v>
      </c>
      <c r="G27" s="51">
        <f t="shared" si="3"/>
        <v>50106</v>
      </c>
      <c r="H27" s="52">
        <f t="shared" si="3"/>
        <v>53860</v>
      </c>
      <c r="I27" s="1"/>
      <c r="J27" s="36"/>
    </row>
    <row r="28" ht="15" customHeight="1">
      <c r="A28" s="1"/>
      <c r="B28" s="43" t="s">
        <v>80</v>
      </c>
      <c r="C28" s="50">
        <v>-1</v>
      </c>
      <c r="D28" s="45"/>
      <c r="E28" s="45"/>
      <c r="F28" s="45"/>
      <c r="G28" s="45">
        <f t="shared" si="0"/>
        <v>0</v>
      </c>
      <c r="H28" s="46">
        <f t="shared" si="1"/>
        <v>0</v>
      </c>
      <c r="I28" s="1"/>
      <c r="J28" s="36" t="s">
        <v>370</v>
      </c>
    </row>
    <row r="29" ht="15" customHeight="1">
      <c r="A29" s="1"/>
      <c r="B29" s="25" t="s">
        <v>383</v>
      </c>
      <c r="C29" s="51">
        <f t="shared" si="4" ref="C29:H29">C17+C27+C28</f>
        <v>68396</v>
      </c>
      <c r="D29" s="51">
        <f t="shared" si="4"/>
        <v>70362</v>
      </c>
      <c r="E29" s="51">
        <f t="shared" si="4"/>
        <v>73462</v>
      </c>
      <c r="F29" s="51">
        <f t="shared" si="4"/>
        <v>75609</v>
      </c>
      <c r="G29" s="51">
        <f t="shared" si="4"/>
        <v>70362</v>
      </c>
      <c r="H29" s="52">
        <f t="shared" si="4"/>
        <v>75092.7212904</v>
      </c>
      <c r="I29" s="1"/>
      <c r="J29" s="36"/>
    </row>
    <row r="30" ht="15" customHeight="1">
      <c r="A30" s="1"/>
      <c r="B30" s="1"/>
      <c r="C30" s="1"/>
      <c r="D30" s="1"/>
      <c r="E30" s="1"/>
      <c r="F30" s="1"/>
      <c r="G30" s="1"/>
      <c r="H30" s="40"/>
      <c r="I30" s="1"/>
      <c r="J30" s="36"/>
    </row>
    <row r="31" ht="15" customHeight="1">
      <c r="A31" s="1"/>
      <c r="B31" s="25" t="s">
        <v>384</v>
      </c>
      <c r="C31" s="1"/>
      <c r="D31" s="1"/>
      <c r="E31" s="1"/>
      <c r="F31" s="1"/>
      <c r="G31" s="1"/>
      <c r="H31" s="40"/>
      <c r="I31" s="1"/>
      <c r="J31" s="36"/>
    </row>
    <row r="32" ht="15" customHeight="1">
      <c r="A32" s="1"/>
      <c r="B32" s="41" t="s">
        <v>385</v>
      </c>
      <c r="C32" s="61">
        <v>2074</v>
      </c>
      <c r="D32" s="61">
        <v>2431</v>
      </c>
      <c r="E32" s="61">
        <v>2548</v>
      </c>
      <c r="F32" s="61">
        <v>2747</v>
      </c>
      <c r="G32" s="21">
        <f t="shared" si="0"/>
        <v>2431</v>
      </c>
      <c r="H32" s="59">
        <f t="shared" si="1"/>
        <v>2747</v>
      </c>
      <c r="I32" s="1"/>
      <c r="J32" s="36"/>
    </row>
    <row r="33" ht="15" customHeight="1">
      <c r="A33" s="1"/>
      <c r="B33" s="41" t="s">
        <v>386</v>
      </c>
      <c r="C33" s="61">
        <v>934</v>
      </c>
      <c r="D33" s="61">
        <v>968</v>
      </c>
      <c r="E33" s="61">
        <v>1279</v>
      </c>
      <c r="F33" s="61">
        <v>1359</v>
      </c>
      <c r="G33" s="21">
        <f t="shared" si="0"/>
        <v>968</v>
      </c>
      <c r="H33" s="42">
        <f>F33+'Cash Flow Statement'!H14+'Cash Flow Statement'!H23</f>
        <v>1694.239863764</v>
      </c>
      <c r="I33" s="1"/>
      <c r="J33" s="36"/>
    </row>
    <row r="34" ht="15" customHeight="1">
      <c r="A34" s="1"/>
      <c r="B34" s="41" t="s">
        <v>387</v>
      </c>
      <c r="C34" s="61">
        <v>3032</v>
      </c>
      <c r="D34" s="61">
        <v>2050</v>
      </c>
      <c r="E34" s="61">
        <v>2824</v>
      </c>
      <c r="F34" s="61">
        <v>1966</v>
      </c>
      <c r="G34" s="21">
        <f t="shared" si="0"/>
        <v>2050</v>
      </c>
      <c r="H34" s="42">
        <f>F34+'Cash Flow Statement'!H41+'Cash Flow Statement'!H42+'Cash Flow Statement'!H43</f>
        <v>1906</v>
      </c>
      <c r="I34" s="1"/>
      <c r="J34" s="36"/>
    </row>
    <row r="35" ht="15" customHeight="1">
      <c r="A35" s="1"/>
      <c r="B35" s="41" t="s">
        <v>388</v>
      </c>
      <c r="C35" s="61">
        <v>4152</v>
      </c>
      <c r="D35" s="61">
        <v>4849</v>
      </c>
      <c r="E35" s="61">
        <v>3901</v>
      </c>
      <c r="F35" s="61">
        <v>3699</v>
      </c>
      <c r="G35" s="21">
        <f t="shared" si="0"/>
        <v>4849</v>
      </c>
      <c r="H35" s="42">
        <f>F35+'Cash Flow Statement'!H20+'Income Statement'!H197+'Cash Flow Statement'!H22</f>
        <v>3771.822</v>
      </c>
      <c r="I35" s="1"/>
      <c r="J35" s="36" t="s">
        <v>389</v>
      </c>
    </row>
    <row r="36" ht="15" customHeight="1">
      <c r="A36" s="1"/>
      <c r="B36" s="41" t="s">
        <v>390</v>
      </c>
      <c r="C36" s="61">
        <v>170</v>
      </c>
      <c r="D36" s="61">
        <v>537</v>
      </c>
      <c r="E36" s="61">
        <v>155</v>
      </c>
      <c r="F36" s="61">
        <v>119</v>
      </c>
      <c r="G36" s="21">
        <f t="shared" si="0"/>
        <v>537</v>
      </c>
      <c r="H36" s="59">
        <f t="shared" si="1"/>
        <v>119</v>
      </c>
      <c r="I36" s="1"/>
      <c r="J36" s="36"/>
    </row>
    <row r="37" ht="15" customHeight="1">
      <c r="A37" s="1"/>
      <c r="B37" s="41" t="s">
        <v>391</v>
      </c>
      <c r="C37" s="61">
        <v>6749</v>
      </c>
      <c r="D37" s="61">
        <v>6581</v>
      </c>
      <c r="E37" s="61">
        <v>10113</v>
      </c>
      <c r="F37" s="61">
        <v>9843</v>
      </c>
      <c r="G37" s="21">
        <f t="shared" si="0"/>
        <v>6581</v>
      </c>
      <c r="H37" s="42">
        <f>F37+'Cash Flow Statement'!H21</f>
        <v>8193</v>
      </c>
      <c r="I37" s="1"/>
      <c r="J37" s="36"/>
    </row>
    <row r="38" ht="15" customHeight="1">
      <c r="A38" s="1"/>
      <c r="B38" s="43" t="s">
        <v>80</v>
      </c>
      <c r="C38" s="45"/>
      <c r="D38" s="45"/>
      <c r="E38" s="45"/>
      <c r="F38" s="50">
        <v>1</v>
      </c>
      <c r="G38" s="45">
        <f t="shared" si="0"/>
        <v>0</v>
      </c>
      <c r="H38" s="46">
        <f t="shared" si="1"/>
        <v>1</v>
      </c>
      <c r="I38" s="1"/>
      <c r="J38" s="36" t="s">
        <v>370</v>
      </c>
    </row>
    <row r="39" ht="15" customHeight="1">
      <c r="A39" s="1"/>
      <c r="B39" s="25" t="s">
        <v>392</v>
      </c>
      <c r="C39" s="51">
        <f t="shared" si="5" ref="C39:H39">C32+C33+C34+C35+C36+C37+C38</f>
        <v>17111</v>
      </c>
      <c r="D39" s="51">
        <f t="shared" si="5"/>
        <v>17416</v>
      </c>
      <c r="E39" s="51">
        <f t="shared" si="5"/>
        <v>20820</v>
      </c>
      <c r="F39" s="51">
        <f t="shared" si="5"/>
        <v>19734</v>
      </c>
      <c r="G39" s="51">
        <f t="shared" si="5"/>
        <v>17416</v>
      </c>
      <c r="H39" s="52">
        <f t="shared" si="5"/>
        <v>18432.061863764</v>
      </c>
      <c r="I39" s="1"/>
      <c r="J39" s="36"/>
    </row>
    <row r="40" ht="15" customHeight="1">
      <c r="A40" s="1"/>
      <c r="B40" s="41" t="s">
        <v>393</v>
      </c>
      <c r="C40" s="61">
        <v>3</v>
      </c>
      <c r="D40" s="61">
        <v>2</v>
      </c>
      <c r="E40" s="61">
        <v>2</v>
      </c>
      <c r="F40" s="61">
        <v>1</v>
      </c>
      <c r="G40" s="21">
        <f t="shared" si="0"/>
        <v>2</v>
      </c>
      <c r="H40" s="59">
        <f t="shared" si="1"/>
        <v>1</v>
      </c>
      <c r="I40" s="1"/>
      <c r="J40" s="36"/>
    </row>
    <row r="41" ht="15" customHeight="1">
      <c r="A41" s="1"/>
      <c r="B41" s="41" t="s">
        <v>394</v>
      </c>
      <c r="C41" s="61">
        <v>554</v>
      </c>
      <c r="D41" s="61">
        <v>562</v>
      </c>
      <c r="E41" s="61">
        <v>640</v>
      </c>
      <c r="F41" s="61">
        <v>670</v>
      </c>
      <c r="G41" s="21">
        <f t="shared" si="0"/>
        <v>562</v>
      </c>
      <c r="H41" s="59">
        <f t="shared" si="1"/>
        <v>670</v>
      </c>
      <c r="I41" s="1"/>
      <c r="J41" s="36"/>
    </row>
    <row r="42" ht="15" customHeight="1">
      <c r="A42" s="1"/>
      <c r="B42" s="41" t="s">
        <v>395</v>
      </c>
      <c r="C42" s="61">
        <v>6089</v>
      </c>
      <c r="D42" s="61">
        <v>6021</v>
      </c>
      <c r="E42" s="61">
        <v>5038</v>
      </c>
      <c r="F42" s="61">
        <v>8541</v>
      </c>
      <c r="G42" s="21">
        <f t="shared" si="0"/>
        <v>6021</v>
      </c>
      <c r="H42" s="59">
        <f t="shared" si="1"/>
        <v>8541</v>
      </c>
      <c r="I42" s="1"/>
      <c r="J42" s="36"/>
    </row>
    <row r="43" ht="15" customHeight="1">
      <c r="A43" s="1"/>
      <c r="B43" s="41" t="s">
        <v>396</v>
      </c>
      <c r="C43" s="61">
        <v>520</v>
      </c>
      <c r="D43" s="61">
        <v>524</v>
      </c>
      <c r="E43" s="61">
        <v>664</v>
      </c>
      <c r="F43" s="61">
        <v>456</v>
      </c>
      <c r="G43" s="21">
        <f t="shared" si="0"/>
        <v>524</v>
      </c>
      <c r="H43" s="59">
        <f t="shared" si="1"/>
        <v>456</v>
      </c>
      <c r="I43" s="1"/>
      <c r="J43" s="36" t="s">
        <v>397</v>
      </c>
    </row>
    <row r="44" ht="15" customHeight="1">
      <c r="A44" s="1"/>
      <c r="B44" s="41" t="s">
        <v>398</v>
      </c>
      <c r="C44" s="61">
        <v>547</v>
      </c>
      <c r="D44" s="61">
        <v>550</v>
      </c>
      <c r="E44" s="61">
        <v>587</v>
      </c>
      <c r="F44" s="61">
        <v>611</v>
      </c>
      <c r="G44" s="21">
        <f t="shared" si="0"/>
        <v>550</v>
      </c>
      <c r="H44" s="59">
        <f t="shared" si="1"/>
        <v>611</v>
      </c>
      <c r="I44" s="1"/>
      <c r="J44" s="36"/>
    </row>
    <row r="45" ht="15" customHeight="1">
      <c r="A45" s="1"/>
      <c r="B45" s="41" t="s">
        <v>399</v>
      </c>
      <c r="C45" s="61">
        <v>187</v>
      </c>
      <c r="D45" s="61">
        <v>72</v>
      </c>
      <c r="E45" s="61">
        <v>199</v>
      </c>
      <c r="F45" s="61">
        <v>211</v>
      </c>
      <c r="G45" s="21">
        <f t="shared" si="0"/>
        <v>72</v>
      </c>
      <c r="H45" s="59">
        <f t="shared" si="1"/>
        <v>211</v>
      </c>
      <c r="I45" s="1"/>
      <c r="J45" s="36"/>
    </row>
    <row r="46" ht="15" customHeight="1">
      <c r="A46" s="1"/>
      <c r="B46" s="41" t="s">
        <v>400</v>
      </c>
      <c r="C46" s="61">
        <v>145</v>
      </c>
      <c r="D46" s="61">
        <v>144</v>
      </c>
      <c r="E46" s="61">
        <v>149</v>
      </c>
      <c r="F46" s="61">
        <v>136</v>
      </c>
      <c r="G46" s="21">
        <f t="shared" si="0"/>
        <v>144</v>
      </c>
      <c r="H46" s="59">
        <f t="shared" si="1"/>
        <v>136</v>
      </c>
      <c r="I46" s="1"/>
      <c r="J46" s="36"/>
    </row>
    <row r="47" ht="15" customHeight="1">
      <c r="A47" s="1"/>
      <c r="B47" s="43" t="s">
        <v>80</v>
      </c>
      <c r="C47" s="50">
        <v>-1</v>
      </c>
      <c r="D47" s="50">
        <v>-2</v>
      </c>
      <c r="E47" s="50">
        <v>-1</v>
      </c>
      <c r="F47" s="50">
        <v>1</v>
      </c>
      <c r="G47" s="45">
        <f t="shared" si="0"/>
        <v>-2</v>
      </c>
      <c r="H47" s="46">
        <f t="shared" si="1"/>
        <v>1</v>
      </c>
      <c r="I47" s="1"/>
      <c r="J47" s="36" t="s">
        <v>370</v>
      </c>
    </row>
    <row r="48" ht="15" customHeight="1">
      <c r="A48" s="1"/>
      <c r="B48" s="25" t="s">
        <v>401</v>
      </c>
      <c r="C48" s="51">
        <f t="shared" si="6" ref="C48:H48">C40+C41+C42+C43+C44+C45+C46+C47</f>
        <v>8044</v>
      </c>
      <c r="D48" s="51">
        <f t="shared" si="6"/>
        <v>7873</v>
      </c>
      <c r="E48" s="51">
        <f t="shared" si="6"/>
        <v>7278</v>
      </c>
      <c r="F48" s="51">
        <f t="shared" si="6"/>
        <v>10627</v>
      </c>
      <c r="G48" s="51">
        <f t="shared" si="6"/>
        <v>7873</v>
      </c>
      <c r="H48" s="52">
        <f t="shared" si="6"/>
        <v>10627</v>
      </c>
      <c r="I48" s="1"/>
      <c r="J48" s="36"/>
    </row>
    <row r="49" ht="15" customHeight="1">
      <c r="A49" s="1"/>
      <c r="B49" s="43" t="s">
        <v>80</v>
      </c>
      <c r="C49" s="45"/>
      <c r="D49" s="50">
        <v>-1</v>
      </c>
      <c r="E49" s="45"/>
      <c r="F49" s="45"/>
      <c r="G49" s="45">
        <f t="shared" si="0"/>
        <v>-1</v>
      </c>
      <c r="H49" s="46">
        <f t="shared" si="1"/>
        <v>0</v>
      </c>
      <c r="I49" s="1"/>
      <c r="J49" s="36" t="s">
        <v>370</v>
      </c>
    </row>
    <row r="50" ht="15" customHeight="1">
      <c r="A50" s="1"/>
      <c r="B50" s="25" t="s">
        <v>402</v>
      </c>
      <c r="C50" s="51">
        <f t="shared" si="7" ref="C50:H50">C39+C48+C49</f>
        <v>25155</v>
      </c>
      <c r="D50" s="51">
        <f t="shared" si="7"/>
        <v>25288</v>
      </c>
      <c r="E50" s="51">
        <f t="shared" si="7"/>
        <v>28098</v>
      </c>
      <c r="F50" s="51">
        <f t="shared" si="7"/>
        <v>30361</v>
      </c>
      <c r="G50" s="51">
        <f t="shared" si="7"/>
        <v>25288</v>
      </c>
      <c r="H50" s="52">
        <f t="shared" si="7"/>
        <v>29059.061863764</v>
      </c>
      <c r="I50" s="1"/>
      <c r="J50" s="36"/>
    </row>
    <row r="51" ht="15" customHeight="1">
      <c r="A51" s="1"/>
      <c r="B51" s="1"/>
      <c r="C51" s="1"/>
      <c r="D51" s="1"/>
      <c r="E51" s="1"/>
      <c r="F51" s="1"/>
      <c r="G51" s="1"/>
      <c r="H51" s="40"/>
      <c r="I51" s="1"/>
      <c r="J51" s="36"/>
    </row>
    <row r="52" ht="15" customHeight="1">
      <c r="A52" s="1"/>
      <c r="B52" s="25" t="s">
        <v>403</v>
      </c>
      <c r="C52" s="1"/>
      <c r="D52" s="1"/>
      <c r="E52" s="1"/>
      <c r="F52" s="1"/>
      <c r="G52" s="1"/>
      <c r="H52" s="40"/>
      <c r="I52" s="1"/>
      <c r="J52" s="36"/>
    </row>
    <row r="53" ht="15" customHeight="1">
      <c r="A53" s="1"/>
      <c r="B53" s="41" t="s">
        <v>404</v>
      </c>
      <c r="C53" s="61">
        <v>1229</v>
      </c>
      <c r="D53" s="61">
        <v>1229</v>
      </c>
      <c r="E53" s="61">
        <v>1229</v>
      </c>
      <c r="F53" s="61">
        <v>1229</v>
      </c>
      <c r="G53" s="21">
        <f t="shared" si="0"/>
        <v>1229</v>
      </c>
      <c r="H53" s="59">
        <f t="shared" si="1"/>
        <v>1229</v>
      </c>
      <c r="I53" s="1"/>
      <c r="J53" s="36"/>
    </row>
    <row r="54" ht="15" customHeight="1">
      <c r="A54" s="1"/>
      <c r="B54" s="41" t="s">
        <v>405</v>
      </c>
      <c r="C54" s="61">
        <v>2790</v>
      </c>
      <c r="D54" s="61">
        <v>2778</v>
      </c>
      <c r="E54" s="61">
        <v>2741</v>
      </c>
      <c r="F54" s="61">
        <v>2969</v>
      </c>
      <c r="G54" s="21">
        <f t="shared" si="0"/>
        <v>2778</v>
      </c>
      <c r="H54" s="42">
        <f>F54+'Income Statement'!H194</f>
        <v>3327</v>
      </c>
      <c r="I54" s="1"/>
      <c r="J54" s="36" t="s">
        <v>406</v>
      </c>
    </row>
    <row r="55" ht="15" customHeight="1">
      <c r="A55" s="1"/>
      <c r="B55" s="41" t="s">
        <v>407</v>
      </c>
      <c r="C55" s="61">
        <v>45671</v>
      </c>
      <c r="D55" s="61">
        <v>47345</v>
      </c>
      <c r="E55" s="61">
        <v>49279</v>
      </c>
      <c r="F55" s="61">
        <v>48579</v>
      </c>
      <c r="G55" s="21">
        <f t="shared" si="0"/>
        <v>47345</v>
      </c>
      <c r="H55" s="42">
        <f>F55+'Income Statement'!H58+'Cash Flow Statement'!H38</f>
        <v>50533.707026636</v>
      </c>
      <c r="I55" s="1"/>
      <c r="J55" s="36"/>
    </row>
    <row r="56" ht="15" customHeight="1">
      <c r="A56" s="1"/>
      <c r="B56" s="41" t="s">
        <v>408</v>
      </c>
      <c r="C56" s="61">
        <v>282</v>
      </c>
      <c r="D56" s="61">
        <v>182</v>
      </c>
      <c r="E56" s="61">
        <v>823</v>
      </c>
      <c r="F56" s="61">
        <v>1155</v>
      </c>
      <c r="G56" s="21">
        <f t="shared" si="0"/>
        <v>182</v>
      </c>
      <c r="H56" s="42">
        <f>F56+'Cash Flow Statement'!H48</f>
        <v>1155</v>
      </c>
      <c r="I56" s="1"/>
      <c r="J56" s="36" t="s">
        <v>409</v>
      </c>
    </row>
    <row r="57" ht="15" customHeight="1">
      <c r="A57" s="1"/>
      <c r="B57" s="41" t="s">
        <v>410</v>
      </c>
      <c r="C57" s="61">
        <v>-7163</v>
      </c>
      <c r="D57" s="61">
        <v>-6948</v>
      </c>
      <c r="E57" s="61">
        <v>-9211</v>
      </c>
      <c r="F57" s="61">
        <v>-9190</v>
      </c>
      <c r="G57" s="21">
        <f t="shared" si="0"/>
        <v>-6948</v>
      </c>
      <c r="H57" s="42">
        <f>F57+'Cash Flow Statement'!H40</f>
        <v>-10720.0476</v>
      </c>
      <c r="I57" s="1"/>
      <c r="J57" s="36"/>
    </row>
    <row r="58" ht="15" customHeight="1">
      <c r="A58" s="1"/>
      <c r="B58" s="43" t="s">
        <v>80</v>
      </c>
      <c r="C58" s="50">
        <v>-2</v>
      </c>
      <c r="D58" s="45"/>
      <c r="E58" s="50">
        <v>-1</v>
      </c>
      <c r="F58" s="45"/>
      <c r="G58" s="45">
        <f t="shared" si="0"/>
        <v>0</v>
      </c>
      <c r="H58" s="46">
        <f t="shared" si="1"/>
        <v>0</v>
      </c>
      <c r="I58" s="1"/>
      <c r="J58" s="36" t="s">
        <v>370</v>
      </c>
    </row>
    <row r="59" ht="15" customHeight="1">
      <c r="A59" s="1"/>
      <c r="B59" s="25" t="s">
        <v>411</v>
      </c>
      <c r="C59" s="51">
        <f t="shared" si="2"/>
        <v>42807</v>
      </c>
      <c r="D59" s="51">
        <f t="shared" si="2"/>
        <v>44586</v>
      </c>
      <c r="E59" s="51">
        <f t="shared" si="2"/>
        <v>44860</v>
      </c>
      <c r="F59" s="51">
        <f t="shared" si="2"/>
        <v>44742</v>
      </c>
      <c r="G59" s="51">
        <f t="shared" si="2"/>
        <v>44586</v>
      </c>
      <c r="H59" s="52">
        <f t="shared" si="2"/>
        <v>45524.659426636004</v>
      </c>
      <c r="I59" s="1"/>
      <c r="J59" s="36"/>
    </row>
    <row r="60" ht="15" customHeight="1">
      <c r="A60" s="1"/>
      <c r="B60" s="41" t="s">
        <v>412</v>
      </c>
      <c r="C60" s="61">
        <v>434</v>
      </c>
      <c r="D60" s="61">
        <v>488</v>
      </c>
      <c r="E60" s="61">
        <v>505</v>
      </c>
      <c r="F60" s="61">
        <v>505</v>
      </c>
      <c r="G60" s="21">
        <f t="shared" si="0"/>
        <v>488</v>
      </c>
      <c r="H60" s="42">
        <f>F60+'Income Statement'!H56+'Cash Flow Statement'!H39</f>
        <v>508</v>
      </c>
      <c r="I60" s="1"/>
      <c r="J60" s="36"/>
    </row>
    <row r="61" ht="15" customHeight="1">
      <c r="A61" s="1"/>
      <c r="B61" s="43" t="s">
        <v>80</v>
      </c>
      <c r="C61" s="45"/>
      <c r="D61" s="50">
        <v>-1</v>
      </c>
      <c r="E61" s="45"/>
      <c r="F61" s="50">
        <v>1</v>
      </c>
      <c r="G61" s="45">
        <f t="shared" si="0"/>
        <v>-1</v>
      </c>
      <c r="H61" s="46">
        <f t="shared" si="1"/>
        <v>1</v>
      </c>
      <c r="I61" s="1"/>
      <c r="J61" s="36" t="s">
        <v>370</v>
      </c>
    </row>
    <row r="62" ht="15" customHeight="1">
      <c r="A62" s="1"/>
      <c r="B62" s="25" t="s">
        <v>413</v>
      </c>
      <c r="C62" s="51">
        <f t="shared" si="8" ref="C62:H62">C59+C60+C61</f>
        <v>43241</v>
      </c>
      <c r="D62" s="51">
        <f t="shared" si="8"/>
        <v>45073</v>
      </c>
      <c r="E62" s="51">
        <f t="shared" si="8"/>
        <v>45365</v>
      </c>
      <c r="F62" s="51">
        <f t="shared" si="8"/>
        <v>45248</v>
      </c>
      <c r="G62" s="51">
        <f t="shared" si="8"/>
        <v>45073</v>
      </c>
      <c r="H62" s="52">
        <f t="shared" si="8"/>
        <v>46033.659426636004</v>
      </c>
      <c r="I62" s="1"/>
      <c r="J62" s="36"/>
    </row>
    <row r="63" ht="15" customHeight="1">
      <c r="A63" s="1"/>
      <c r="B63" s="43" t="s">
        <v>80</v>
      </c>
      <c r="C63" s="45"/>
      <c r="D63" s="50">
        <v>1</v>
      </c>
      <c r="E63" s="50">
        <v>-1</v>
      </c>
      <c r="F63" s="45"/>
      <c r="G63" s="45">
        <f t="shared" si="0"/>
        <v>1</v>
      </c>
      <c r="H63" s="46">
        <f t="shared" si="1"/>
        <v>0</v>
      </c>
      <c r="I63" s="1"/>
      <c r="J63" s="36" t="s">
        <v>370</v>
      </c>
    </row>
    <row r="64" ht="15" customHeight="1">
      <c r="A64" s="1"/>
      <c r="B64" s="25" t="s">
        <v>414</v>
      </c>
      <c r="C64" s="51">
        <f t="shared" si="9" ref="C64:H64">C50+C62+C63</f>
        <v>68396</v>
      </c>
      <c r="D64" s="51">
        <f t="shared" si="9"/>
        <v>70362</v>
      </c>
      <c r="E64" s="51">
        <f t="shared" si="9"/>
        <v>73462</v>
      </c>
      <c r="F64" s="51">
        <f t="shared" si="9"/>
        <v>75609</v>
      </c>
      <c r="G64" s="51">
        <f t="shared" si="9"/>
        <v>70362</v>
      </c>
      <c r="H64" s="52">
        <f t="shared" si="9"/>
        <v>75092.7212904</v>
      </c>
      <c r="I64" s="1"/>
      <c r="J64" s="36"/>
    </row>
    <row r="65" ht="15" customHeight="1">
      <c r="A65" s="1"/>
      <c r="B65" s="58" t="s">
        <v>415</v>
      </c>
      <c r="C65" s="21">
        <f t="shared" si="10" ref="C65:H65">ROUND(C29-C64,6)</f>
        <v>0</v>
      </c>
      <c r="D65" s="21">
        <f t="shared" si="10"/>
        <v>0</v>
      </c>
      <c r="E65" s="21">
        <f t="shared" si="10"/>
        <v>0</v>
      </c>
      <c r="F65" s="21">
        <f t="shared" si="10"/>
        <v>0</v>
      </c>
      <c r="G65" s="21">
        <f t="shared" si="10"/>
        <v>0</v>
      </c>
      <c r="H65" s="59">
        <f t="shared" si="10"/>
        <v>0</v>
      </c>
      <c r="I65" s="1"/>
      <c r="J65" s="36" t="s">
        <v>416</v>
      </c>
    </row>
    <row r="66" ht="15" customHeight="1">
      <c r="A66" s="1"/>
      <c r="B66" s="1"/>
      <c r="C66" s="1"/>
      <c r="D66" s="1"/>
      <c r="E66" s="1"/>
      <c r="F66" s="1"/>
      <c r="G66" s="1"/>
      <c r="H66" s="40"/>
      <c r="I66" s="1"/>
      <c r="J66" s="36"/>
    </row>
    <row r="67" ht="15" customHeight="1">
      <c r="A67" s="1"/>
      <c r="B67" s="25" t="s">
        <v>417</v>
      </c>
      <c r="C67" s="1"/>
      <c r="D67" s="1"/>
      <c r="E67" s="1"/>
      <c r="F67" s="1"/>
      <c r="G67" s="1"/>
      <c r="H67" s="40"/>
      <c r="I67" s="1"/>
      <c r="J67" s="36"/>
    </row>
    <row r="68" ht="15" customHeight="1">
      <c r="A68" s="1"/>
      <c r="B68" s="41" t="s">
        <v>418</v>
      </c>
      <c r="C68" s="21">
        <f t="shared" si="11" ref="C68:H68">C11+C12-C34-C42</f>
        <v>813</v>
      </c>
      <c r="D68" s="21">
        <f t="shared" si="11"/>
        <v>1701</v>
      </c>
      <c r="E68" s="21">
        <f t="shared" si="11"/>
        <v>2183</v>
      </c>
      <c r="F68" s="21">
        <f t="shared" si="11"/>
        <v>1118</v>
      </c>
      <c r="G68" s="21">
        <f t="shared" si="11"/>
        <v>1701</v>
      </c>
      <c r="H68" s="59">
        <f t="shared" si="11"/>
        <v>211.72129040000073</v>
      </c>
      <c r="I68" s="1"/>
      <c r="J68" s="36" t="s">
        <v>419</v>
      </c>
    </row>
    <row r="69" ht="15" customHeight="1">
      <c r="A69" s="1"/>
      <c r="B69" s="43" t="s">
        <v>70</v>
      </c>
      <c r="C69" s="45"/>
      <c r="D69" s="45">
        <f t="shared" si="12" ref="D69:F71">D68-C68</f>
        <v>888</v>
      </c>
      <c r="E69" s="45">
        <f t="shared" si="12"/>
        <v>482</v>
      </c>
      <c r="F69" s="45">
        <f t="shared" si="12"/>
        <v>-1065</v>
      </c>
      <c r="G69" s="45"/>
      <c r="H69" s="46">
        <f t="shared" si="14" ref="H69:H71">H68-F68</f>
        <v>-906.2787095999993</v>
      </c>
      <c r="I69" s="1"/>
      <c r="J69" s="36"/>
    </row>
    <row r="70" ht="15" customHeight="1">
      <c r="A70" s="1"/>
      <c r="B70" s="41" t="s">
        <v>420</v>
      </c>
      <c r="C70" s="21">
        <f t="shared" si="13" ref="C70:H70">C37+C46</f>
        <v>6894</v>
      </c>
      <c r="D70" s="21">
        <f t="shared" si="13"/>
        <v>6725</v>
      </c>
      <c r="E70" s="21">
        <f t="shared" si="13"/>
        <v>10262</v>
      </c>
      <c r="F70" s="21">
        <f t="shared" si="13"/>
        <v>9979</v>
      </c>
      <c r="G70" s="21">
        <f t="shared" si="13"/>
        <v>6725</v>
      </c>
      <c r="H70" s="59">
        <f t="shared" si="13"/>
        <v>8329</v>
      </c>
      <c r="I70" s="1"/>
      <c r="J70" s="36" t="s">
        <v>421</v>
      </c>
    </row>
    <row r="71" ht="15" customHeight="1">
      <c r="A71" s="1"/>
      <c r="B71" s="43" t="s">
        <v>70</v>
      </c>
      <c r="C71" s="45"/>
      <c r="D71" s="45">
        <f t="shared" si="12"/>
        <v>-169</v>
      </c>
      <c r="E71" s="45">
        <f t="shared" si="12"/>
        <v>3537</v>
      </c>
      <c r="F71" s="45">
        <f t="shared" si="12"/>
        <v>-283</v>
      </c>
      <c r="G71" s="45"/>
      <c r="H71" s="46">
        <f t="shared" si="14"/>
        <v>-1650</v>
      </c>
      <c r="I71" s="1"/>
      <c r="J71" s="36"/>
    </row>
    <row r="72" ht="15" customHeight="1">
      <c r="A72" s="1"/>
      <c r="B72" s="58" t="s">
        <v>422</v>
      </c>
      <c r="C72" s="35"/>
      <c r="D72" s="35"/>
      <c r="E72" s="35"/>
      <c r="F72" s="35"/>
      <c r="G72" s="35"/>
      <c r="H72" s="57">
        <v>0.8</v>
      </c>
      <c r="I72" s="1"/>
      <c r="J72" s="36" t="s">
        <v>423</v>
      </c>
    </row>
    <row r="73" ht="15" customHeight="1">
      <c r="A73" s="1"/>
      <c r="B73" s="41" t="s">
        <v>424</v>
      </c>
      <c r="C73" s="21"/>
      <c r="D73" s="21"/>
      <c r="E73" s="21"/>
      <c r="F73" s="21"/>
      <c r="G73" s="21"/>
      <c r="H73" s="68">
        <v>90</v>
      </c>
      <c r="I73" s="1"/>
      <c r="J73" s="36" t="s">
        <v>425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C9ADE57-0FF8-B208-2578-A879A7198ED6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2.00390625" customWidth="1"/>
    <col min="10" max="14" width="12.00390625" customWidth="1"/>
    <col min="15" max="15" width="2.00390625" customWidth="1"/>
    <col min="16" max="16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15" customHeight="1">
      <c r="A3" s="1"/>
      <c r="B3" s="3" t="s">
        <v>426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4" t="s">
        <v>427</v>
      </c>
      <c r="K5" s="1"/>
      <c r="L5" s="1"/>
      <c r="M5" s="1"/>
      <c r="N5" s="1"/>
      <c r="O5" s="1"/>
      <c r="P5" s="1"/>
    </row>
    <row r="6" ht="15" customHeight="1">
      <c r="A6" s="1"/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7" t="s">
        <v>9</v>
      </c>
      <c r="I6" s="37"/>
      <c r="J6" s="6" t="s">
        <v>428</v>
      </c>
      <c r="K6" s="6" t="s">
        <v>429</v>
      </c>
      <c r="L6" s="6" t="s">
        <v>430</v>
      </c>
      <c r="M6" s="6" t="s">
        <v>431</v>
      </c>
      <c r="N6" s="1"/>
      <c r="O6" s="1"/>
      <c r="P6" s="3" t="s">
        <v>65</v>
      </c>
    </row>
    <row r="7" ht="15" customHeight="1">
      <c r="A7" s="1"/>
      <c r="B7" s="8" t="s">
        <v>10</v>
      </c>
      <c r="C7" s="9">
        <v>45930</v>
      </c>
      <c r="D7" s="9">
        <v>46022</v>
      </c>
      <c r="E7" s="9">
        <v>46112</v>
      </c>
      <c r="F7" s="9">
        <v>46203</v>
      </c>
      <c r="G7" s="9">
        <v>46022</v>
      </c>
      <c r="H7" s="10">
        <v>46295</v>
      </c>
      <c r="I7" s="38"/>
      <c r="J7" s="9">
        <v>45838</v>
      </c>
      <c r="K7" s="9">
        <v>45930</v>
      </c>
      <c r="L7" s="9">
        <v>46022</v>
      </c>
      <c r="M7" s="9">
        <v>46203</v>
      </c>
      <c r="N7" s="1"/>
      <c r="O7" s="1"/>
      <c r="P7" s="1"/>
    </row>
    <row r="8" ht="15" customHeight="1">
      <c r="A8" s="1"/>
      <c r="B8" s="11" t="s">
        <v>11</v>
      </c>
      <c r="C8" s="12">
        <v>92</v>
      </c>
      <c r="D8" s="12">
        <v>92</v>
      </c>
      <c r="E8" s="12">
        <v>90</v>
      </c>
      <c r="F8" s="12">
        <v>91</v>
      </c>
      <c r="G8" s="12">
        <v>365</v>
      </c>
      <c r="H8" s="13">
        <v>92</v>
      </c>
      <c r="I8" s="39"/>
      <c r="J8" s="12">
        <v>181</v>
      </c>
      <c r="K8" s="12">
        <v>273</v>
      </c>
      <c r="L8" s="12">
        <v>365</v>
      </c>
      <c r="M8" s="12">
        <v>181</v>
      </c>
      <c r="N8" s="1"/>
      <c r="O8" s="1"/>
      <c r="P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36"/>
    </row>
    <row r="10" ht="15" customHeight="1">
      <c r="A10" s="1"/>
      <c r="B10" s="25" t="s">
        <v>432</v>
      </c>
      <c r="C10" s="1"/>
      <c r="D10" s="1"/>
      <c r="E10" s="1"/>
      <c r="F10" s="1"/>
      <c r="G10" s="1"/>
      <c r="H10" s="40"/>
      <c r="I10" s="1"/>
      <c r="J10" s="1"/>
      <c r="K10" s="1"/>
      <c r="L10" s="1"/>
      <c r="M10" s="1"/>
      <c r="N10" s="1"/>
      <c r="O10" s="1"/>
      <c r="P10" s="36"/>
    </row>
    <row r="11" ht="15" customHeight="1">
      <c r="A11" s="1"/>
      <c r="B11" s="41" t="s">
        <v>433</v>
      </c>
      <c r="C11" s="21">
        <f t="shared" si="0" ref="C11:D58">K11-J11</f>
        <v>2051</v>
      </c>
      <c r="D11" s="21">
        <f t="shared" si="0"/>
        <v>1896</v>
      </c>
      <c r="E11" s="61">
        <v>1946</v>
      </c>
      <c r="F11" s="21">
        <f t="shared" si="1" ref="F11:F58">M11-E11</f>
        <v>2209</v>
      </c>
      <c r="G11" s="21">
        <f t="shared" si="2" ref="G11:G58">J11+C11+D11</f>
        <v>7492</v>
      </c>
      <c r="H11" s="42">
        <f>'Income Statement'!H55</f>
        <v>1957.7070266360004</v>
      </c>
      <c r="I11" s="21"/>
      <c r="J11" s="61">
        <v>3545</v>
      </c>
      <c r="K11" s="61">
        <v>5596</v>
      </c>
      <c r="L11" s="61">
        <v>7492</v>
      </c>
      <c r="M11" s="61">
        <v>4155</v>
      </c>
      <c r="N11" s="1"/>
      <c r="O11" s="1"/>
      <c r="P11" s="36"/>
    </row>
    <row r="12" ht="15" customHeight="1">
      <c r="A12" s="1"/>
      <c r="B12" s="41" t="s">
        <v>434</v>
      </c>
      <c r="C12" s="21">
        <f t="shared" si="0"/>
        <v>318</v>
      </c>
      <c r="D12" s="21">
        <f t="shared" si="0"/>
        <v>325</v>
      </c>
      <c r="E12" s="61">
        <v>305</v>
      </c>
      <c r="F12" s="21">
        <f t="shared" si="1"/>
        <v>316</v>
      </c>
      <c r="G12" s="21">
        <f t="shared" si="2"/>
        <v>1311</v>
      </c>
      <c r="H12" s="68">
        <v>330</v>
      </c>
      <c r="I12" s="21"/>
      <c r="J12" s="61">
        <v>668</v>
      </c>
      <c r="K12" s="61">
        <v>986</v>
      </c>
      <c r="L12" s="61">
        <v>1311</v>
      </c>
      <c r="M12" s="61">
        <v>621</v>
      </c>
      <c r="N12" s="1"/>
      <c r="O12" s="1"/>
      <c r="P12" s="36" t="s">
        <v>435</v>
      </c>
    </row>
    <row r="13" ht="15" customHeight="1">
      <c r="A13" s="1"/>
      <c r="B13" s="41" t="s">
        <v>436</v>
      </c>
      <c r="C13" s="21">
        <f t="shared" si="0"/>
        <v>430</v>
      </c>
      <c r="D13" s="21">
        <f t="shared" si="0"/>
        <v>316</v>
      </c>
      <c r="E13" s="61">
        <v>285</v>
      </c>
      <c r="F13" s="21">
        <f t="shared" si="1"/>
        <v>468</v>
      </c>
      <c r="G13" s="21">
        <f t="shared" si="2"/>
        <v>1695</v>
      </c>
      <c r="H13" s="42">
        <f>'Income Statement'!H180</f>
        <v>530.822</v>
      </c>
      <c r="I13" s="21"/>
      <c r="J13" s="61">
        <v>949</v>
      </c>
      <c r="K13" s="61">
        <v>1379</v>
      </c>
      <c r="L13" s="61">
        <v>1695</v>
      </c>
      <c r="M13" s="61">
        <v>753</v>
      </c>
      <c r="N13" s="1"/>
      <c r="O13" s="1"/>
      <c r="P13" s="36"/>
    </row>
    <row r="14" ht="15" customHeight="1">
      <c r="A14" s="1"/>
      <c r="B14" s="41" t="s">
        <v>203</v>
      </c>
      <c r="C14" s="21">
        <f t="shared" si="0"/>
        <v>694</v>
      </c>
      <c r="D14" s="21">
        <f t="shared" si="0"/>
        <v>872</v>
      </c>
      <c r="E14" s="61">
        <v>800</v>
      </c>
      <c r="F14" s="21">
        <f t="shared" si="1"/>
        <v>797</v>
      </c>
      <c r="G14" s="21">
        <f t="shared" si="2"/>
        <v>2991</v>
      </c>
      <c r="H14" s="42">
        <f>-'Income Statement'!H52</f>
        <v>785.2398637640001</v>
      </c>
      <c r="I14" s="21"/>
      <c r="J14" s="61">
        <v>1425</v>
      </c>
      <c r="K14" s="61">
        <v>2119</v>
      </c>
      <c r="L14" s="61">
        <v>2991</v>
      </c>
      <c r="M14" s="61">
        <v>1597</v>
      </c>
      <c r="N14" s="1"/>
      <c r="O14" s="1"/>
      <c r="P14" s="36"/>
    </row>
    <row r="15" ht="15" customHeight="1">
      <c r="A15" s="1"/>
      <c r="B15" s="41" t="s">
        <v>201</v>
      </c>
      <c r="C15" s="21">
        <f t="shared" si="0"/>
        <v>-212</v>
      </c>
      <c r="D15" s="21">
        <f t="shared" si="0"/>
        <v>-147</v>
      </c>
      <c r="E15" s="61">
        <v>18</v>
      </c>
      <c r="F15" s="21">
        <f t="shared" si="1"/>
        <v>-403</v>
      </c>
      <c r="G15" s="21">
        <f t="shared" si="2"/>
        <v>-534</v>
      </c>
      <c r="H15" s="42">
        <f>-'Income Statement'!H49</f>
        <v>68</v>
      </c>
      <c r="I15" s="21"/>
      <c r="J15" s="61">
        <v>-175</v>
      </c>
      <c r="K15" s="61">
        <v>-387</v>
      </c>
      <c r="L15" s="61">
        <v>-534</v>
      </c>
      <c r="M15" s="61">
        <v>-385</v>
      </c>
      <c r="N15" s="1"/>
      <c r="O15" s="1"/>
      <c r="P15" s="36"/>
    </row>
    <row r="16" ht="15" customHeight="1">
      <c r="A16" s="1"/>
      <c r="B16" s="41" t="s">
        <v>437</v>
      </c>
      <c r="C16" s="21">
        <f t="shared" si="0"/>
        <v>-8</v>
      </c>
      <c r="D16" s="21">
        <f t="shared" si="0"/>
        <v>1</v>
      </c>
      <c r="E16" s="61">
        <v>23</v>
      </c>
      <c r="F16" s="21">
        <f t="shared" si="1"/>
        <v>8</v>
      </c>
      <c r="G16" s="21">
        <f t="shared" si="2"/>
        <v>11</v>
      </c>
      <c r="H16" s="68">
        <v>0</v>
      </c>
      <c r="I16" s="21"/>
      <c r="J16" s="61">
        <v>18</v>
      </c>
      <c r="K16" s="61">
        <v>10</v>
      </c>
      <c r="L16" s="61">
        <v>11</v>
      </c>
      <c r="M16" s="61">
        <v>31</v>
      </c>
      <c r="N16" s="1"/>
      <c r="O16" s="1"/>
      <c r="P16" s="36" t="s">
        <v>438</v>
      </c>
    </row>
    <row r="17" ht="15" customHeight="1">
      <c r="A17" s="1"/>
      <c r="B17" s="41" t="s">
        <v>439</v>
      </c>
      <c r="C17" s="21">
        <f t="shared" si="0"/>
        <v>8</v>
      </c>
      <c r="D17" s="21">
        <f t="shared" si="0"/>
        <v>97</v>
      </c>
      <c r="E17" s="61">
        <v>-35</v>
      </c>
      <c r="F17" s="21">
        <f t="shared" si="1"/>
        <v>5</v>
      </c>
      <c r="G17" s="21">
        <f t="shared" si="2"/>
        <v>94</v>
      </c>
      <c r="H17" s="68">
        <v>0</v>
      </c>
      <c r="I17" s="21"/>
      <c r="J17" s="61">
        <v>-11</v>
      </c>
      <c r="K17" s="61">
        <v>-3</v>
      </c>
      <c r="L17" s="61">
        <v>94</v>
      </c>
      <c r="M17" s="61">
        <v>-30</v>
      </c>
      <c r="N17" s="1"/>
      <c r="O17" s="1"/>
      <c r="P17" s="36"/>
    </row>
    <row r="18" ht="15" customHeight="1">
      <c r="A18" s="1"/>
      <c r="B18" s="41" t="s">
        <v>440</v>
      </c>
      <c r="C18" s="21">
        <f t="shared" si="0"/>
        <v>576</v>
      </c>
      <c r="D18" s="21">
        <f t="shared" si="0"/>
        <v>-1067</v>
      </c>
      <c r="E18" s="61">
        <v>-1800</v>
      </c>
      <c r="F18" s="21">
        <f t="shared" si="1"/>
        <v>1576</v>
      </c>
      <c r="G18" s="21">
        <f t="shared" si="2"/>
        <v>-388</v>
      </c>
      <c r="H18" s="68">
        <v>600</v>
      </c>
      <c r="I18" s="21"/>
      <c r="J18" s="61">
        <v>103</v>
      </c>
      <c r="K18" s="61">
        <v>679</v>
      </c>
      <c r="L18" s="61">
        <v>-388</v>
      </c>
      <c r="M18" s="61">
        <v>-224</v>
      </c>
      <c r="N18" s="1"/>
      <c r="O18" s="1"/>
      <c r="P18" s="36" t="s">
        <v>441</v>
      </c>
    </row>
    <row r="19" ht="15" customHeight="1">
      <c r="A19" s="1"/>
      <c r="B19" s="41" t="s">
        <v>442</v>
      </c>
      <c r="C19" s="21">
        <f t="shared" si="0"/>
        <v>-211</v>
      </c>
      <c r="D19" s="21">
        <f t="shared" si="0"/>
        <v>-950</v>
      </c>
      <c r="E19" s="61">
        <v>186</v>
      </c>
      <c r="F19" s="21">
        <f t="shared" si="1"/>
        <v>-111</v>
      </c>
      <c r="G19" s="21">
        <f t="shared" si="2"/>
        <v>-1315</v>
      </c>
      <c r="H19" s="68">
        <v>-150</v>
      </c>
      <c r="I19" s="21"/>
      <c r="J19" s="61">
        <v>-154</v>
      </c>
      <c r="K19" s="61">
        <v>-365</v>
      </c>
      <c r="L19" s="61">
        <v>-1315</v>
      </c>
      <c r="M19" s="61">
        <v>75</v>
      </c>
      <c r="N19" s="1"/>
      <c r="O19" s="1"/>
      <c r="P19" s="36" t="s">
        <v>443</v>
      </c>
    </row>
    <row r="20" ht="15" customHeight="1">
      <c r="A20" s="1"/>
      <c r="B20" s="41" t="s">
        <v>444</v>
      </c>
      <c r="C20" s="21">
        <f t="shared" si="0"/>
        <v>167</v>
      </c>
      <c r="D20" s="21">
        <f t="shared" si="0"/>
        <v>1155</v>
      </c>
      <c r="E20" s="61">
        <v>-947</v>
      </c>
      <c r="F20" s="21">
        <f t="shared" si="1"/>
        <v>-305</v>
      </c>
      <c r="G20" s="21">
        <f t="shared" si="2"/>
        <v>-521</v>
      </c>
      <c r="H20" s="68">
        <v>100</v>
      </c>
      <c r="I20" s="21"/>
      <c r="J20" s="61">
        <v>-1843</v>
      </c>
      <c r="K20" s="61">
        <v>-1676</v>
      </c>
      <c r="L20" s="61">
        <v>-521</v>
      </c>
      <c r="M20" s="61">
        <v>-1252</v>
      </c>
      <c r="N20" s="1"/>
      <c r="O20" s="1"/>
      <c r="P20" s="36" t="s">
        <v>445</v>
      </c>
    </row>
    <row r="21" ht="15" customHeight="1">
      <c r="A21" s="1"/>
      <c r="B21" s="41" t="s">
        <v>446</v>
      </c>
      <c r="C21" s="21">
        <f t="shared" si="0"/>
        <v>-1629</v>
      </c>
      <c r="D21" s="21">
        <f t="shared" si="0"/>
        <v>-156</v>
      </c>
      <c r="E21" s="61">
        <v>3402</v>
      </c>
      <c r="F21" s="21">
        <f t="shared" si="1"/>
        <v>-412</v>
      </c>
      <c r="G21" s="21">
        <f t="shared" si="2"/>
        <v>1336</v>
      </c>
      <c r="H21" s="68">
        <v>-1650</v>
      </c>
      <c r="I21" s="21"/>
      <c r="J21" s="61">
        <v>3121</v>
      </c>
      <c r="K21" s="61">
        <v>1492</v>
      </c>
      <c r="L21" s="61">
        <v>1336</v>
      </c>
      <c r="M21" s="61">
        <v>2990</v>
      </c>
      <c r="N21" s="1"/>
      <c r="O21" s="1"/>
      <c r="P21" s="36" t="s">
        <v>447</v>
      </c>
    </row>
    <row r="22" ht="15" customHeight="1">
      <c r="A22" s="1"/>
      <c r="B22" s="41" t="s">
        <v>448</v>
      </c>
      <c r="C22" s="21">
        <f t="shared" si="0"/>
        <v>-313</v>
      </c>
      <c r="D22" s="21">
        <f t="shared" si="0"/>
        <v>-126</v>
      </c>
      <c r="E22" s="61">
        <v>-131</v>
      </c>
      <c r="F22" s="21">
        <f t="shared" si="1"/>
        <v>-160</v>
      </c>
      <c r="G22" s="21">
        <f t="shared" si="2"/>
        <v>-817</v>
      </c>
      <c r="H22" s="68">
        <v>-200</v>
      </c>
      <c r="I22" s="21"/>
      <c r="J22" s="61">
        <v>-378</v>
      </c>
      <c r="K22" s="61">
        <v>-691</v>
      </c>
      <c r="L22" s="61">
        <v>-817</v>
      </c>
      <c r="M22" s="61">
        <v>-291</v>
      </c>
      <c r="N22" s="1"/>
      <c r="O22" s="1"/>
      <c r="P22" s="36" t="s">
        <v>449</v>
      </c>
    </row>
    <row r="23" ht="15" customHeight="1">
      <c r="A23" s="1"/>
      <c r="B23" s="41" t="s">
        <v>450</v>
      </c>
      <c r="C23" s="21">
        <f t="shared" si="0"/>
        <v>-369</v>
      </c>
      <c r="D23" s="21">
        <f t="shared" si="0"/>
        <v>-918</v>
      </c>
      <c r="E23" s="61">
        <v>-540</v>
      </c>
      <c r="F23" s="21">
        <f t="shared" si="1"/>
        <v>-836</v>
      </c>
      <c r="G23" s="21">
        <f t="shared" si="2"/>
        <v>-2198</v>
      </c>
      <c r="H23" s="68">
        <v>-450</v>
      </c>
      <c r="I23" s="21"/>
      <c r="J23" s="61">
        <v>-911</v>
      </c>
      <c r="K23" s="61">
        <v>-1280</v>
      </c>
      <c r="L23" s="61">
        <v>-2198</v>
      </c>
      <c r="M23" s="61">
        <v>-1376</v>
      </c>
      <c r="N23" s="1"/>
      <c r="O23" s="1"/>
      <c r="P23" s="36" t="s">
        <v>451</v>
      </c>
    </row>
    <row r="24" ht="15" customHeight="1">
      <c r="A24" s="1"/>
      <c r="B24" s="43" t="s">
        <v>80</v>
      </c>
      <c r="C24" s="45">
        <f t="shared" si="0"/>
        <v>0</v>
      </c>
      <c r="D24" s="45">
        <f t="shared" si="0"/>
        <v>-1</v>
      </c>
      <c r="E24" s="50">
        <v>1</v>
      </c>
      <c r="F24" s="45">
        <f t="shared" si="1"/>
        <v>1</v>
      </c>
      <c r="G24" s="45">
        <f t="shared" si="2"/>
        <v>-1</v>
      </c>
      <c r="H24" s="46"/>
      <c r="I24" s="45"/>
      <c r="J24" s="45"/>
      <c r="K24" s="45"/>
      <c r="L24" s="50">
        <v>-1</v>
      </c>
      <c r="M24" s="50">
        <v>2</v>
      </c>
      <c r="N24" s="1"/>
      <c r="O24" s="1"/>
      <c r="P24" s="36" t="s">
        <v>452</v>
      </c>
    </row>
    <row r="25" ht="15" customHeight="1">
      <c r="A25" s="1"/>
      <c r="B25" s="25" t="s">
        <v>453</v>
      </c>
      <c r="C25" s="51">
        <f t="shared" si="3" ref="C25:M25">C11+C12+C13+C14+C15+C16+C17+C18+C19+C20+C21+C22+C23+C24</f>
        <v>1502</v>
      </c>
      <c r="D25" s="51">
        <f t="shared" si="3"/>
        <v>1297</v>
      </c>
      <c r="E25" s="51">
        <f t="shared" si="3"/>
        <v>3513</v>
      </c>
      <c r="F25" s="51">
        <f t="shared" si="3"/>
        <v>3153</v>
      </c>
      <c r="G25" s="51">
        <f t="shared" si="3"/>
        <v>9156</v>
      </c>
      <c r="H25" s="52">
        <f t="shared" si="3"/>
        <v>1921.7688904000006</v>
      </c>
      <c r="I25" s="51"/>
      <c r="J25" s="51">
        <f t="shared" si="3"/>
        <v>6357</v>
      </c>
      <c r="K25" s="51">
        <f t="shared" si="3"/>
        <v>7859</v>
      </c>
      <c r="L25" s="51">
        <f t="shared" si="3"/>
        <v>9156</v>
      </c>
      <c r="M25" s="51">
        <f t="shared" si="3"/>
        <v>6666</v>
      </c>
      <c r="N25" s="1"/>
      <c r="O25" s="1"/>
      <c r="P25" s="36"/>
    </row>
    <row r="26" ht="15" customHeight="1">
      <c r="A26" s="1"/>
      <c r="B26" s="1"/>
      <c r="C26" s="1"/>
      <c r="D26" s="1"/>
      <c r="E26" s="1"/>
      <c r="F26" s="1"/>
      <c r="G26" s="1"/>
      <c r="H26" s="40"/>
      <c r="I26" s="1"/>
      <c r="J26" s="1"/>
      <c r="K26" s="1"/>
      <c r="L26" s="1"/>
      <c r="M26" s="1"/>
      <c r="N26" s="1"/>
      <c r="O26" s="1"/>
      <c r="P26" s="36"/>
    </row>
    <row r="27" ht="15" customHeight="1">
      <c r="A27" s="1"/>
      <c r="B27" s="25" t="s">
        <v>454</v>
      </c>
      <c r="C27" s="1"/>
      <c r="D27" s="1"/>
      <c r="E27" s="1"/>
      <c r="F27" s="1"/>
      <c r="G27" s="1"/>
      <c r="H27" s="40"/>
      <c r="I27" s="1"/>
      <c r="J27" s="1"/>
      <c r="K27" s="1"/>
      <c r="L27" s="1"/>
      <c r="M27" s="1"/>
      <c r="N27" s="1"/>
      <c r="O27" s="1"/>
      <c r="P27" s="36"/>
    </row>
    <row r="28" ht="15" customHeight="1">
      <c r="A28" s="1"/>
      <c r="B28" s="41" t="s">
        <v>455</v>
      </c>
      <c r="C28" s="21">
        <f t="shared" si="0"/>
        <v>-695</v>
      </c>
      <c r="D28" s="21">
        <f t="shared" si="0"/>
        <v>-2</v>
      </c>
      <c r="E28" s="61">
        <v>-2</v>
      </c>
      <c r="F28" s="21">
        <f t="shared" si="1"/>
        <v>-989</v>
      </c>
      <c r="G28" s="21">
        <f t="shared" si="2"/>
        <v>-702</v>
      </c>
      <c r="H28" s="68">
        <v>-1050</v>
      </c>
      <c r="I28" s="21"/>
      <c r="J28" s="61">
        <v>-5</v>
      </c>
      <c r="K28" s="61">
        <v>-700</v>
      </c>
      <c r="L28" s="61">
        <v>-702</v>
      </c>
      <c r="M28" s="61">
        <v>-991</v>
      </c>
      <c r="N28" s="1"/>
      <c r="O28" s="1"/>
      <c r="P28" s="36" t="s">
        <v>456</v>
      </c>
    </row>
    <row r="29" ht="15" customHeight="1">
      <c r="A29" s="1"/>
      <c r="B29" s="41" t="s">
        <v>457</v>
      </c>
      <c r="C29" s="21">
        <f t="shared" si="0"/>
        <v>-201</v>
      </c>
      <c r="D29" s="21">
        <f t="shared" si="0"/>
        <v>-180</v>
      </c>
      <c r="E29" s="61">
        <v>-238</v>
      </c>
      <c r="F29" s="21">
        <f t="shared" si="1"/>
        <v>-116</v>
      </c>
      <c r="G29" s="21">
        <f t="shared" si="2"/>
        <v>-739</v>
      </c>
      <c r="H29" s="68">
        <v>-200</v>
      </c>
      <c r="I29" s="21"/>
      <c r="J29" s="61">
        <v>-358</v>
      </c>
      <c r="K29" s="61">
        <v>-559</v>
      </c>
      <c r="L29" s="61">
        <v>-739</v>
      </c>
      <c r="M29" s="61">
        <v>-354</v>
      </c>
      <c r="N29" s="1"/>
      <c r="O29" s="1"/>
      <c r="P29" s="36" t="s">
        <v>458</v>
      </c>
    </row>
    <row r="30" ht="15" customHeight="1">
      <c r="A30" s="1"/>
      <c r="B30" s="41" t="s">
        <v>459</v>
      </c>
      <c r="C30" s="21">
        <f t="shared" si="0"/>
        <v>32</v>
      </c>
      <c r="D30" s="21">
        <f t="shared" si="0"/>
        <v>11</v>
      </c>
      <c r="E30" s="61">
        <v>32</v>
      </c>
      <c r="F30" s="21">
        <f t="shared" si="1"/>
        <v>23</v>
      </c>
      <c r="G30" s="21">
        <f t="shared" si="2"/>
        <v>121</v>
      </c>
      <c r="H30" s="68">
        <v>20</v>
      </c>
      <c r="I30" s="21"/>
      <c r="J30" s="61">
        <v>78</v>
      </c>
      <c r="K30" s="61">
        <v>110</v>
      </c>
      <c r="L30" s="61">
        <v>121</v>
      </c>
      <c r="M30" s="61">
        <v>55</v>
      </c>
      <c r="N30" s="1"/>
      <c r="O30" s="1"/>
      <c r="P30" s="36" t="s">
        <v>460</v>
      </c>
    </row>
    <row r="31" ht="15" customHeight="1">
      <c r="A31" s="1"/>
      <c r="B31" s="41" t="s">
        <v>461</v>
      </c>
      <c r="C31" s="21">
        <f t="shared" si="0"/>
        <v>-983</v>
      </c>
      <c r="D31" s="21">
        <f t="shared" si="0"/>
        <v>-1476</v>
      </c>
      <c r="E31" s="61">
        <v>-594</v>
      </c>
      <c r="F31" s="21">
        <f t="shared" si="1"/>
        <v>-1186</v>
      </c>
      <c r="G31" s="21">
        <f t="shared" si="2"/>
        <v>-5845</v>
      </c>
      <c r="H31" s="68">
        <v>0</v>
      </c>
      <c r="I31" s="21"/>
      <c r="J31" s="61">
        <v>-3386</v>
      </c>
      <c r="K31" s="61">
        <v>-4369</v>
      </c>
      <c r="L31" s="61">
        <v>-5845</v>
      </c>
      <c r="M31" s="61">
        <v>-1780</v>
      </c>
      <c r="N31" s="1"/>
      <c r="O31" s="1"/>
      <c r="P31" s="36" t="s">
        <v>462</v>
      </c>
    </row>
    <row r="32" ht="15" customHeight="1">
      <c r="A32" s="1"/>
      <c r="B32" s="41" t="s">
        <v>463</v>
      </c>
      <c r="C32" s="21">
        <f t="shared" si="0"/>
        <v>1642</v>
      </c>
      <c r="D32" s="21">
        <f t="shared" si="0"/>
        <v>1325</v>
      </c>
      <c r="E32" s="61">
        <v>1534</v>
      </c>
      <c r="F32" s="21">
        <f t="shared" si="1"/>
        <v>454</v>
      </c>
      <c r="G32" s="21">
        <f t="shared" si="2"/>
        <v>5779</v>
      </c>
      <c r="H32" s="68">
        <v>0</v>
      </c>
      <c r="I32" s="21"/>
      <c r="J32" s="61">
        <v>2812</v>
      </c>
      <c r="K32" s="61">
        <v>4454</v>
      </c>
      <c r="L32" s="61">
        <v>5779</v>
      </c>
      <c r="M32" s="61">
        <v>1988</v>
      </c>
      <c r="N32" s="1"/>
      <c r="O32" s="1"/>
      <c r="P32" s="36" t="s">
        <v>464</v>
      </c>
    </row>
    <row r="33" ht="15" customHeight="1">
      <c r="A33" s="1"/>
      <c r="B33" s="41" t="s">
        <v>465</v>
      </c>
      <c r="C33" s="21">
        <f t="shared" si="0"/>
        <v>130</v>
      </c>
      <c r="D33" s="21">
        <f t="shared" si="0"/>
        <v>103</v>
      </c>
      <c r="E33" s="61">
        <v>90</v>
      </c>
      <c r="F33" s="21">
        <f t="shared" si="1"/>
        <v>71</v>
      </c>
      <c r="G33" s="21">
        <f t="shared" si="2"/>
        <v>420</v>
      </c>
      <c r="H33" s="68">
        <v>75</v>
      </c>
      <c r="I33" s="21"/>
      <c r="J33" s="61">
        <v>187</v>
      </c>
      <c r="K33" s="61">
        <v>317</v>
      </c>
      <c r="L33" s="61">
        <v>420</v>
      </c>
      <c r="M33" s="61">
        <v>161</v>
      </c>
      <c r="N33" s="1"/>
      <c r="O33" s="1"/>
      <c r="P33" s="36" t="s">
        <v>466</v>
      </c>
    </row>
    <row r="34" ht="15" customHeight="1">
      <c r="A34" s="1"/>
      <c r="B34" s="43" t="s">
        <v>80</v>
      </c>
      <c r="C34" s="45">
        <f t="shared" si="0"/>
        <v>1</v>
      </c>
      <c r="D34" s="45">
        <f t="shared" si="0"/>
        <v>1</v>
      </c>
      <c r="E34" s="50">
        <v>-1</v>
      </c>
      <c r="F34" s="45">
        <f t="shared" si="1"/>
        <v>2</v>
      </c>
      <c r="G34" s="45">
        <f t="shared" si="2"/>
        <v>1</v>
      </c>
      <c r="H34" s="46"/>
      <c r="I34" s="45"/>
      <c r="J34" s="50">
        <v>-1</v>
      </c>
      <c r="K34" s="45"/>
      <c r="L34" s="50">
        <v>1</v>
      </c>
      <c r="M34" s="50">
        <v>1</v>
      </c>
      <c r="N34" s="1"/>
      <c r="O34" s="1"/>
      <c r="P34" s="36" t="s">
        <v>452</v>
      </c>
    </row>
    <row r="35" ht="15" customHeight="1">
      <c r="A35" s="1"/>
      <c r="B35" s="25" t="s">
        <v>467</v>
      </c>
      <c r="C35" s="51">
        <f t="shared" si="4" ref="C35:M35">C28+C29+C30+C31+C32+C33+C34</f>
        <v>-74</v>
      </c>
      <c r="D35" s="51">
        <f t="shared" si="4"/>
        <v>-218</v>
      </c>
      <c r="E35" s="51">
        <f t="shared" si="4"/>
        <v>821</v>
      </c>
      <c r="F35" s="51">
        <f t="shared" si="4"/>
        <v>-1741</v>
      </c>
      <c r="G35" s="51">
        <f t="shared" si="4"/>
        <v>-965</v>
      </c>
      <c r="H35" s="52">
        <f t="shared" si="4"/>
        <v>-1155</v>
      </c>
      <c r="I35" s="51"/>
      <c r="J35" s="51">
        <f t="shared" si="4"/>
        <v>-673</v>
      </c>
      <c r="K35" s="51">
        <f t="shared" si="4"/>
        <v>-747</v>
      </c>
      <c r="L35" s="51">
        <f t="shared" si="4"/>
        <v>-965</v>
      </c>
      <c r="M35" s="51">
        <f t="shared" si="4"/>
        <v>-920</v>
      </c>
      <c r="N35" s="1"/>
      <c r="O35" s="1"/>
      <c r="P35" s="36"/>
    </row>
    <row r="36" ht="15" customHeight="1">
      <c r="A36" s="1"/>
      <c r="B36" s="1"/>
      <c r="C36" s="1"/>
      <c r="D36" s="1"/>
      <c r="E36" s="1"/>
      <c r="F36" s="1"/>
      <c r="G36" s="1"/>
      <c r="H36" s="40"/>
      <c r="I36" s="1"/>
      <c r="J36" s="1"/>
      <c r="K36" s="1"/>
      <c r="L36" s="1"/>
      <c r="M36" s="1"/>
      <c r="N36" s="1"/>
      <c r="O36" s="1"/>
      <c r="P36" s="36"/>
    </row>
    <row r="37" ht="15" customHeight="1">
      <c r="A37" s="1"/>
      <c r="B37" s="25" t="s">
        <v>468</v>
      </c>
      <c r="C37" s="1"/>
      <c r="D37" s="1"/>
      <c r="E37" s="1"/>
      <c r="F37" s="1"/>
      <c r="G37" s="1"/>
      <c r="H37" s="40"/>
      <c r="I37" s="1"/>
      <c r="J37" s="1"/>
      <c r="K37" s="1"/>
      <c r="L37" s="1"/>
      <c r="M37" s="1"/>
      <c r="N37" s="1"/>
      <c r="O37" s="1"/>
      <c r="P37" s="36"/>
    </row>
    <row r="38" ht="15" customHeight="1">
      <c r="A38" s="1"/>
      <c r="B38" s="41" t="s">
        <v>469</v>
      </c>
      <c r="C38" s="21">
        <f t="shared" si="0"/>
        <v>0</v>
      </c>
      <c r="D38" s="21">
        <f t="shared" si="0"/>
        <v>0</v>
      </c>
      <c r="E38" s="61">
        <v>0</v>
      </c>
      <c r="F38" s="21">
        <f t="shared" si="1"/>
        <v>-2883</v>
      </c>
      <c r="G38" s="21">
        <f t="shared" si="2"/>
        <v>-2743</v>
      </c>
      <c r="H38" s="68">
        <v>0</v>
      </c>
      <c r="I38" s="21"/>
      <c r="J38" s="61">
        <v>-2743</v>
      </c>
      <c r="K38" s="61">
        <v>-2743</v>
      </c>
      <c r="L38" s="61">
        <v>-2743</v>
      </c>
      <c r="M38" s="61">
        <v>-2883</v>
      </c>
      <c r="N38" s="1"/>
      <c r="O38" s="1"/>
      <c r="P38" s="36" t="s">
        <v>470</v>
      </c>
    </row>
    <row r="39" ht="15" customHeight="1">
      <c r="A39" s="1"/>
      <c r="B39" s="41" t="s">
        <v>471</v>
      </c>
      <c r="C39" s="21">
        <f t="shared" si="0"/>
        <v>-3</v>
      </c>
      <c r="D39" s="21">
        <f t="shared" si="0"/>
        <v>1</v>
      </c>
      <c r="E39" s="61">
        <v>-5</v>
      </c>
      <c r="F39" s="21">
        <f t="shared" si="1"/>
        <v>-23</v>
      </c>
      <c r="G39" s="21">
        <f t="shared" si="2"/>
        <v>-2</v>
      </c>
      <c r="H39" s="68">
        <v>0</v>
      </c>
      <c r="I39" s="21"/>
      <c r="J39" s="61">
        <v>0</v>
      </c>
      <c r="K39" s="61">
        <v>-3</v>
      </c>
      <c r="L39" s="61">
        <v>-2</v>
      </c>
      <c r="M39" s="61">
        <v>-28</v>
      </c>
      <c r="N39" s="1"/>
      <c r="O39" s="1"/>
      <c r="P39" s="36" t="s">
        <v>472</v>
      </c>
    </row>
    <row r="40" ht="15" customHeight="1">
      <c r="A40" s="1"/>
      <c r="B40" s="41" t="s">
        <v>473</v>
      </c>
      <c r="C40" s="21">
        <f t="shared" si="0"/>
        <v>-304</v>
      </c>
      <c r="D40" s="21">
        <f t="shared" si="0"/>
        <v>0</v>
      </c>
      <c r="E40" s="61">
        <v>-2279</v>
      </c>
      <c r="F40" s="21">
        <f t="shared" si="1"/>
        <v>-321</v>
      </c>
      <c r="G40" s="21">
        <f t="shared" si="2"/>
        <v>-1937</v>
      </c>
      <c r="H40" s="42">
        <f>-'Share Count'!H23</f>
        <v>-1530.0476</v>
      </c>
      <c r="I40" s="21"/>
      <c r="J40" s="61">
        <v>-1633</v>
      </c>
      <c r="K40" s="61">
        <v>-1937</v>
      </c>
      <c r="L40" s="61">
        <v>-1937</v>
      </c>
      <c r="M40" s="61">
        <v>-2600</v>
      </c>
      <c r="N40" s="1"/>
      <c r="O40" s="1"/>
      <c r="P40" s="36"/>
    </row>
    <row r="41" ht="15" customHeight="1">
      <c r="A41" s="1"/>
      <c r="B41" s="41" t="s">
        <v>474</v>
      </c>
      <c r="C41" s="21">
        <f t="shared" si="0"/>
        <v>0</v>
      </c>
      <c r="D41" s="21">
        <f t="shared" si="0"/>
        <v>0</v>
      </c>
      <c r="E41" s="61">
        <v>0</v>
      </c>
      <c r="F41" s="21">
        <f t="shared" si="1"/>
        <v>4486</v>
      </c>
      <c r="G41" s="21">
        <f t="shared" si="2"/>
        <v>2</v>
      </c>
      <c r="H41" s="68">
        <v>0</v>
      </c>
      <c r="I41" s="21"/>
      <c r="J41" s="61">
        <v>2</v>
      </c>
      <c r="K41" s="61">
        <v>2</v>
      </c>
      <c r="L41" s="61">
        <v>2</v>
      </c>
      <c r="M41" s="61">
        <v>4486</v>
      </c>
      <c r="N41" s="1"/>
      <c r="O41" s="1"/>
      <c r="P41" s="36"/>
    </row>
    <row r="42" ht="15" customHeight="1">
      <c r="A42" s="1"/>
      <c r="B42" s="41" t="s">
        <v>475</v>
      </c>
      <c r="C42" s="21">
        <f t="shared" si="0"/>
        <v>-256</v>
      </c>
      <c r="D42" s="21">
        <f t="shared" si="0"/>
        <v>-1085</v>
      </c>
      <c r="E42" s="61">
        <v>-500</v>
      </c>
      <c r="F42" s="21">
        <f t="shared" si="1"/>
        <v>-1600</v>
      </c>
      <c r="G42" s="21">
        <f t="shared" si="2"/>
        <v>-3191</v>
      </c>
      <c r="H42" s="68">
        <v>0</v>
      </c>
      <c r="I42" s="21"/>
      <c r="J42" s="61">
        <v>-1850</v>
      </c>
      <c r="K42" s="61">
        <v>-2106</v>
      </c>
      <c r="L42" s="61">
        <v>-3191</v>
      </c>
      <c r="M42" s="61">
        <v>-2100</v>
      </c>
      <c r="N42" s="1"/>
      <c r="O42" s="1"/>
      <c r="P42" s="36" t="s">
        <v>476</v>
      </c>
    </row>
    <row r="43" ht="15" customHeight="1">
      <c r="A43" s="1"/>
      <c r="B43" s="41" t="s">
        <v>477</v>
      </c>
      <c r="C43" s="21">
        <f t="shared" si="0"/>
        <v>-66</v>
      </c>
      <c r="D43" s="21">
        <f t="shared" si="0"/>
        <v>-95</v>
      </c>
      <c r="E43" s="61">
        <v>-59</v>
      </c>
      <c r="F43" s="21">
        <f t="shared" si="1"/>
        <v>-58</v>
      </c>
      <c r="G43" s="21">
        <f t="shared" si="2"/>
        <v>-299</v>
      </c>
      <c r="H43" s="68">
        <v>-60</v>
      </c>
      <c r="I43" s="21"/>
      <c r="J43" s="61">
        <v>-138</v>
      </c>
      <c r="K43" s="61">
        <v>-204</v>
      </c>
      <c r="L43" s="61">
        <v>-299</v>
      </c>
      <c r="M43" s="61">
        <v>-117</v>
      </c>
      <c r="N43" s="1"/>
      <c r="O43" s="1"/>
      <c r="P43" s="36"/>
    </row>
    <row r="44" ht="15" customHeight="1">
      <c r="A44" s="1"/>
      <c r="B44" s="41" t="s">
        <v>478</v>
      </c>
      <c r="C44" s="21">
        <f t="shared" si="0"/>
        <v>0</v>
      </c>
      <c r="D44" s="21">
        <f t="shared" si="0"/>
        <v>0</v>
      </c>
      <c r="E44" s="61">
        <v>0</v>
      </c>
      <c r="F44" s="21">
        <f t="shared" si="1"/>
        <v>0</v>
      </c>
      <c r="G44" s="21">
        <f t="shared" si="2"/>
        <v>0</v>
      </c>
      <c r="H44" s="68">
        <v>0</v>
      </c>
      <c r="I44" s="21"/>
      <c r="J44" s="61">
        <v>0</v>
      </c>
      <c r="K44" s="61">
        <v>0</v>
      </c>
      <c r="L44" s="61">
        <v>0</v>
      </c>
      <c r="M44" s="61">
        <v>0</v>
      </c>
      <c r="N44" s="1"/>
      <c r="O44" s="1"/>
      <c r="P44" s="36" t="s">
        <v>479</v>
      </c>
    </row>
    <row r="45" ht="15" customHeight="1">
      <c r="A45" s="1"/>
      <c r="B45" s="41" t="s">
        <v>480</v>
      </c>
      <c r="C45" s="21">
        <f t="shared" si="0"/>
        <v>-72</v>
      </c>
      <c r="D45" s="21">
        <f t="shared" si="0"/>
        <v>-123</v>
      </c>
      <c r="E45" s="61">
        <v>-191</v>
      </c>
      <c r="F45" s="21">
        <f t="shared" si="1"/>
        <v>-111</v>
      </c>
      <c r="G45" s="21">
        <f t="shared" si="2"/>
        <v>-574</v>
      </c>
      <c r="H45" s="59">
        <f>-H15-H33</f>
        <v>-143</v>
      </c>
      <c r="I45" s="21"/>
      <c r="J45" s="61">
        <v>-379</v>
      </c>
      <c r="K45" s="61">
        <v>-451</v>
      </c>
      <c r="L45" s="61">
        <v>-574</v>
      </c>
      <c r="M45" s="61">
        <v>-302</v>
      </c>
      <c r="N45" s="1"/>
      <c r="O45" s="1"/>
      <c r="P45" s="36" t="s">
        <v>481</v>
      </c>
    </row>
    <row r="46" ht="15" customHeight="1">
      <c r="A46" s="1"/>
      <c r="B46" s="43" t="s">
        <v>80</v>
      </c>
      <c r="C46" s="45">
        <f t="shared" si="0"/>
        <v>1</v>
      </c>
      <c r="D46" s="45">
        <f t="shared" si="0"/>
        <v>-1</v>
      </c>
      <c r="E46" s="50">
        <v>1</v>
      </c>
      <c r="F46" s="45">
        <f t="shared" si="1"/>
        <v>-2</v>
      </c>
      <c r="G46" s="45">
        <f t="shared" si="2"/>
        <v>-1</v>
      </c>
      <c r="H46" s="46"/>
      <c r="I46" s="45"/>
      <c r="J46" s="50">
        <v>-1</v>
      </c>
      <c r="K46" s="45"/>
      <c r="L46" s="50">
        <v>-1</v>
      </c>
      <c r="M46" s="50">
        <v>-1</v>
      </c>
      <c r="N46" s="1"/>
      <c r="O46" s="1"/>
      <c r="P46" s="36" t="s">
        <v>452</v>
      </c>
    </row>
    <row r="47" ht="15" customHeight="1">
      <c r="A47" s="1"/>
      <c r="B47" s="25" t="s">
        <v>482</v>
      </c>
      <c r="C47" s="51">
        <f t="shared" si="5" ref="C47:M47">C38+C39+C40+C41+C42+C43+C44+C45+C46</f>
        <v>-700</v>
      </c>
      <c r="D47" s="51">
        <f t="shared" si="5"/>
        <v>-1303</v>
      </c>
      <c r="E47" s="51">
        <f t="shared" si="5"/>
        <v>-3033</v>
      </c>
      <c r="F47" s="51">
        <f t="shared" si="5"/>
        <v>-512</v>
      </c>
      <c r="G47" s="51">
        <f t="shared" si="5"/>
        <v>-8745</v>
      </c>
      <c r="H47" s="52">
        <f t="shared" si="5"/>
        <v>-1733.0476</v>
      </c>
      <c r="I47" s="51"/>
      <c r="J47" s="51">
        <f t="shared" si="5"/>
        <v>-6742</v>
      </c>
      <c r="K47" s="51">
        <f t="shared" si="5"/>
        <v>-7442</v>
      </c>
      <c r="L47" s="51">
        <f t="shared" si="5"/>
        <v>-8745</v>
      </c>
      <c r="M47" s="51">
        <f t="shared" si="5"/>
        <v>-3545</v>
      </c>
      <c r="N47" s="1"/>
      <c r="O47" s="1"/>
      <c r="P47" s="36"/>
    </row>
    <row r="48" ht="15" customHeight="1">
      <c r="A48" s="1"/>
      <c r="B48" s="41" t="s">
        <v>483</v>
      </c>
      <c r="C48" s="21">
        <f t="shared" si="0"/>
        <v>-116</v>
      </c>
      <c r="D48" s="21">
        <f t="shared" si="0"/>
        <v>-110</v>
      </c>
      <c r="E48" s="61">
        <v>127</v>
      </c>
      <c r="F48" s="21">
        <f t="shared" si="1"/>
        <v>-37</v>
      </c>
      <c r="G48" s="21">
        <f t="shared" si="2"/>
        <v>-836</v>
      </c>
      <c r="H48" s="68">
        <v>0</v>
      </c>
      <c r="I48" s="21"/>
      <c r="J48" s="61">
        <v>-610</v>
      </c>
      <c r="K48" s="61">
        <v>-726</v>
      </c>
      <c r="L48" s="61">
        <v>-836</v>
      </c>
      <c r="M48" s="61">
        <v>90</v>
      </c>
      <c r="N48" s="1"/>
      <c r="O48" s="1"/>
      <c r="P48" s="36" t="s">
        <v>484</v>
      </c>
    </row>
    <row r="49" ht="15" customHeight="1">
      <c r="A49" s="1"/>
      <c r="B49" s="25" t="s">
        <v>485</v>
      </c>
      <c r="C49" s="51">
        <f t="shared" si="6" ref="C49:M49">C25+C35+C47+C48</f>
        <v>612</v>
      </c>
      <c r="D49" s="51">
        <f t="shared" si="6"/>
        <v>-334</v>
      </c>
      <c r="E49" s="51">
        <f t="shared" si="6"/>
        <v>1428</v>
      </c>
      <c r="F49" s="51">
        <f t="shared" si="6"/>
        <v>863</v>
      </c>
      <c r="G49" s="51">
        <f t="shared" si="6"/>
        <v>-1390</v>
      </c>
      <c r="H49" s="52">
        <f t="shared" si="6"/>
        <v>-966.2787095999995</v>
      </c>
      <c r="I49" s="51"/>
      <c r="J49" s="51">
        <f t="shared" si="6"/>
        <v>-1668</v>
      </c>
      <c r="K49" s="51">
        <f t="shared" si="6"/>
        <v>-1056</v>
      </c>
      <c r="L49" s="51">
        <f t="shared" si="6"/>
        <v>-1390</v>
      </c>
      <c r="M49" s="51">
        <f t="shared" si="6"/>
        <v>2291</v>
      </c>
      <c r="N49" s="1"/>
      <c r="O49" s="1"/>
      <c r="P49" s="36" t="s">
        <v>486</v>
      </c>
    </row>
    <row r="50" ht="15" customHeight="1">
      <c r="A50" s="1"/>
      <c r="B50" s="16" t="s">
        <v>487</v>
      </c>
      <c r="C50" s="21">
        <f>J52</f>
        <v>7942</v>
      </c>
      <c r="D50" s="20">
        <f>'Balance Sheet'!C11</f>
        <v>8554</v>
      </c>
      <c r="E50" s="20">
        <f>'Balance Sheet'!D11</f>
        <v>8220</v>
      </c>
      <c r="F50" s="20">
        <f>'Balance Sheet'!E11</f>
        <v>9648</v>
      </c>
      <c r="G50" s="21">
        <f>J50</f>
        <v>9609</v>
      </c>
      <c r="H50" s="42">
        <f>'Balance Sheet'!F11</f>
        <v>10511</v>
      </c>
      <c r="I50" s="21"/>
      <c r="J50" s="61">
        <v>9609</v>
      </c>
      <c r="K50" s="61">
        <v>9609</v>
      </c>
      <c r="L50" s="61">
        <v>9609</v>
      </c>
      <c r="M50" s="20">
        <f>'Balance Sheet'!D11</f>
        <v>8220</v>
      </c>
      <c r="N50" s="1"/>
      <c r="O50" s="1"/>
      <c r="P50" s="36"/>
    </row>
    <row r="51" ht="15" customHeight="1">
      <c r="A51" s="1"/>
      <c r="B51" s="43" t="s">
        <v>80</v>
      </c>
      <c r="C51" s="45">
        <f t="shared" si="0"/>
        <v>0</v>
      </c>
      <c r="D51" s="45">
        <f t="shared" si="0"/>
        <v>0</v>
      </c>
      <c r="E51" s="50">
        <v>0</v>
      </c>
      <c r="F51" s="45">
        <f t="shared" si="1"/>
        <v>0</v>
      </c>
      <c r="G51" s="45">
        <f t="shared" si="2"/>
        <v>1</v>
      </c>
      <c r="H51" s="46"/>
      <c r="I51" s="45"/>
      <c r="J51" s="50">
        <v>1</v>
      </c>
      <c r="K51" s="50">
        <v>1</v>
      </c>
      <c r="L51" s="50">
        <v>1</v>
      </c>
      <c r="M51" s="50">
        <v>0</v>
      </c>
      <c r="N51" s="1"/>
      <c r="O51" s="1"/>
      <c r="P51" s="36" t="s">
        <v>488</v>
      </c>
    </row>
    <row r="52" ht="15" customHeight="1">
      <c r="A52" s="1"/>
      <c r="B52" s="25" t="s">
        <v>489</v>
      </c>
      <c r="C52" s="51">
        <f t="shared" si="7" ref="C52:M52">C50+C49+C51</f>
        <v>8554</v>
      </c>
      <c r="D52" s="51">
        <f t="shared" si="7"/>
        <v>8220</v>
      </c>
      <c r="E52" s="51">
        <f t="shared" si="7"/>
        <v>9648</v>
      </c>
      <c r="F52" s="51">
        <f t="shared" si="7"/>
        <v>10511</v>
      </c>
      <c r="G52" s="51">
        <f t="shared" si="7"/>
        <v>8220</v>
      </c>
      <c r="H52" s="52">
        <f t="shared" si="7"/>
        <v>9544.7212904</v>
      </c>
      <c r="I52" s="51"/>
      <c r="J52" s="51">
        <f t="shared" si="7"/>
        <v>7942</v>
      </c>
      <c r="K52" s="51">
        <f t="shared" si="7"/>
        <v>8554</v>
      </c>
      <c r="L52" s="51">
        <f t="shared" si="7"/>
        <v>8220</v>
      </c>
      <c r="M52" s="51">
        <f t="shared" si="7"/>
        <v>10511</v>
      </c>
      <c r="N52" s="1"/>
      <c r="O52" s="1"/>
      <c r="P52" s="36"/>
    </row>
    <row r="53" ht="15" customHeight="1">
      <c r="A53" s="1"/>
      <c r="B53" s="58" t="s">
        <v>490</v>
      </c>
      <c r="C53" s="20">
        <f>ROUND(C52-'Balance Sheet'!C11,6)</f>
        <v>0</v>
      </c>
      <c r="D53" s="20">
        <f>ROUND(D52-'Balance Sheet'!D11,6)</f>
        <v>0</v>
      </c>
      <c r="E53" s="20">
        <f>ROUND(E52-'Balance Sheet'!E11,6)</f>
        <v>0</v>
      </c>
      <c r="F53" s="20">
        <f>ROUND(F52-'Balance Sheet'!F11,6)</f>
        <v>0</v>
      </c>
      <c r="G53" s="20">
        <f>ROUND(G52-'Balance Sheet'!G11,6)</f>
        <v>0</v>
      </c>
      <c r="H53" s="42">
        <f>ROUND(H52-'Balance Sheet'!H11,6)</f>
        <v>0</v>
      </c>
      <c r="I53" s="21"/>
      <c r="J53" s="21"/>
      <c r="K53" s="21"/>
      <c r="L53" s="21"/>
      <c r="M53" s="21"/>
      <c r="N53" s="1"/>
      <c r="O53" s="1"/>
      <c r="P53" s="36" t="s">
        <v>491</v>
      </c>
    </row>
    <row r="54" ht="15" customHeight="1">
      <c r="A54" s="1"/>
      <c r="B54" s="58" t="s">
        <v>492</v>
      </c>
      <c r="C54" s="20">
        <f>ROUND(C49+C51-('Balance Sheet'!C11-C50),6)</f>
        <v>0</v>
      </c>
      <c r="D54" s="20">
        <f>ROUND(D49+D51-('Balance Sheet'!D11-D50),6)</f>
        <v>0</v>
      </c>
      <c r="E54" s="20">
        <f>ROUND(E49+E51-('Balance Sheet'!E11-E50),6)</f>
        <v>0</v>
      </c>
      <c r="F54" s="20">
        <f>ROUND(F49+F51-('Balance Sheet'!F11-F50),6)</f>
        <v>0</v>
      </c>
      <c r="G54" s="20">
        <f>ROUND(G49+G51-('Balance Sheet'!G11-G50),6)</f>
        <v>0</v>
      </c>
      <c r="H54" s="42">
        <f>ROUND(H49+H51-('Balance Sheet'!H11-H50),6)</f>
        <v>0</v>
      </c>
      <c r="I54" s="21"/>
      <c r="J54" s="21"/>
      <c r="K54" s="21"/>
      <c r="L54" s="21"/>
      <c r="M54" s="21"/>
      <c r="N54" s="1"/>
      <c r="O54" s="1"/>
      <c r="P54" s="36" t="s">
        <v>493</v>
      </c>
    </row>
    <row r="55" ht="15" customHeight="1">
      <c r="A55" s="1"/>
      <c r="B55" s="1"/>
      <c r="C55" s="1"/>
      <c r="D55" s="1"/>
      <c r="E55" s="1"/>
      <c r="F55" s="1"/>
      <c r="G55" s="1"/>
      <c r="H55" s="40"/>
      <c r="I55" s="1"/>
      <c r="J55" s="1"/>
      <c r="K55" s="1"/>
      <c r="L55" s="1"/>
      <c r="M55" s="1"/>
      <c r="N55" s="1"/>
      <c r="O55" s="1"/>
      <c r="P55" s="36"/>
    </row>
    <row r="56" ht="15" customHeight="1">
      <c r="A56" s="1"/>
      <c r="B56" s="25" t="s">
        <v>494</v>
      </c>
      <c r="C56" s="1"/>
      <c r="D56" s="1"/>
      <c r="E56" s="1"/>
      <c r="F56" s="1"/>
      <c r="G56" s="1"/>
      <c r="H56" s="40"/>
      <c r="I56" s="1"/>
      <c r="J56" s="1"/>
      <c r="K56" s="1"/>
      <c r="L56" s="1"/>
      <c r="M56" s="1"/>
      <c r="N56" s="1"/>
      <c r="O56" s="1"/>
      <c r="P56" s="36"/>
    </row>
    <row r="57" ht="15" customHeight="1">
      <c r="A57" s="1"/>
      <c r="B57" s="25" t="s">
        <v>494</v>
      </c>
      <c r="C57" s="51">
        <f t="shared" si="8" ref="C57:M57">C25+C29+C30+C43</f>
        <v>1267</v>
      </c>
      <c r="D57" s="51">
        <f t="shared" si="8"/>
        <v>1033</v>
      </c>
      <c r="E57" s="51">
        <f t="shared" si="8"/>
        <v>3248</v>
      </c>
      <c r="F57" s="51">
        <f t="shared" si="8"/>
        <v>3002</v>
      </c>
      <c r="G57" s="51">
        <f t="shared" si="8"/>
        <v>8239</v>
      </c>
      <c r="H57" s="52">
        <f t="shared" si="8"/>
        <v>1681.7688904000006</v>
      </c>
      <c r="I57" s="51"/>
      <c r="J57" s="51">
        <f t="shared" si="8"/>
        <v>5939</v>
      </c>
      <c r="K57" s="51">
        <f t="shared" si="8"/>
        <v>7206</v>
      </c>
      <c r="L57" s="51">
        <f t="shared" si="8"/>
        <v>8239</v>
      </c>
      <c r="M57" s="51">
        <f t="shared" si="8"/>
        <v>6250</v>
      </c>
      <c r="N57" s="1"/>
      <c r="O57" s="1"/>
      <c r="P57" s="36" t="s">
        <v>495</v>
      </c>
    </row>
    <row r="58" ht="15" customHeight="1">
      <c r="A58" s="1"/>
      <c r="B58" s="41" t="s">
        <v>496</v>
      </c>
      <c r="C58" s="21">
        <f t="shared" si="0"/>
        <v>1266</v>
      </c>
      <c r="D58" s="21">
        <f t="shared" si="0"/>
        <v>1034</v>
      </c>
      <c r="E58" s="61">
        <v>3248</v>
      </c>
      <c r="F58" s="21">
        <f t="shared" si="1"/>
        <v>3002</v>
      </c>
      <c r="G58" s="21">
        <f t="shared" si="2"/>
        <v>8239</v>
      </c>
      <c r="H58" s="59"/>
      <c r="I58" s="21"/>
      <c r="J58" s="61">
        <v>5939</v>
      </c>
      <c r="K58" s="61">
        <v>7205</v>
      </c>
      <c r="L58" s="61">
        <v>8239</v>
      </c>
      <c r="M58" s="61">
        <v>6250</v>
      </c>
      <c r="N58" s="1"/>
      <c r="O58" s="1"/>
      <c r="P58" s="36"/>
    </row>
    <row r="59" ht="15" customHeight="1">
      <c r="A59" s="1"/>
      <c r="B59" s="41" t="s">
        <v>497</v>
      </c>
      <c r="C59" s="21">
        <f t="shared" si="9" ref="C59:M59">C57-C58</f>
        <v>1</v>
      </c>
      <c r="D59" s="21">
        <f t="shared" si="9"/>
        <v>-1</v>
      </c>
      <c r="E59" s="21">
        <f t="shared" si="9"/>
        <v>0</v>
      </c>
      <c r="F59" s="21">
        <f t="shared" si="9"/>
        <v>0</v>
      </c>
      <c r="G59" s="21">
        <f t="shared" si="9"/>
        <v>0</v>
      </c>
      <c r="H59" s="59"/>
      <c r="I59" s="21"/>
      <c r="J59" s="21">
        <f t="shared" si="9"/>
        <v>0</v>
      </c>
      <c r="K59" s="21">
        <f t="shared" si="9"/>
        <v>1</v>
      </c>
      <c r="L59" s="21">
        <f t="shared" si="9"/>
        <v>0</v>
      </c>
      <c r="M59" s="21">
        <f t="shared" si="9"/>
        <v>0</v>
      </c>
      <c r="N59" s="1"/>
      <c r="O59" s="1"/>
      <c r="P59" s="36" t="s">
        <v>498</v>
      </c>
    </row>
    <row r="60" ht="15" customHeight="1">
      <c r="A60" s="1"/>
      <c r="B60" s="41" t="s">
        <v>499</v>
      </c>
      <c r="C60" s="21">
        <f t="shared" si="10" ref="C60:M60">C29+C30</f>
        <v>-169</v>
      </c>
      <c r="D60" s="21">
        <f t="shared" si="10"/>
        <v>-169</v>
      </c>
      <c r="E60" s="21">
        <f t="shared" si="10"/>
        <v>-206</v>
      </c>
      <c r="F60" s="21">
        <f t="shared" si="10"/>
        <v>-93</v>
      </c>
      <c r="G60" s="21">
        <f t="shared" si="10"/>
        <v>-618</v>
      </c>
      <c r="H60" s="59">
        <f t="shared" si="10"/>
        <v>-180</v>
      </c>
      <c r="I60" s="21"/>
      <c r="J60" s="21">
        <f t="shared" si="10"/>
        <v>-280</v>
      </c>
      <c r="K60" s="21">
        <f t="shared" si="10"/>
        <v>-449</v>
      </c>
      <c r="L60" s="21">
        <f t="shared" si="10"/>
        <v>-618</v>
      </c>
      <c r="M60" s="21">
        <f t="shared" si="10"/>
        <v>-299</v>
      </c>
      <c r="N60" s="1"/>
      <c r="O60" s="1"/>
      <c r="P60" s="36" t="s">
        <v>500</v>
      </c>
    </row>
    <row r="61" ht="15" customHeight="1">
      <c r="A61" s="1"/>
      <c r="B61" s="43" t="s">
        <v>501</v>
      </c>
      <c r="C61" s="34">
        <f>_xlfn.IFERROR(C57/'Income Statement'!C135,"n/a")</f>
        <v>0.4937646141855027</v>
      </c>
      <c r="D61" s="34">
        <f>_xlfn.IFERROR(D57/'Income Statement'!D135,"n/a")</f>
        <v>0.36514669494521035</v>
      </c>
      <c r="E61" s="34">
        <f>_xlfn.IFERROR(E57/'Income Statement'!E135,"n/a")</f>
        <v>1.1328915242413673</v>
      </c>
      <c r="F61" s="34">
        <f>_xlfn.IFERROR(F57/'Income Statement'!F135,"n/a")</f>
        <v>1.0944221655122128</v>
      </c>
      <c r="G61" s="34">
        <f>_xlfn.IFERROR(G57/'Income Statement'!G135,"n/a")</f>
        <v>0.790842772125168</v>
      </c>
      <c r="H61" s="49">
        <f>_xlfn.IFERROR(H57/'Income Statement'!H135,"n/a")</f>
        <v>0.579731016781251</v>
      </c>
      <c r="I61" s="35"/>
      <c r="J61" s="35"/>
      <c r="K61" s="35"/>
      <c r="L61" s="35"/>
      <c r="M61" s="35"/>
      <c r="N61" s="1"/>
      <c r="O61" s="1"/>
      <c r="P61" s="36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A2F8EA8-9892-62C8-8B18-56C71A53B801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2.00390625" customWidth="1"/>
    <col min="10" max="14" width="12.00390625" customWidth="1"/>
    <col min="15" max="15" width="2.00390625" customWidth="1"/>
    <col min="16" max="16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15" customHeight="1">
      <c r="A3" s="1"/>
      <c r="B3" s="3" t="s">
        <v>502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4" t="s">
        <v>59</v>
      </c>
      <c r="K5" s="1"/>
      <c r="L5" s="1"/>
      <c r="M5" s="1"/>
      <c r="N5" s="1"/>
      <c r="O5" s="1"/>
      <c r="P5" s="1"/>
    </row>
    <row r="6" ht="15" customHeight="1">
      <c r="A6" s="1"/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7" t="s">
        <v>9</v>
      </c>
      <c r="I6" s="37"/>
      <c r="J6" s="6" t="s">
        <v>60</v>
      </c>
      <c r="K6" s="6" t="s">
        <v>61</v>
      </c>
      <c r="L6" s="6" t="s">
        <v>62</v>
      </c>
      <c r="M6" s="6" t="s">
        <v>63</v>
      </c>
      <c r="N6" s="6" t="s">
        <v>64</v>
      </c>
      <c r="O6" s="1"/>
      <c r="P6" s="3" t="s">
        <v>65</v>
      </c>
    </row>
    <row r="7" ht="15" customHeight="1">
      <c r="A7" s="1"/>
      <c r="B7" s="8" t="s">
        <v>10</v>
      </c>
      <c r="C7" s="9">
        <v>45930</v>
      </c>
      <c r="D7" s="9">
        <v>46022</v>
      </c>
      <c r="E7" s="9">
        <v>46112</v>
      </c>
      <c r="F7" s="9">
        <v>46203</v>
      </c>
      <c r="G7" s="9">
        <v>46022</v>
      </c>
      <c r="H7" s="10">
        <v>46295</v>
      </c>
      <c r="I7" s="38"/>
      <c r="J7" s="9">
        <v>45565</v>
      </c>
      <c r="K7" s="9">
        <v>45657</v>
      </c>
      <c r="L7" s="9">
        <v>45747</v>
      </c>
      <c r="M7" s="9">
        <v>45838</v>
      </c>
      <c r="N7" s="9">
        <v>45657</v>
      </c>
      <c r="O7" s="1"/>
      <c r="P7" s="1"/>
    </row>
    <row r="8" ht="15" customHeight="1">
      <c r="A8" s="1"/>
      <c r="B8" s="11" t="s">
        <v>11</v>
      </c>
      <c r="C8" s="12">
        <v>92</v>
      </c>
      <c r="D8" s="12">
        <v>92</v>
      </c>
      <c r="E8" s="12">
        <v>90</v>
      </c>
      <c r="F8" s="12">
        <v>91</v>
      </c>
      <c r="G8" s="12">
        <v>365</v>
      </c>
      <c r="H8" s="13">
        <v>92</v>
      </c>
      <c r="I8" s="39"/>
      <c r="J8" s="12">
        <v>92</v>
      </c>
      <c r="K8" s="12">
        <v>92</v>
      </c>
      <c r="L8" s="12">
        <v>90</v>
      </c>
      <c r="M8" s="12">
        <v>91</v>
      </c>
      <c r="N8" s="12">
        <v>366</v>
      </c>
      <c r="O8" s="1"/>
      <c r="P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36"/>
    </row>
    <row r="10" ht="15" customHeight="1">
      <c r="A10" s="1"/>
      <c r="B10" s="25" t="s">
        <v>503</v>
      </c>
      <c r="C10" s="1"/>
      <c r="D10" s="1"/>
      <c r="E10" s="1"/>
      <c r="F10" s="1"/>
      <c r="G10" s="1"/>
      <c r="H10" s="40"/>
      <c r="I10" s="1"/>
      <c r="J10" s="1"/>
      <c r="K10" s="1"/>
      <c r="L10" s="1"/>
      <c r="M10" s="1"/>
      <c r="N10" s="1"/>
      <c r="O10" s="1"/>
      <c r="P10" s="36"/>
    </row>
    <row r="11" ht="15" customHeight="1">
      <c r="A11" s="1"/>
      <c r="B11" s="41" t="s">
        <v>504</v>
      </c>
      <c r="C11" s="61">
        <v>1455</v>
      </c>
      <c r="D11" s="61">
        <v>1582</v>
      </c>
      <c r="E11" s="61">
        <v>1526</v>
      </c>
      <c r="F11" s="61">
        <v>1560</v>
      </c>
      <c r="G11" s="21">
        <f t="shared" si="7" ref="G11:G173">L11+M11+C11+D11</f>
        <v>5828</v>
      </c>
      <c r="H11" s="59">
        <f t="shared" si="8" ref="H11:H153">C11*(1+H12)</f>
        <v>1615.0500000000002</v>
      </c>
      <c r="I11" s="21"/>
      <c r="J11" s="61">
        <v>1282</v>
      </c>
      <c r="K11" s="61">
        <v>1557</v>
      </c>
      <c r="L11" s="61">
        <v>1379</v>
      </c>
      <c r="M11" s="61">
        <v>1412</v>
      </c>
      <c r="N11" s="61">
        <v>5359</v>
      </c>
      <c r="O11" s="1"/>
      <c r="P11" s="36"/>
    </row>
    <row r="12" ht="15" customHeight="1">
      <c r="A12" s="1"/>
      <c r="B12" s="43" t="s">
        <v>69</v>
      </c>
      <c r="C12" s="35">
        <f t="shared" si="0" ref="C12:G164">_xlfn.IFERROR(C11/J11-1,"n/a")</f>
        <v>0.13494539781591253</v>
      </c>
      <c r="D12" s="35">
        <f t="shared" si="0"/>
        <v>0.016056518946692355</v>
      </c>
      <c r="E12" s="35">
        <f t="shared" si="0"/>
        <v>0.10659898477157359</v>
      </c>
      <c r="F12" s="35">
        <f t="shared" si="0"/>
        <v>0.10481586402266285</v>
      </c>
      <c r="G12" s="35">
        <f t="shared" si="0"/>
        <v>0.08751632767307327</v>
      </c>
      <c r="H12" s="57">
        <v>0.11</v>
      </c>
      <c r="I12" s="35"/>
      <c r="J12" s="35"/>
      <c r="K12" s="35"/>
      <c r="L12" s="35"/>
      <c r="M12" s="35"/>
      <c r="N12" s="35"/>
      <c r="O12" s="1"/>
      <c r="P12" s="36"/>
    </row>
    <row r="13" ht="15" customHeight="1">
      <c r="A13" s="1"/>
      <c r="B13" s="43" t="s">
        <v>70</v>
      </c>
      <c r="C13" s="45">
        <f t="shared" si="9" ref="C13:C165">C11-M11</f>
        <v>43</v>
      </c>
      <c r="D13" s="45">
        <f t="shared" si="1" ref="D13:F165">D11-C11</f>
        <v>127</v>
      </c>
      <c r="E13" s="45">
        <f t="shared" si="1"/>
        <v>-56</v>
      </c>
      <c r="F13" s="45">
        <f t="shared" si="1"/>
        <v>34</v>
      </c>
      <c r="G13" s="45"/>
      <c r="H13" s="46">
        <f t="shared" si="10" ref="H13:H165">H11-F11</f>
        <v>55.05000000000018</v>
      </c>
      <c r="I13" s="45"/>
      <c r="J13" s="45"/>
      <c r="K13" s="45"/>
      <c r="L13" s="45"/>
      <c r="M13" s="45"/>
      <c r="N13" s="45"/>
      <c r="O13" s="1"/>
      <c r="P13" s="36"/>
    </row>
    <row r="14" ht="15" customHeight="1">
      <c r="A14" s="1"/>
      <c r="B14" s="43" t="s">
        <v>71</v>
      </c>
      <c r="C14" s="35">
        <f t="shared" si="11" ref="C14:C166">_xlfn.IFERROR(C11/M11-1,"n/a")</f>
        <v>0.030453257790368227</v>
      </c>
      <c r="D14" s="35">
        <f t="shared" si="2" ref="D14:F166">_xlfn.IFERROR(D11/C11-1,"n/a")</f>
        <v>0.0872852233676975</v>
      </c>
      <c r="E14" s="35">
        <f t="shared" si="2"/>
        <v>-0.03539823008849563</v>
      </c>
      <c r="F14" s="35">
        <f t="shared" si="2"/>
        <v>0.022280471821756187</v>
      </c>
      <c r="G14" s="35"/>
      <c r="H14" s="44">
        <f t="shared" si="12" ref="H14:H166">_xlfn.IFERROR(H11/F11-1,"n/a")</f>
        <v>0.03528846153846166</v>
      </c>
      <c r="I14" s="35"/>
      <c r="J14" s="35"/>
      <c r="K14" s="35"/>
      <c r="L14" s="35"/>
      <c r="M14" s="35"/>
      <c r="N14" s="35"/>
      <c r="O14" s="1"/>
      <c r="P14" s="36"/>
    </row>
    <row r="15" ht="15" customHeight="1">
      <c r="A15" s="1"/>
      <c r="B15" s="43" t="s">
        <v>72</v>
      </c>
      <c r="C15" s="35">
        <f t="shared" si="3" ref="C15:H15">_xlfn.IFERROR(C11/C104,"n/a")</f>
        <v>0.1603129131776113</v>
      </c>
      <c r="D15" s="35">
        <f t="shared" si="3"/>
        <v>0.1633622470053697</v>
      </c>
      <c r="E15" s="35">
        <f t="shared" si="3"/>
        <v>0.1597069597069597</v>
      </c>
      <c r="F15" s="35">
        <f t="shared" si="3"/>
        <v>0.15792670581089288</v>
      </c>
      <c r="G15" s="35">
        <f t="shared" si="3"/>
        <v>0.15836956521739132</v>
      </c>
      <c r="H15" s="44">
        <f t="shared" si="3"/>
        <v>0.15985530049240687</v>
      </c>
      <c r="I15" s="35"/>
      <c r="J15" s="35"/>
      <c r="K15" s="35"/>
      <c r="L15" s="35"/>
      <c r="M15" s="35"/>
      <c r="N15" s="35"/>
      <c r="O15" s="1"/>
      <c r="P15" s="36"/>
    </row>
    <row r="16" ht="15" customHeight="1">
      <c r="A16" s="1"/>
      <c r="B16" s="43" t="s">
        <v>73</v>
      </c>
      <c r="C16" s="50">
        <v>1</v>
      </c>
      <c r="D16" s="50">
        <v>2</v>
      </c>
      <c r="E16" s="50">
        <v>2</v>
      </c>
      <c r="F16" s="50">
        <v>1</v>
      </c>
      <c r="G16" s="50">
        <v>1</v>
      </c>
      <c r="H16" s="48">
        <f>'Revenue summary'!H36*F16/(F16+F26+F46+F56+F77+F87)</f>
        <v>-0.6604940238223427</v>
      </c>
      <c r="I16" s="45"/>
      <c r="J16" s="45"/>
      <c r="K16" s="45"/>
      <c r="L16" s="45"/>
      <c r="M16" s="45"/>
      <c r="N16" s="45"/>
      <c r="O16" s="1"/>
      <c r="P16" s="36" t="s">
        <v>505</v>
      </c>
    </row>
    <row r="17" ht="15" customHeight="1">
      <c r="A17" s="1"/>
      <c r="B17" s="43" t="s">
        <v>75</v>
      </c>
      <c r="C17" s="35">
        <f t="shared" si="4" ref="C17:G169">_xlfn.IFERROR((C11+C16)/J11-1,"n/a")</f>
        <v>0.13572542901716078</v>
      </c>
      <c r="D17" s="35">
        <f t="shared" si="4"/>
        <v>0.01734104046242768</v>
      </c>
      <c r="E17" s="35">
        <f t="shared" si="4"/>
        <v>0.10804931109499627</v>
      </c>
      <c r="F17" s="35">
        <f t="shared" si="4"/>
        <v>0.10552407932011332</v>
      </c>
      <c r="G17" s="35">
        <f t="shared" si="4"/>
        <v>0.0877029296510543</v>
      </c>
      <c r="H17" s="44">
        <f t="shared" si="14" ref="H17:H169">_xlfn.IFERROR((H11+H16)/C11-1,"n/a")</f>
        <v>0.1095460522173044</v>
      </c>
      <c r="I17" s="35"/>
      <c r="J17" s="35"/>
      <c r="K17" s="35"/>
      <c r="L17" s="35"/>
      <c r="M17" s="35"/>
      <c r="N17" s="35"/>
      <c r="O17" s="1"/>
      <c r="P17" s="36"/>
    </row>
    <row r="18" ht="15" customHeight="1">
      <c r="A18" s="1"/>
      <c r="B18" s="43" t="s">
        <v>76</v>
      </c>
      <c r="C18" s="35">
        <f t="shared" si="5" ref="C18:H170">_xlfn.IFERROR((1+C12)/(1+C17)-1,"n/a")</f>
        <v>-0.0006868131868134064</v>
      </c>
      <c r="D18" s="35">
        <f t="shared" si="5"/>
        <v>-0.0012626262626261875</v>
      </c>
      <c r="E18" s="35">
        <f t="shared" si="5"/>
        <v>-0.0013089005235601414</v>
      </c>
      <c r="F18" s="35">
        <f t="shared" si="5"/>
        <v>-0.0006406149903908087</v>
      </c>
      <c r="G18" s="35">
        <f t="shared" si="5"/>
        <v>-0.0001715560130383098</v>
      </c>
      <c r="H18" s="44">
        <f t="shared" si="5"/>
        <v>0.00040912928470926424</v>
      </c>
      <c r="I18" s="35"/>
      <c r="J18" s="35"/>
      <c r="K18" s="35"/>
      <c r="L18" s="35"/>
      <c r="M18" s="35"/>
      <c r="N18" s="35"/>
      <c r="O18" s="1"/>
      <c r="P18" s="36"/>
    </row>
    <row r="19" ht="15" customHeight="1">
      <c r="A19" s="1"/>
      <c r="B19" s="43" t="s">
        <v>77</v>
      </c>
      <c r="C19" s="35" t="s">
        <v>41</v>
      </c>
      <c r="D19" s="35" t="s">
        <v>41</v>
      </c>
      <c r="E19" s="35" t="s">
        <v>41</v>
      </c>
      <c r="F19" s="35" t="s">
        <v>41</v>
      </c>
      <c r="G19" s="35" t="s">
        <v>41</v>
      </c>
      <c r="H19" s="44" t="s">
        <v>41</v>
      </c>
      <c r="I19" s="35"/>
      <c r="J19" s="35"/>
      <c r="K19" s="35"/>
      <c r="L19" s="35"/>
      <c r="M19" s="35"/>
      <c r="N19" s="35"/>
      <c r="O19" s="1"/>
      <c r="P19" s="36" t="s">
        <v>83</v>
      </c>
    </row>
    <row r="20" ht="15" customHeight="1">
      <c r="A20" s="1"/>
      <c r="B20" s="43" t="s">
        <v>78</v>
      </c>
      <c r="C20" s="35" t="str">
        <f t="shared" si="6" ref="C20:H172">IF(AND(ISNUMBER(C19),ISNUMBER(C18),ISNUMBER(C12)),(1+C12)/((1+C19)*(1+C18))-1,"n/a")</f>
        <v>n/a</v>
      </c>
      <c r="D20" s="35" t="str">
        <f t="shared" si="6"/>
        <v>n/a</v>
      </c>
      <c r="E20" s="35" t="str">
        <f t="shared" si="6"/>
        <v>n/a</v>
      </c>
      <c r="F20" s="35" t="str">
        <f t="shared" si="6"/>
        <v>n/a</v>
      </c>
      <c r="G20" s="35" t="str">
        <f t="shared" si="6"/>
        <v>n/a</v>
      </c>
      <c r="H20" s="44" t="str">
        <f t="shared" si="6"/>
        <v>n/a</v>
      </c>
      <c r="I20" s="35"/>
      <c r="J20" s="35"/>
      <c r="K20" s="35"/>
      <c r="L20" s="35"/>
      <c r="M20" s="35"/>
      <c r="N20" s="35"/>
      <c r="O20" s="1"/>
      <c r="P20" s="36"/>
    </row>
    <row r="21" ht="15" customHeight="1">
      <c r="A21" s="1"/>
      <c r="B21" s="41" t="s">
        <v>506</v>
      </c>
      <c r="C21" s="61">
        <v>2790</v>
      </c>
      <c r="D21" s="61">
        <v>3007</v>
      </c>
      <c r="E21" s="61">
        <v>2953</v>
      </c>
      <c r="F21" s="61">
        <v>3043</v>
      </c>
      <c r="G21" s="21">
        <f t="shared" si="7"/>
        <v>11197</v>
      </c>
      <c r="H21" s="59">
        <f t="shared" si="8"/>
        <v>3110.85</v>
      </c>
      <c r="I21" s="21"/>
      <c r="J21" s="61">
        <v>2574</v>
      </c>
      <c r="K21" s="61">
        <v>2838</v>
      </c>
      <c r="L21" s="61">
        <v>2654</v>
      </c>
      <c r="M21" s="61">
        <v>2746</v>
      </c>
      <c r="N21" s="61">
        <v>10216</v>
      </c>
      <c r="O21" s="1"/>
      <c r="P21" s="36"/>
    </row>
    <row r="22" ht="15" customHeight="1">
      <c r="A22" s="1"/>
      <c r="B22" s="43" t="s">
        <v>69</v>
      </c>
      <c r="C22" s="35">
        <f t="shared" si="0"/>
        <v>0.08391608391608396</v>
      </c>
      <c r="D22" s="35">
        <f t="shared" si="0"/>
        <v>0.05954897815362936</v>
      </c>
      <c r="E22" s="35">
        <f t="shared" si="0"/>
        <v>0.11266013564431043</v>
      </c>
      <c r="F22" s="35">
        <f t="shared" si="0"/>
        <v>0.10815731973780052</v>
      </c>
      <c r="G22" s="35">
        <f t="shared" si="0"/>
        <v>0.0960258418167581</v>
      </c>
      <c r="H22" s="57">
        <v>0.115</v>
      </c>
      <c r="I22" s="35"/>
      <c r="J22" s="35"/>
      <c r="K22" s="35"/>
      <c r="L22" s="35"/>
      <c r="M22" s="35"/>
      <c r="N22" s="35"/>
      <c r="O22" s="1"/>
      <c r="P22" s="36"/>
    </row>
    <row r="23" ht="15" customHeight="1">
      <c r="A23" s="1"/>
      <c r="B23" s="43" t="s">
        <v>70</v>
      </c>
      <c r="C23" s="45">
        <f t="shared" si="9"/>
        <v>44</v>
      </c>
      <c r="D23" s="45">
        <f t="shared" si="1"/>
        <v>217</v>
      </c>
      <c r="E23" s="45">
        <f t="shared" si="1"/>
        <v>-54</v>
      </c>
      <c r="F23" s="45">
        <f t="shared" si="1"/>
        <v>90</v>
      </c>
      <c r="G23" s="45"/>
      <c r="H23" s="46">
        <f t="shared" si="10"/>
        <v>67.84999999999991</v>
      </c>
      <c r="I23" s="45"/>
      <c r="J23" s="45"/>
      <c r="K23" s="45"/>
      <c r="L23" s="45"/>
      <c r="M23" s="45"/>
      <c r="N23" s="45"/>
      <c r="O23" s="1"/>
      <c r="P23" s="36"/>
    </row>
    <row r="24" ht="15" customHeight="1">
      <c r="A24" s="1"/>
      <c r="B24" s="43" t="s">
        <v>71</v>
      </c>
      <c r="C24" s="35">
        <f t="shared" si="11"/>
        <v>0.016023306627822365</v>
      </c>
      <c r="D24" s="35">
        <f t="shared" si="2"/>
        <v>0.07777777777777772</v>
      </c>
      <c r="E24" s="35">
        <f t="shared" si="2"/>
        <v>-0.017958097771865633</v>
      </c>
      <c r="F24" s="35">
        <f t="shared" si="2"/>
        <v>0.03047748052827637</v>
      </c>
      <c r="G24" s="35"/>
      <c r="H24" s="44">
        <f t="shared" si="12"/>
        <v>0.02229707525468294</v>
      </c>
      <c r="I24" s="35"/>
      <c r="J24" s="35"/>
      <c r="K24" s="35"/>
      <c r="L24" s="35"/>
      <c r="M24" s="35"/>
      <c r="N24" s="35"/>
      <c r="O24" s="1"/>
      <c r="P24" s="36"/>
    </row>
    <row r="25" ht="15" customHeight="1">
      <c r="A25" s="1"/>
      <c r="B25" s="43" t="s">
        <v>72</v>
      </c>
      <c r="C25" s="35">
        <f t="shared" si="13" ref="C25:H25">_xlfn.IFERROR(C21/C104,"n/a")</f>
        <v>0.30740414279418243</v>
      </c>
      <c r="D25" s="35">
        <f t="shared" si="13"/>
        <v>0.31051218504750105</v>
      </c>
      <c r="E25" s="35">
        <f t="shared" si="13"/>
        <v>0.30905285190999476</v>
      </c>
      <c r="F25" s="35">
        <f t="shared" si="13"/>
        <v>0.30805831139906864</v>
      </c>
      <c r="G25" s="35">
        <f t="shared" si="13"/>
        <v>0.3042663043478261</v>
      </c>
      <c r="H25" s="44">
        <f t="shared" si="13"/>
        <v>0.3079074093909191</v>
      </c>
      <c r="I25" s="35"/>
      <c r="J25" s="35"/>
      <c r="K25" s="35"/>
      <c r="L25" s="35"/>
      <c r="M25" s="35"/>
      <c r="N25" s="35"/>
      <c r="O25" s="1"/>
      <c r="P25" s="36"/>
    </row>
    <row r="26" ht="15" customHeight="1">
      <c r="A26" s="1"/>
      <c r="B26" s="43" t="s">
        <v>73</v>
      </c>
      <c r="C26" s="50">
        <v>30</v>
      </c>
      <c r="D26" s="50">
        <v>57</v>
      </c>
      <c r="E26" s="50">
        <v>48</v>
      </c>
      <c r="F26" s="50">
        <v>-2</v>
      </c>
      <c r="G26" s="50">
        <v>83</v>
      </c>
      <c r="H26" s="48">
        <f>'Revenue summary'!H36*F26/(F16+F26+F46+F56+F77+F87)</f>
        <v>1.3209880476446854</v>
      </c>
      <c r="I26" s="45"/>
      <c r="J26" s="45"/>
      <c r="K26" s="45"/>
      <c r="L26" s="45"/>
      <c r="M26" s="45"/>
      <c r="N26" s="45"/>
      <c r="O26" s="1"/>
      <c r="P26" s="36" t="s">
        <v>505</v>
      </c>
    </row>
    <row r="27" ht="15" customHeight="1">
      <c r="A27" s="1"/>
      <c r="B27" s="43" t="s">
        <v>75</v>
      </c>
      <c r="C27" s="35">
        <f t="shared" si="4"/>
        <v>0.09557109557109555</v>
      </c>
      <c r="D27" s="35">
        <f t="shared" si="4"/>
        <v>0.07963354474982376</v>
      </c>
      <c r="E27" s="35">
        <f t="shared" si="4"/>
        <v>0.13074604370761111</v>
      </c>
      <c r="F27" s="35">
        <f t="shared" si="4"/>
        <v>0.10742898761835407</v>
      </c>
      <c r="G27" s="35">
        <f t="shared" si="4"/>
        <v>0.10415035238841042</v>
      </c>
      <c r="H27" s="44">
        <f t="shared" si="14"/>
        <v>0.11547347241851069</v>
      </c>
      <c r="I27" s="35"/>
      <c r="J27" s="35"/>
      <c r="K27" s="35"/>
      <c r="L27" s="35"/>
      <c r="M27" s="35"/>
      <c r="N27" s="35"/>
      <c r="O27" s="1"/>
      <c r="P27" s="36"/>
    </row>
    <row r="28" ht="15" customHeight="1">
      <c r="A28" s="1"/>
      <c r="B28" s="43" t="s">
        <v>76</v>
      </c>
      <c r="C28" s="35">
        <f t="shared" si="5"/>
        <v>-0.010638297872340385</v>
      </c>
      <c r="D28" s="35">
        <f t="shared" si="5"/>
        <v>-0.01860313315926887</v>
      </c>
      <c r="E28" s="35">
        <f t="shared" si="5"/>
        <v>-0.015994668443852</v>
      </c>
      <c r="F28" s="35">
        <f t="shared" si="5"/>
        <v>0.0006576783952647602</v>
      </c>
      <c r="G28" s="35">
        <f t="shared" si="5"/>
        <v>-0.007358156028368756</v>
      </c>
      <c r="H28" s="44">
        <f t="shared" si="5"/>
        <v>-0.00042445869867635544</v>
      </c>
      <c r="I28" s="35"/>
      <c r="J28" s="35"/>
      <c r="K28" s="35"/>
      <c r="L28" s="35"/>
      <c r="M28" s="35"/>
      <c r="N28" s="35"/>
      <c r="O28" s="1"/>
      <c r="P28" s="36"/>
    </row>
    <row r="29" ht="15" customHeight="1">
      <c r="A29" s="1"/>
      <c r="B29" s="43" t="s">
        <v>77</v>
      </c>
      <c r="C29" s="35" t="s">
        <v>41</v>
      </c>
      <c r="D29" s="35" t="s">
        <v>41</v>
      </c>
      <c r="E29" s="35" t="s">
        <v>41</v>
      </c>
      <c r="F29" s="35" t="s">
        <v>41</v>
      </c>
      <c r="G29" s="35" t="s">
        <v>41</v>
      </c>
      <c r="H29" s="44" t="s">
        <v>41</v>
      </c>
      <c r="I29" s="35"/>
      <c r="J29" s="35"/>
      <c r="K29" s="35"/>
      <c r="L29" s="35"/>
      <c r="M29" s="35"/>
      <c r="N29" s="35"/>
      <c r="O29" s="1"/>
      <c r="P29" s="36" t="s">
        <v>83</v>
      </c>
    </row>
    <row r="30" ht="15" customHeight="1">
      <c r="A30" s="1"/>
      <c r="B30" s="43" t="s">
        <v>78</v>
      </c>
      <c r="C30" s="35" t="str">
        <f t="shared" si="6"/>
        <v>n/a</v>
      </c>
      <c r="D30" s="35" t="str">
        <f t="shared" si="6"/>
        <v>n/a</v>
      </c>
      <c r="E30" s="35" t="str">
        <f t="shared" si="6"/>
        <v>n/a</v>
      </c>
      <c r="F30" s="35" t="str">
        <f t="shared" si="6"/>
        <v>n/a</v>
      </c>
      <c r="G30" s="35" t="str">
        <f t="shared" si="6"/>
        <v>n/a</v>
      </c>
      <c r="H30" s="44" t="str">
        <f t="shared" si="6"/>
        <v>n/a</v>
      </c>
      <c r="I30" s="35"/>
      <c r="J30" s="35"/>
      <c r="K30" s="35"/>
      <c r="L30" s="35"/>
      <c r="M30" s="35"/>
      <c r="N30" s="35"/>
      <c r="O30" s="1"/>
      <c r="P30" s="36"/>
    </row>
    <row r="31" ht="15" customHeight="1">
      <c r="A31" s="1"/>
      <c r="B31" s="25" t="s">
        <v>507</v>
      </c>
      <c r="C31" s="51">
        <f t="shared" si="15" ref="C31:N36">C11+C21</f>
        <v>4245</v>
      </c>
      <c r="D31" s="51">
        <f t="shared" si="15"/>
        <v>4589</v>
      </c>
      <c r="E31" s="51">
        <f t="shared" si="15"/>
        <v>4479</v>
      </c>
      <c r="F31" s="51">
        <f t="shared" si="15"/>
        <v>4603</v>
      </c>
      <c r="G31" s="51">
        <f t="shared" si="15"/>
        <v>17025</v>
      </c>
      <c r="H31" s="52">
        <f t="shared" si="15"/>
        <v>4725.9</v>
      </c>
      <c r="I31" s="51"/>
      <c r="J31" s="51">
        <f t="shared" si="15"/>
        <v>3856</v>
      </c>
      <c r="K31" s="51">
        <f t="shared" si="15"/>
        <v>4395</v>
      </c>
      <c r="L31" s="51">
        <f t="shared" si="15"/>
        <v>4033</v>
      </c>
      <c r="M31" s="51">
        <f t="shared" si="15"/>
        <v>4158</v>
      </c>
      <c r="N31" s="51">
        <f t="shared" si="15"/>
        <v>15575</v>
      </c>
      <c r="O31" s="1"/>
      <c r="P31" s="36"/>
    </row>
    <row r="32" ht="15" customHeight="1">
      <c r="A32" s="1"/>
      <c r="B32" s="43" t="s">
        <v>69</v>
      </c>
      <c r="C32" s="35">
        <f t="shared" si="0"/>
        <v>0.1008817427385893</v>
      </c>
      <c r="D32" s="35">
        <f t="shared" si="0"/>
        <v>0.0441410693970421</v>
      </c>
      <c r="E32" s="35">
        <f t="shared" si="0"/>
        <v>0.11058765187205544</v>
      </c>
      <c r="F32" s="35">
        <f t="shared" si="0"/>
        <v>0.10702260702260702</v>
      </c>
      <c r="G32" s="35">
        <f t="shared" si="0"/>
        <v>0.0930979133226324</v>
      </c>
      <c r="H32" s="44">
        <f t="shared" si="20" ref="H32:H164">_xlfn.IFERROR(H31/C31-1,"n/a")</f>
        <v>0.11328621908127201</v>
      </c>
      <c r="I32" s="35"/>
      <c r="J32" s="35"/>
      <c r="K32" s="35"/>
      <c r="L32" s="35"/>
      <c r="M32" s="35"/>
      <c r="N32" s="35"/>
      <c r="O32" s="1"/>
      <c r="P32" s="36"/>
    </row>
    <row r="33" ht="15" customHeight="1">
      <c r="A33" s="1"/>
      <c r="B33" s="43" t="s">
        <v>70</v>
      </c>
      <c r="C33" s="45">
        <f t="shared" si="9"/>
        <v>87</v>
      </c>
      <c r="D33" s="45">
        <f t="shared" si="1"/>
        <v>344</v>
      </c>
      <c r="E33" s="45">
        <f t="shared" si="1"/>
        <v>-110</v>
      </c>
      <c r="F33" s="45">
        <f t="shared" si="1"/>
        <v>124</v>
      </c>
      <c r="G33" s="45"/>
      <c r="H33" s="46">
        <f t="shared" si="10"/>
        <v>122.89999999999964</v>
      </c>
      <c r="I33" s="45"/>
      <c r="J33" s="45"/>
      <c r="K33" s="45"/>
      <c r="L33" s="45"/>
      <c r="M33" s="45"/>
      <c r="N33" s="45"/>
      <c r="O33" s="1"/>
      <c r="P33" s="36"/>
    </row>
    <row r="34" ht="15" customHeight="1">
      <c r="A34" s="1"/>
      <c r="B34" s="43" t="s">
        <v>71</v>
      </c>
      <c r="C34" s="35">
        <f t="shared" si="11"/>
        <v>0.02092352092352101</v>
      </c>
      <c r="D34" s="35">
        <f t="shared" si="2"/>
        <v>0.08103651354534747</v>
      </c>
      <c r="E34" s="35">
        <f t="shared" si="2"/>
        <v>-0.02397036391370666</v>
      </c>
      <c r="F34" s="35">
        <f t="shared" si="2"/>
        <v>0.027684751060504498</v>
      </c>
      <c r="G34" s="35"/>
      <c r="H34" s="44">
        <f t="shared" si="12"/>
        <v>0.026699978275037894</v>
      </c>
      <c r="I34" s="35"/>
      <c r="J34" s="35"/>
      <c r="K34" s="35"/>
      <c r="L34" s="35"/>
      <c r="M34" s="35"/>
      <c r="N34" s="35"/>
      <c r="O34" s="1"/>
      <c r="P34" s="36"/>
    </row>
    <row r="35" ht="15" customHeight="1">
      <c r="A35" s="1"/>
      <c r="B35" s="43" t="s">
        <v>72</v>
      </c>
      <c r="C35" s="35">
        <f t="shared" si="16" ref="C35:H35">_xlfn.IFERROR(C31/C104,"n/a")</f>
        <v>0.46771705597179375</v>
      </c>
      <c r="D35" s="35">
        <f t="shared" si="16"/>
        <v>0.4738744320528707</v>
      </c>
      <c r="E35" s="35">
        <f t="shared" si="16"/>
        <v>0.46875981161695446</v>
      </c>
      <c r="F35" s="35">
        <f t="shared" si="16"/>
        <v>0.46598501720996155</v>
      </c>
      <c r="G35" s="35">
        <f t="shared" si="16"/>
        <v>0.4626358695652174</v>
      </c>
      <c r="H35" s="44">
        <f t="shared" si="16"/>
        <v>0.4677627098833259</v>
      </c>
      <c r="I35" s="35"/>
      <c r="J35" s="35"/>
      <c r="K35" s="35"/>
      <c r="L35" s="35"/>
      <c r="M35" s="35"/>
      <c r="N35" s="35"/>
      <c r="O35" s="1"/>
      <c r="P35" s="36"/>
    </row>
    <row r="36" ht="15" customHeight="1">
      <c r="A36" s="1"/>
      <c r="B36" s="43" t="s">
        <v>73</v>
      </c>
      <c r="C36" s="50">
        <v>31</v>
      </c>
      <c r="D36" s="50">
        <v>58</v>
      </c>
      <c r="E36" s="50">
        <v>50</v>
      </c>
      <c r="F36" s="50">
        <v>-1</v>
      </c>
      <c r="G36" s="50">
        <v>83</v>
      </c>
      <c r="H36" s="46">
        <f t="shared" si="15"/>
        <v>0.6604940238223427</v>
      </c>
      <c r="I36" s="45"/>
      <c r="J36" s="45"/>
      <c r="K36" s="45"/>
      <c r="L36" s="45"/>
      <c r="M36" s="45"/>
      <c r="N36" s="45"/>
      <c r="O36" s="1"/>
      <c r="P36" s="36" t="s">
        <v>74</v>
      </c>
    </row>
    <row r="37" ht="15" customHeight="1">
      <c r="A37" s="1"/>
      <c r="B37" s="43" t="s">
        <v>75</v>
      </c>
      <c r="C37" s="35">
        <f t="shared" si="4"/>
        <v>0.1089211618257262</v>
      </c>
      <c r="D37" s="35">
        <f t="shared" si="4"/>
        <v>0.05733788395904438</v>
      </c>
      <c r="E37" s="35">
        <f t="shared" si="4"/>
        <v>0.12298537069179272</v>
      </c>
      <c r="F37" s="35">
        <f t="shared" si="4"/>
        <v>0.10678210678210687</v>
      </c>
      <c r="G37" s="35">
        <f t="shared" si="4"/>
        <v>0.09842696629213488</v>
      </c>
      <c r="H37" s="44">
        <f t="shared" si="14"/>
        <v>0.11344181249088847</v>
      </c>
      <c r="I37" s="35"/>
      <c r="J37" s="35"/>
      <c r="K37" s="35"/>
      <c r="L37" s="35"/>
      <c r="M37" s="35"/>
      <c r="N37" s="35"/>
      <c r="O37" s="1"/>
      <c r="P37" s="36"/>
    </row>
    <row r="38" ht="15" customHeight="1">
      <c r="A38" s="1"/>
      <c r="B38" s="43" t="s">
        <v>76</v>
      </c>
      <c r="C38" s="35">
        <f t="shared" si="5"/>
        <v>-0.007249766136576241</v>
      </c>
      <c r="D38" s="35">
        <f t="shared" si="5"/>
        <v>-0.012481170647729689</v>
      </c>
      <c r="E38" s="35">
        <f t="shared" si="5"/>
        <v>-0.0110399646721131</v>
      </c>
      <c r="F38" s="35">
        <f t="shared" si="5"/>
        <v>0.00021729682746629564</v>
      </c>
      <c r="G38" s="35">
        <f t="shared" si="5"/>
        <v>-0.004851531447276236</v>
      </c>
      <c r="H38" s="44">
        <f t="shared" si="5"/>
        <v>-0.00013974094368562895</v>
      </c>
      <c r="I38" s="35"/>
      <c r="J38" s="35"/>
      <c r="K38" s="35"/>
      <c r="L38" s="35"/>
      <c r="M38" s="35"/>
      <c r="N38" s="35"/>
      <c r="O38" s="1"/>
      <c r="P38" s="36"/>
    </row>
    <row r="39" ht="15" customHeight="1">
      <c r="A39" s="1"/>
      <c r="B39" s="43" t="s">
        <v>77</v>
      </c>
      <c r="C39" s="35" t="s">
        <v>41</v>
      </c>
      <c r="D39" s="35" t="s">
        <v>41</v>
      </c>
      <c r="E39" s="35" t="s">
        <v>41</v>
      </c>
      <c r="F39" s="35" t="s">
        <v>41</v>
      </c>
      <c r="G39" s="35" t="s">
        <v>41</v>
      </c>
      <c r="H39" s="44" t="s">
        <v>41</v>
      </c>
      <c r="I39" s="35"/>
      <c r="J39" s="35"/>
      <c r="K39" s="35"/>
      <c r="L39" s="35"/>
      <c r="M39" s="35"/>
      <c r="N39" s="35"/>
      <c r="O39" s="1"/>
      <c r="P39" s="36" t="s">
        <v>508</v>
      </c>
    </row>
    <row r="40" ht="15" customHeight="1">
      <c r="A40" s="1"/>
      <c r="B40" s="43" t="s">
        <v>78</v>
      </c>
      <c r="C40" s="35" t="s">
        <v>41</v>
      </c>
      <c r="D40" s="35" t="s">
        <v>41</v>
      </c>
      <c r="E40" s="35" t="s">
        <v>41</v>
      </c>
      <c r="F40" s="35" t="s">
        <v>41</v>
      </c>
      <c r="G40" s="35" t="s">
        <v>41</v>
      </c>
      <c r="H40" s="44" t="s">
        <v>41</v>
      </c>
      <c r="I40" s="35"/>
      <c r="J40" s="35"/>
      <c r="K40" s="35"/>
      <c r="L40" s="35"/>
      <c r="M40" s="35"/>
      <c r="N40" s="35"/>
      <c r="O40" s="1"/>
      <c r="P40" s="36" t="s">
        <v>509</v>
      </c>
    </row>
    <row r="41" ht="15" customHeight="1">
      <c r="A41" s="1"/>
      <c r="B41" s="41" t="s">
        <v>510</v>
      </c>
      <c r="C41" s="61">
        <v>2822</v>
      </c>
      <c r="D41" s="61">
        <v>2934</v>
      </c>
      <c r="E41" s="61">
        <v>2931</v>
      </c>
      <c r="F41" s="61">
        <v>3037</v>
      </c>
      <c r="G41" s="21">
        <f t="shared" si="7"/>
        <v>11537</v>
      </c>
      <c r="H41" s="59">
        <f t="shared" si="8"/>
        <v>3146.53</v>
      </c>
      <c r="I41" s="21"/>
      <c r="J41" s="61">
        <v>2739</v>
      </c>
      <c r="K41" s="61">
        <v>2947</v>
      </c>
      <c r="L41" s="61">
        <v>2952</v>
      </c>
      <c r="M41" s="61">
        <v>2829</v>
      </c>
      <c r="N41" s="61">
        <v>11056</v>
      </c>
      <c r="O41" s="1"/>
      <c r="P41" s="36" t="s">
        <v>511</v>
      </c>
    </row>
    <row r="42" ht="15" customHeight="1">
      <c r="A42" s="1"/>
      <c r="B42" s="43" t="s">
        <v>69</v>
      </c>
      <c r="C42" s="35">
        <f t="shared" si="0"/>
        <v>0.030303030303030276</v>
      </c>
      <c r="D42" s="35">
        <f t="shared" si="0"/>
        <v>-0.004411265693926025</v>
      </c>
      <c r="E42" s="35">
        <f t="shared" si="0"/>
        <v>-0.007113821138211351</v>
      </c>
      <c r="F42" s="35">
        <f t="shared" si="0"/>
        <v>0.07352421350300453</v>
      </c>
      <c r="G42" s="35">
        <f t="shared" si="0"/>
        <v>0.043505788712011606</v>
      </c>
      <c r="H42" s="57">
        <v>0.115</v>
      </c>
      <c r="I42" s="35"/>
      <c r="J42" s="35"/>
      <c r="K42" s="35"/>
      <c r="L42" s="35"/>
      <c r="M42" s="35"/>
      <c r="N42" s="35"/>
      <c r="O42" s="1"/>
      <c r="P42" s="36"/>
    </row>
    <row r="43" ht="15" customHeight="1">
      <c r="A43" s="1"/>
      <c r="B43" s="43" t="s">
        <v>70</v>
      </c>
      <c r="C43" s="45">
        <f t="shared" si="9"/>
        <v>-7</v>
      </c>
      <c r="D43" s="45">
        <f t="shared" si="1"/>
        <v>112</v>
      </c>
      <c r="E43" s="45">
        <f t="shared" si="1"/>
        <v>-3</v>
      </c>
      <c r="F43" s="45">
        <f t="shared" si="1"/>
        <v>106</v>
      </c>
      <c r="G43" s="45"/>
      <c r="H43" s="46">
        <f t="shared" si="10"/>
        <v>109.5300000000002</v>
      </c>
      <c r="I43" s="45"/>
      <c r="J43" s="45"/>
      <c r="K43" s="45"/>
      <c r="L43" s="45"/>
      <c r="M43" s="45"/>
      <c r="N43" s="45"/>
      <c r="O43" s="1"/>
      <c r="P43" s="36"/>
    </row>
    <row r="44" ht="15" customHeight="1">
      <c r="A44" s="1"/>
      <c r="B44" s="43" t="s">
        <v>71</v>
      </c>
      <c r="C44" s="35">
        <f t="shared" si="11"/>
        <v>-0.002474372569812644</v>
      </c>
      <c r="D44" s="35">
        <f t="shared" si="2"/>
        <v>0.03968816442239542</v>
      </c>
      <c r="E44" s="35">
        <f t="shared" si="2"/>
        <v>-0.0010224948875255935</v>
      </c>
      <c r="F44" s="35">
        <f t="shared" si="2"/>
        <v>0.036165131354486624</v>
      </c>
      <c r="G44" s="35"/>
      <c r="H44" s="44">
        <f t="shared" si="12"/>
        <v>0.03606519591702351</v>
      </c>
      <c r="I44" s="35"/>
      <c r="J44" s="35"/>
      <c r="K44" s="35"/>
      <c r="L44" s="35"/>
      <c r="M44" s="35"/>
      <c r="N44" s="35"/>
      <c r="O44" s="1"/>
      <c r="P44" s="36"/>
    </row>
    <row r="45" ht="15" customHeight="1">
      <c r="A45" s="1"/>
      <c r="B45" s="43" t="s">
        <v>72</v>
      </c>
      <c r="C45" s="35">
        <f t="shared" si="17" ref="C45:H45">_xlfn.IFERROR(C41/C104,"n/a")</f>
        <v>0.31092992507712647</v>
      </c>
      <c r="D45" s="35">
        <f t="shared" si="17"/>
        <v>0.30297397769516726</v>
      </c>
      <c r="E45" s="35">
        <f t="shared" si="17"/>
        <v>0.30675039246467817</v>
      </c>
      <c r="F45" s="35">
        <f t="shared" si="17"/>
        <v>0.30745090099210365</v>
      </c>
      <c r="G45" s="35">
        <f t="shared" si="17"/>
        <v>0.31350543478260867</v>
      </c>
      <c r="H45" s="44">
        <f t="shared" si="17"/>
        <v>0.31143896390723075</v>
      </c>
      <c r="I45" s="35"/>
      <c r="J45" s="35"/>
      <c r="K45" s="35"/>
      <c r="L45" s="35"/>
      <c r="M45" s="35"/>
      <c r="N45" s="35"/>
      <c r="O45" s="1"/>
      <c r="P45" s="36"/>
    </row>
    <row r="46" ht="15" customHeight="1">
      <c r="A46" s="1"/>
      <c r="B46" s="43" t="s">
        <v>73</v>
      </c>
      <c r="C46" s="50">
        <v>170</v>
      </c>
      <c r="D46" s="50">
        <v>257</v>
      </c>
      <c r="E46" s="50">
        <v>312</v>
      </c>
      <c r="F46" s="50">
        <v>76</v>
      </c>
      <c r="G46" s="50">
        <v>486</v>
      </c>
      <c r="H46" s="48">
        <f>'Revenue summary'!H36*F46/(F16+F26+F46+F56+F77+F87)</f>
        <v>-50.19754581049804</v>
      </c>
      <c r="I46" s="45"/>
      <c r="J46" s="45"/>
      <c r="K46" s="45"/>
      <c r="L46" s="45"/>
      <c r="M46" s="45"/>
      <c r="N46" s="45"/>
      <c r="O46" s="1"/>
      <c r="P46" s="36" t="s">
        <v>505</v>
      </c>
    </row>
    <row r="47" ht="15" customHeight="1">
      <c r="A47" s="1"/>
      <c r="B47" s="43" t="s">
        <v>75</v>
      </c>
      <c r="C47" s="35">
        <f t="shared" si="4"/>
        <v>0.09236947791164662</v>
      </c>
      <c r="D47" s="35">
        <f t="shared" si="4"/>
        <v>0.08279606379368842</v>
      </c>
      <c r="E47" s="35">
        <f t="shared" si="4"/>
        <v>0.09857723577235777</v>
      </c>
      <c r="F47" s="35">
        <f t="shared" si="4"/>
        <v>0.10038882997525622</v>
      </c>
      <c r="G47" s="35">
        <f t="shared" si="4"/>
        <v>0.08746382054992763</v>
      </c>
      <c r="H47" s="44">
        <f t="shared" si="14"/>
        <v>0.09721206739528787</v>
      </c>
      <c r="I47" s="35"/>
      <c r="J47" s="35"/>
      <c r="K47" s="35"/>
      <c r="L47" s="35"/>
      <c r="M47" s="35"/>
      <c r="N47" s="35"/>
      <c r="O47" s="1"/>
      <c r="P47" s="36"/>
    </row>
    <row r="48" ht="15" customHeight="1">
      <c r="A48" s="1"/>
      <c r="B48" s="43" t="s">
        <v>76</v>
      </c>
      <c r="C48" s="35">
        <f t="shared" si="5"/>
        <v>-0.05681818181818188</v>
      </c>
      <c r="D48" s="35">
        <f t="shared" si="5"/>
        <v>-0.08053901598245061</v>
      </c>
      <c r="E48" s="35">
        <f t="shared" si="5"/>
        <v>-0.09620721554116562</v>
      </c>
      <c r="F48" s="35">
        <f t="shared" si="5"/>
        <v>-0.02441374879537428</v>
      </c>
      <c r="G48" s="35">
        <f t="shared" si="5"/>
        <v>-0.040422523496631446</v>
      </c>
      <c r="H48" s="44">
        <f t="shared" si="5"/>
        <v>0.016211936719707776</v>
      </c>
      <c r="I48" s="35"/>
      <c r="J48" s="35"/>
      <c r="K48" s="35"/>
      <c r="L48" s="35"/>
      <c r="M48" s="35"/>
      <c r="N48" s="35"/>
      <c r="O48" s="1"/>
      <c r="P48" s="36"/>
    </row>
    <row r="49" ht="15" customHeight="1">
      <c r="A49" s="1"/>
      <c r="B49" s="43" t="s">
        <v>77</v>
      </c>
      <c r="C49" s="35" t="s">
        <v>41</v>
      </c>
      <c r="D49" s="35" t="s">
        <v>41</v>
      </c>
      <c r="E49" s="35" t="s">
        <v>41</v>
      </c>
      <c r="F49" s="35" t="s">
        <v>41</v>
      </c>
      <c r="G49" s="35" t="s">
        <v>41</v>
      </c>
      <c r="H49" s="44" t="s">
        <v>41</v>
      </c>
      <c r="I49" s="35"/>
      <c r="J49" s="35"/>
      <c r="K49" s="35"/>
      <c r="L49" s="35"/>
      <c r="M49" s="35"/>
      <c r="N49" s="35"/>
      <c r="O49" s="1"/>
      <c r="P49" s="36" t="s">
        <v>83</v>
      </c>
    </row>
    <row r="50" ht="15" customHeight="1">
      <c r="A50" s="1"/>
      <c r="B50" s="43" t="s">
        <v>78</v>
      </c>
      <c r="C50" s="35" t="str">
        <f t="shared" si="6"/>
        <v>n/a</v>
      </c>
      <c r="D50" s="35" t="str">
        <f t="shared" si="6"/>
        <v>n/a</v>
      </c>
      <c r="E50" s="35" t="str">
        <f t="shared" si="6"/>
        <v>n/a</v>
      </c>
      <c r="F50" s="35" t="str">
        <f t="shared" si="6"/>
        <v>n/a</v>
      </c>
      <c r="G50" s="35" t="str">
        <f t="shared" si="6"/>
        <v>n/a</v>
      </c>
      <c r="H50" s="44" t="str">
        <f t="shared" si="6"/>
        <v>n/a</v>
      </c>
      <c r="I50" s="35"/>
      <c r="J50" s="35"/>
      <c r="K50" s="35"/>
      <c r="L50" s="35"/>
      <c r="M50" s="35"/>
      <c r="N50" s="35"/>
      <c r="O50" s="1"/>
      <c r="P50" s="36"/>
    </row>
    <row r="51" ht="15" customHeight="1">
      <c r="A51" s="1"/>
      <c r="B51" s="41" t="s">
        <v>512</v>
      </c>
      <c r="C51" s="61">
        <v>724</v>
      </c>
      <c r="D51" s="61">
        <v>801</v>
      </c>
      <c r="E51" s="61">
        <v>785</v>
      </c>
      <c r="F51" s="61">
        <v>844</v>
      </c>
      <c r="G51" s="21">
        <f t="shared" si="7"/>
        <v>2963</v>
      </c>
      <c r="H51" s="59">
        <f t="shared" si="8"/>
        <v>825.3600000000001</v>
      </c>
      <c r="I51" s="21"/>
      <c r="J51" s="61">
        <v>679</v>
      </c>
      <c r="K51" s="61">
        <v>714</v>
      </c>
      <c r="L51" s="61">
        <v>713</v>
      </c>
      <c r="M51" s="61">
        <v>725</v>
      </c>
      <c r="N51" s="61">
        <v>2752</v>
      </c>
      <c r="O51" s="1"/>
      <c r="P51" s="36"/>
    </row>
    <row r="52" ht="15" customHeight="1">
      <c r="A52" s="1"/>
      <c r="B52" s="43" t="s">
        <v>69</v>
      </c>
      <c r="C52" s="35">
        <f t="shared" si="0"/>
        <v>0.06627393225331368</v>
      </c>
      <c r="D52" s="35">
        <f t="shared" si="0"/>
        <v>0.12184873949579833</v>
      </c>
      <c r="E52" s="35">
        <f t="shared" si="0"/>
        <v>0.10098176718092566</v>
      </c>
      <c r="F52" s="35">
        <f t="shared" si="0"/>
        <v>0.16413793103448282</v>
      </c>
      <c r="G52" s="35">
        <f t="shared" si="0"/>
        <v>0.07667151162790709</v>
      </c>
      <c r="H52" s="57">
        <v>0.14</v>
      </c>
      <c r="I52" s="35"/>
      <c r="J52" s="35"/>
      <c r="K52" s="35"/>
      <c r="L52" s="35"/>
      <c r="M52" s="35"/>
      <c r="N52" s="35"/>
      <c r="O52" s="1"/>
      <c r="P52" s="36"/>
    </row>
    <row r="53" ht="15" customHeight="1">
      <c r="A53" s="1"/>
      <c r="B53" s="43" t="s">
        <v>70</v>
      </c>
      <c r="C53" s="45">
        <f t="shared" si="9"/>
        <v>-1</v>
      </c>
      <c r="D53" s="45">
        <f t="shared" si="1"/>
        <v>77</v>
      </c>
      <c r="E53" s="45">
        <f t="shared" si="1"/>
        <v>-16</v>
      </c>
      <c r="F53" s="45">
        <f t="shared" si="1"/>
        <v>59</v>
      </c>
      <c r="G53" s="45"/>
      <c r="H53" s="46">
        <f t="shared" si="10"/>
        <v>-18.639999999999873</v>
      </c>
      <c r="I53" s="45"/>
      <c r="J53" s="45"/>
      <c r="K53" s="45"/>
      <c r="L53" s="45"/>
      <c r="M53" s="45"/>
      <c r="N53" s="45"/>
      <c r="O53" s="1"/>
      <c r="P53" s="36"/>
    </row>
    <row r="54" ht="15" customHeight="1">
      <c r="A54" s="1"/>
      <c r="B54" s="43" t="s">
        <v>71</v>
      </c>
      <c r="C54" s="35">
        <f t="shared" si="11"/>
        <v>-0.0013793103448276334</v>
      </c>
      <c r="D54" s="35">
        <f t="shared" si="2"/>
        <v>0.10635359116022092</v>
      </c>
      <c r="E54" s="35">
        <f t="shared" si="2"/>
        <v>-0.019975031210986316</v>
      </c>
      <c r="F54" s="35">
        <f t="shared" si="2"/>
        <v>0.07515923566878979</v>
      </c>
      <c r="G54" s="35"/>
      <c r="H54" s="44">
        <f t="shared" si="12"/>
        <v>-0.022085308056871922</v>
      </c>
      <c r="I54" s="35"/>
      <c r="J54" s="35"/>
      <c r="K54" s="35"/>
      <c r="L54" s="35"/>
      <c r="M54" s="35"/>
      <c r="N54" s="35"/>
      <c r="O54" s="1"/>
      <c r="P54" s="36"/>
    </row>
    <row r="55" ht="15" customHeight="1">
      <c r="A55" s="1"/>
      <c r="B55" s="43" t="s">
        <v>72</v>
      </c>
      <c r="C55" s="35">
        <f t="shared" si="18" ref="C55:H55">_xlfn.IFERROR(C51/C104,"n/a")</f>
        <v>0.07977082415160863</v>
      </c>
      <c r="D55" s="35">
        <f t="shared" si="18"/>
        <v>0.08271375464684015</v>
      </c>
      <c r="E55" s="35">
        <f t="shared" si="18"/>
        <v>0.08215593929879644</v>
      </c>
      <c r="F55" s="35">
        <f t="shared" si="18"/>
        <v>0.08544239724640615</v>
      </c>
      <c r="G55" s="35">
        <f t="shared" si="18"/>
        <v>0.08051630434782608</v>
      </c>
      <c r="H55" s="44">
        <f t="shared" si="18"/>
        <v>0.08169293261162995</v>
      </c>
      <c r="I55" s="35"/>
      <c r="J55" s="35"/>
      <c r="K55" s="35"/>
      <c r="L55" s="35"/>
      <c r="M55" s="35"/>
      <c r="N55" s="35"/>
      <c r="O55" s="1"/>
      <c r="P55" s="36"/>
    </row>
    <row r="56" ht="15" customHeight="1">
      <c r="A56" s="1"/>
      <c r="B56" s="43" t="s">
        <v>73</v>
      </c>
      <c r="C56" s="50">
        <v>53</v>
      </c>
      <c r="D56" s="50">
        <v>48</v>
      </c>
      <c r="E56" s="50">
        <v>46</v>
      </c>
      <c r="F56" s="50">
        <v>-7</v>
      </c>
      <c r="G56" s="50">
        <v>182</v>
      </c>
      <c r="H56" s="48">
        <f>'Revenue summary'!H36*F56/(F16+F26+F46+F56+F77+F87)</f>
        <v>4.623458166756398</v>
      </c>
      <c r="I56" s="45"/>
      <c r="J56" s="45"/>
      <c r="K56" s="45"/>
      <c r="L56" s="45"/>
      <c r="M56" s="45"/>
      <c r="N56" s="45"/>
      <c r="O56" s="1"/>
      <c r="P56" s="36" t="s">
        <v>505</v>
      </c>
    </row>
    <row r="57" ht="15" customHeight="1">
      <c r="A57" s="1"/>
      <c r="B57" s="43" t="s">
        <v>75</v>
      </c>
      <c r="C57" s="35">
        <f t="shared" si="4"/>
        <v>0.14432989690721643</v>
      </c>
      <c r="D57" s="35">
        <f t="shared" si="4"/>
        <v>0.18907563025210083</v>
      </c>
      <c r="E57" s="35">
        <f t="shared" si="4"/>
        <v>0.16549789621318367</v>
      </c>
      <c r="F57" s="35">
        <f t="shared" si="4"/>
        <v>0.1544827586206896</v>
      </c>
      <c r="G57" s="35">
        <f t="shared" si="4"/>
        <v>0.14280523255813948</v>
      </c>
      <c r="H57" s="44">
        <f t="shared" si="14"/>
        <v>0.14638599194303392</v>
      </c>
      <c r="I57" s="35"/>
      <c r="J57" s="35"/>
      <c r="K57" s="35"/>
      <c r="L57" s="35"/>
      <c r="M57" s="35"/>
      <c r="N57" s="35"/>
      <c r="O57" s="1"/>
      <c r="P57" s="36"/>
    </row>
    <row r="58" ht="15" customHeight="1">
      <c r="A58" s="1"/>
      <c r="B58" s="43" t="s">
        <v>76</v>
      </c>
      <c r="C58" s="35">
        <f t="shared" si="5"/>
        <v>-0.06821106821106815</v>
      </c>
      <c r="D58" s="35">
        <f t="shared" si="5"/>
        <v>-0.05653710247349819</v>
      </c>
      <c r="E58" s="35">
        <f t="shared" si="5"/>
        <v>-0.0553549939831528</v>
      </c>
      <c r="F58" s="35">
        <f t="shared" si="5"/>
        <v>0.008363201911589124</v>
      </c>
      <c r="G58" s="35">
        <f t="shared" si="5"/>
        <v>-0.05786963434022241</v>
      </c>
      <c r="H58" s="44">
        <f t="shared" si="5"/>
        <v>-0.005570542546677548</v>
      </c>
      <c r="I58" s="35"/>
      <c r="J58" s="35"/>
      <c r="K58" s="35"/>
      <c r="L58" s="35"/>
      <c r="M58" s="35"/>
      <c r="N58" s="35"/>
      <c r="O58" s="1"/>
      <c r="P58" s="36"/>
    </row>
    <row r="59" ht="15" customHeight="1">
      <c r="A59" s="1"/>
      <c r="B59" s="43" t="s">
        <v>77</v>
      </c>
      <c r="C59" s="35" t="s">
        <v>41</v>
      </c>
      <c r="D59" s="35" t="s">
        <v>41</v>
      </c>
      <c r="E59" s="35" t="s">
        <v>41</v>
      </c>
      <c r="F59" s="35" t="s">
        <v>41</v>
      </c>
      <c r="G59" s="35" t="s">
        <v>41</v>
      </c>
      <c r="H59" s="44" t="s">
        <v>41</v>
      </c>
      <c r="I59" s="35"/>
      <c r="J59" s="35"/>
      <c r="K59" s="35"/>
      <c r="L59" s="35"/>
      <c r="M59" s="35"/>
      <c r="N59" s="35"/>
      <c r="O59" s="1"/>
      <c r="P59" s="36" t="s">
        <v>83</v>
      </c>
    </row>
    <row r="60" ht="15" customHeight="1">
      <c r="A60" s="1"/>
      <c r="B60" s="43" t="s">
        <v>78</v>
      </c>
      <c r="C60" s="35" t="str">
        <f t="shared" si="6"/>
        <v>n/a</v>
      </c>
      <c r="D60" s="35" t="str">
        <f t="shared" si="6"/>
        <v>n/a</v>
      </c>
      <c r="E60" s="35" t="str">
        <f t="shared" si="6"/>
        <v>n/a</v>
      </c>
      <c r="F60" s="35" t="str">
        <f t="shared" si="6"/>
        <v>n/a</v>
      </c>
      <c r="G60" s="35" t="str">
        <f t="shared" si="6"/>
        <v>n/a</v>
      </c>
      <c r="H60" s="44" t="str">
        <f t="shared" si="6"/>
        <v>n/a</v>
      </c>
      <c r="I60" s="35"/>
      <c r="J60" s="35"/>
      <c r="K60" s="35"/>
      <c r="L60" s="35"/>
      <c r="M60" s="35"/>
      <c r="N60" s="35"/>
      <c r="O60" s="1"/>
      <c r="P60" s="36"/>
    </row>
    <row r="61" ht="15" customHeight="1">
      <c r="A61" s="1"/>
      <c r="B61" s="43" t="s">
        <v>80</v>
      </c>
      <c r="C61" s="45"/>
      <c r="D61" s="50">
        <v>-1</v>
      </c>
      <c r="E61" s="45"/>
      <c r="F61" s="45"/>
      <c r="G61" s="45">
        <f t="shared" si="7"/>
        <v>-1</v>
      </c>
      <c r="H61" s="46"/>
      <c r="I61" s="45"/>
      <c r="J61" s="45"/>
      <c r="K61" s="50">
        <v>1</v>
      </c>
      <c r="L61" s="45"/>
      <c r="M61" s="45"/>
      <c r="N61" s="45"/>
      <c r="O61" s="1"/>
      <c r="P61" s="36" t="s">
        <v>81</v>
      </c>
    </row>
    <row r="62" ht="15" customHeight="1">
      <c r="A62" s="1"/>
      <c r="B62" s="25" t="s">
        <v>513</v>
      </c>
      <c r="C62" s="51">
        <f t="shared" si="19" ref="C62:N93">C41+C51+C61</f>
        <v>3546</v>
      </c>
      <c r="D62" s="51">
        <f t="shared" si="19"/>
        <v>3734</v>
      </c>
      <c r="E62" s="51">
        <f t="shared" si="19"/>
        <v>3716</v>
      </c>
      <c r="F62" s="51">
        <f t="shared" si="19"/>
        <v>3881</v>
      </c>
      <c r="G62" s="51">
        <f t="shared" si="19"/>
        <v>14499</v>
      </c>
      <c r="H62" s="52">
        <f t="shared" si="19"/>
        <v>3971.8900000000003</v>
      </c>
      <c r="I62" s="51"/>
      <c r="J62" s="51">
        <f t="shared" si="19"/>
        <v>3418</v>
      </c>
      <c r="K62" s="51">
        <f t="shared" si="19"/>
        <v>3662</v>
      </c>
      <c r="L62" s="51">
        <f t="shared" si="19"/>
        <v>3665</v>
      </c>
      <c r="M62" s="51">
        <f t="shared" si="19"/>
        <v>3554</v>
      </c>
      <c r="N62" s="51">
        <f t="shared" si="19"/>
        <v>13808</v>
      </c>
      <c r="O62" s="1"/>
      <c r="P62" s="36"/>
    </row>
    <row r="63" ht="15" customHeight="1">
      <c r="A63" s="1"/>
      <c r="B63" s="43" t="s">
        <v>69</v>
      </c>
      <c r="C63" s="35">
        <f t="shared" si="0"/>
        <v>0.037448800468109944</v>
      </c>
      <c r="D63" s="35">
        <f t="shared" si="0"/>
        <v>0.01966138722009836</v>
      </c>
      <c r="E63" s="35">
        <f t="shared" si="0"/>
        <v>0.01391541609822644</v>
      </c>
      <c r="F63" s="35">
        <f t="shared" si="0"/>
        <v>0.0920090039392234</v>
      </c>
      <c r="G63" s="35">
        <f t="shared" si="0"/>
        <v>0.0500434530706837</v>
      </c>
      <c r="H63" s="44">
        <f t="shared" si="20"/>
        <v>0.12010434292160199</v>
      </c>
      <c r="I63" s="35"/>
      <c r="J63" s="35"/>
      <c r="K63" s="35"/>
      <c r="L63" s="35"/>
      <c r="M63" s="35"/>
      <c r="N63" s="35"/>
      <c r="O63" s="1"/>
      <c r="P63" s="36"/>
    </row>
    <row r="64" ht="15" customHeight="1">
      <c r="A64" s="1"/>
      <c r="B64" s="43" t="s">
        <v>70</v>
      </c>
      <c r="C64" s="45">
        <f t="shared" si="9"/>
        <v>-8</v>
      </c>
      <c r="D64" s="45">
        <f t="shared" si="1"/>
        <v>188</v>
      </c>
      <c r="E64" s="45">
        <f t="shared" si="1"/>
        <v>-18</v>
      </c>
      <c r="F64" s="45">
        <f t="shared" si="1"/>
        <v>165</v>
      </c>
      <c r="G64" s="45"/>
      <c r="H64" s="46">
        <f t="shared" si="10"/>
        <v>90.89000000000033</v>
      </c>
      <c r="I64" s="45"/>
      <c r="J64" s="45"/>
      <c r="K64" s="45"/>
      <c r="L64" s="45"/>
      <c r="M64" s="45"/>
      <c r="N64" s="45"/>
      <c r="O64" s="1"/>
      <c r="P64" s="36"/>
    </row>
    <row r="65" ht="15" customHeight="1">
      <c r="A65" s="1"/>
      <c r="B65" s="43" t="s">
        <v>71</v>
      </c>
      <c r="C65" s="35">
        <f t="shared" si="11"/>
        <v>-0.0022509848058525073</v>
      </c>
      <c r="D65" s="35">
        <f t="shared" si="2"/>
        <v>0.05301748448956567</v>
      </c>
      <c r="E65" s="35">
        <f t="shared" si="2"/>
        <v>-0.0048205677557578985</v>
      </c>
      <c r="F65" s="35">
        <f t="shared" si="2"/>
        <v>0.04440258342303549</v>
      </c>
      <c r="G65" s="35"/>
      <c r="H65" s="44">
        <f t="shared" si="12"/>
        <v>0.02341922185003864</v>
      </c>
      <c r="I65" s="35"/>
      <c r="J65" s="35"/>
      <c r="K65" s="35"/>
      <c r="L65" s="35"/>
      <c r="M65" s="35"/>
      <c r="N65" s="35"/>
      <c r="O65" s="1"/>
      <c r="P65" s="36"/>
    </row>
    <row r="66" ht="15" customHeight="1">
      <c r="A66" s="1"/>
      <c r="B66" s="43" t="s">
        <v>72</v>
      </c>
      <c r="C66" s="35">
        <f t="shared" si="21" ref="C66:H66">_xlfn.IFERROR(C62/C104,"n/a")</f>
        <v>0.3907007492287351</v>
      </c>
      <c r="D66" s="35">
        <f t="shared" si="21"/>
        <v>0.38558446922759193</v>
      </c>
      <c r="E66" s="35">
        <f t="shared" si="21"/>
        <v>0.3889063317634746</v>
      </c>
      <c r="F66" s="35">
        <f t="shared" si="21"/>
        <v>0.3928932982385098</v>
      </c>
      <c r="G66" s="35">
        <f t="shared" si="21"/>
        <v>0.3939945652173913</v>
      </c>
      <c r="H66" s="44">
        <f t="shared" si="21"/>
        <v>0.3931318965188607</v>
      </c>
      <c r="I66" s="35"/>
      <c r="J66" s="35"/>
      <c r="K66" s="35"/>
      <c r="L66" s="35"/>
      <c r="M66" s="35"/>
      <c r="N66" s="35"/>
      <c r="O66" s="1"/>
      <c r="P66" s="36"/>
    </row>
    <row r="67" ht="15" customHeight="1">
      <c r="A67" s="1"/>
      <c r="B67" s="43" t="s">
        <v>73</v>
      </c>
      <c r="C67" s="50">
        <v>223</v>
      </c>
      <c r="D67" s="50">
        <v>305</v>
      </c>
      <c r="E67" s="50">
        <v>358</v>
      </c>
      <c r="F67" s="50">
        <v>69</v>
      </c>
      <c r="G67" s="50">
        <v>669</v>
      </c>
      <c r="H67" s="46">
        <f t="shared" si="25" ref="H67:H98">H46+H56</f>
        <v>-45.57408764374164</v>
      </c>
      <c r="I67" s="45"/>
      <c r="J67" s="45"/>
      <c r="K67" s="45"/>
      <c r="L67" s="45"/>
      <c r="M67" s="45"/>
      <c r="N67" s="45"/>
      <c r="O67" s="1"/>
      <c r="P67" s="36" t="s">
        <v>74</v>
      </c>
    </row>
    <row r="68" ht="15" customHeight="1">
      <c r="A68" s="1"/>
      <c r="B68" s="43" t="s">
        <v>75</v>
      </c>
      <c r="C68" s="35">
        <f t="shared" si="4"/>
        <v>0.10269163253364533</v>
      </c>
      <c r="D68" s="35">
        <f t="shared" si="4"/>
        <v>0.10294920808301478</v>
      </c>
      <c r="E68" s="35">
        <f t="shared" si="4"/>
        <v>0.11159618008185546</v>
      </c>
      <c r="F68" s="35">
        <f t="shared" si="4"/>
        <v>0.11142374788970177</v>
      </c>
      <c r="G68" s="35">
        <f t="shared" si="4"/>
        <v>0.09849362688296637</v>
      </c>
      <c r="H68" s="44">
        <f t="shared" si="14"/>
        <v>0.10725209034299454</v>
      </c>
      <c r="I68" s="35"/>
      <c r="J68" s="35"/>
      <c r="K68" s="35"/>
      <c r="L68" s="35"/>
      <c r="M68" s="35"/>
      <c r="N68" s="35"/>
      <c r="O68" s="1"/>
      <c r="P68" s="36"/>
    </row>
    <row r="69" ht="15" customHeight="1">
      <c r="A69" s="1"/>
      <c r="B69" s="43" t="s">
        <v>76</v>
      </c>
      <c r="C69" s="35">
        <f t="shared" si="5"/>
        <v>-0.059166887768638876</v>
      </c>
      <c r="D69" s="35">
        <f t="shared" si="5"/>
        <v>-0.07551374102500619</v>
      </c>
      <c r="E69" s="35">
        <f t="shared" si="5"/>
        <v>-0.08787432498772718</v>
      </c>
      <c r="F69" s="35">
        <f t="shared" si="5"/>
        <v>-0.01746835443037975</v>
      </c>
      <c r="G69" s="35">
        <f t="shared" si="5"/>
        <v>-0.04410601265822778</v>
      </c>
      <c r="H69" s="44">
        <f t="shared" si="5"/>
        <v>0.011607340993708304</v>
      </c>
      <c r="I69" s="35"/>
      <c r="J69" s="35"/>
      <c r="K69" s="35"/>
      <c r="L69" s="35"/>
      <c r="M69" s="35"/>
      <c r="N69" s="35"/>
      <c r="O69" s="1"/>
      <c r="P69" s="36"/>
    </row>
    <row r="70" ht="15" customHeight="1">
      <c r="A70" s="1"/>
      <c r="B70" s="43" t="s">
        <v>77</v>
      </c>
      <c r="C70" s="35" t="s">
        <v>41</v>
      </c>
      <c r="D70" s="35" t="s">
        <v>41</v>
      </c>
      <c r="E70" s="35" t="s">
        <v>41</v>
      </c>
      <c r="F70" s="35" t="s">
        <v>41</v>
      </c>
      <c r="G70" s="35" t="s">
        <v>41</v>
      </c>
      <c r="H70" s="44" t="s">
        <v>41</v>
      </c>
      <c r="I70" s="35"/>
      <c r="J70" s="35"/>
      <c r="K70" s="35"/>
      <c r="L70" s="35"/>
      <c r="M70" s="35"/>
      <c r="N70" s="35"/>
      <c r="O70" s="1"/>
      <c r="P70" s="36" t="s">
        <v>508</v>
      </c>
    </row>
    <row r="71" ht="15" customHeight="1">
      <c r="A71" s="1"/>
      <c r="B71" s="43" t="s">
        <v>78</v>
      </c>
      <c r="C71" s="35" t="s">
        <v>41</v>
      </c>
      <c r="D71" s="35" t="s">
        <v>41</v>
      </c>
      <c r="E71" s="35" t="s">
        <v>41</v>
      </c>
      <c r="F71" s="35" t="s">
        <v>41</v>
      </c>
      <c r="G71" s="35" t="s">
        <v>41</v>
      </c>
      <c r="H71" s="44" t="s">
        <v>41</v>
      </c>
      <c r="I71" s="35"/>
      <c r="J71" s="35"/>
      <c r="K71" s="35"/>
      <c r="L71" s="35"/>
      <c r="M71" s="35"/>
      <c r="N71" s="35"/>
      <c r="O71" s="1"/>
      <c r="P71" s="36" t="s">
        <v>509</v>
      </c>
    </row>
    <row r="72" ht="15" customHeight="1">
      <c r="A72" s="1"/>
      <c r="B72" s="41" t="s">
        <v>514</v>
      </c>
      <c r="C72" s="61">
        <v>387</v>
      </c>
      <c r="D72" s="61">
        <v>393</v>
      </c>
      <c r="E72" s="61">
        <v>388</v>
      </c>
      <c r="F72" s="61">
        <v>384</v>
      </c>
      <c r="G72" s="21">
        <f t="shared" si="7"/>
        <v>1569</v>
      </c>
      <c r="H72" s="59">
        <f t="shared" si="8"/>
        <v>406.35</v>
      </c>
      <c r="I72" s="21"/>
      <c r="J72" s="61">
        <v>357</v>
      </c>
      <c r="K72" s="61">
        <v>370</v>
      </c>
      <c r="L72" s="61">
        <v>397</v>
      </c>
      <c r="M72" s="61">
        <v>392</v>
      </c>
      <c r="N72" s="61">
        <v>1388</v>
      </c>
      <c r="O72" s="1"/>
      <c r="P72" s="36"/>
    </row>
    <row r="73" ht="15" customHeight="1">
      <c r="A73" s="1"/>
      <c r="B73" s="43" t="s">
        <v>69</v>
      </c>
      <c r="C73" s="35">
        <f t="shared" si="0"/>
        <v>0.08403361344537807</v>
      </c>
      <c r="D73" s="35">
        <f t="shared" si="0"/>
        <v>0.06216216216216219</v>
      </c>
      <c r="E73" s="35">
        <f t="shared" si="0"/>
        <v>-0.02267002518891692</v>
      </c>
      <c r="F73" s="35">
        <f t="shared" si="0"/>
        <v>-0.020408163265306145</v>
      </c>
      <c r="G73" s="35">
        <f t="shared" si="0"/>
        <v>0.1304034582132565</v>
      </c>
      <c r="H73" s="57">
        <v>0.05</v>
      </c>
      <c r="I73" s="35"/>
      <c r="J73" s="35"/>
      <c r="K73" s="35"/>
      <c r="L73" s="35"/>
      <c r="M73" s="35"/>
      <c r="N73" s="35"/>
      <c r="O73" s="1"/>
      <c r="P73" s="36"/>
    </row>
    <row r="74" ht="15" customHeight="1">
      <c r="A74" s="1"/>
      <c r="B74" s="43" t="s">
        <v>70</v>
      </c>
      <c r="C74" s="45">
        <f t="shared" si="9"/>
        <v>-5</v>
      </c>
      <c r="D74" s="45">
        <f t="shared" si="1"/>
        <v>6</v>
      </c>
      <c r="E74" s="45">
        <f t="shared" si="1"/>
        <v>-5</v>
      </c>
      <c r="F74" s="45">
        <f t="shared" si="1"/>
        <v>-4</v>
      </c>
      <c r="G74" s="45"/>
      <c r="H74" s="46">
        <f t="shared" si="10"/>
        <v>22.350000000000023</v>
      </c>
      <c r="I74" s="45"/>
      <c r="J74" s="45"/>
      <c r="K74" s="45"/>
      <c r="L74" s="45"/>
      <c r="M74" s="45"/>
      <c r="N74" s="45"/>
      <c r="O74" s="1"/>
      <c r="P74" s="36"/>
    </row>
    <row r="75" ht="15" customHeight="1">
      <c r="A75" s="1"/>
      <c r="B75" s="43" t="s">
        <v>71</v>
      </c>
      <c r="C75" s="35">
        <f t="shared" si="11"/>
        <v>-0.012755102040816313</v>
      </c>
      <c r="D75" s="35">
        <f t="shared" si="2"/>
        <v>0.015503875968992276</v>
      </c>
      <c r="E75" s="35">
        <f t="shared" si="2"/>
        <v>-0.012722646310432517</v>
      </c>
      <c r="F75" s="35">
        <f t="shared" si="2"/>
        <v>-0.010309278350515427</v>
      </c>
      <c r="G75" s="35"/>
      <c r="H75" s="44">
        <f t="shared" si="12"/>
        <v>0.05820312500000013</v>
      </c>
      <c r="I75" s="35"/>
      <c r="J75" s="35"/>
      <c r="K75" s="35"/>
      <c r="L75" s="35"/>
      <c r="M75" s="35"/>
      <c r="N75" s="35"/>
      <c r="O75" s="1"/>
      <c r="P75" s="36"/>
    </row>
    <row r="76" ht="15" customHeight="1">
      <c r="A76" s="1"/>
      <c r="B76" s="43" t="s">
        <v>72</v>
      </c>
      <c r="C76" s="35">
        <f t="shared" si="22" ref="C76:H76">_xlfn.IFERROR(C72/C104,"n/a")</f>
        <v>0.04263992948435434</v>
      </c>
      <c r="D76" s="35">
        <f t="shared" si="22"/>
        <v>0.0405824039653036</v>
      </c>
      <c r="E76" s="35">
        <f t="shared" si="22"/>
        <v>0.040607012035583465</v>
      </c>
      <c r="F76" s="35">
        <f t="shared" si="22"/>
        <v>0.03887426604575825</v>
      </c>
      <c r="G76" s="35">
        <f t="shared" si="22"/>
        <v>0.042635869565217394</v>
      </c>
      <c r="H76" s="44">
        <f t="shared" si="22"/>
        <v>0.040219932110516415</v>
      </c>
      <c r="I76" s="35"/>
      <c r="J76" s="35"/>
      <c r="K76" s="35"/>
      <c r="L76" s="35"/>
      <c r="M76" s="35"/>
      <c r="N76" s="35"/>
      <c r="O76" s="1"/>
      <c r="P76" s="36"/>
    </row>
    <row r="77" ht="15" customHeight="1">
      <c r="A77" s="1"/>
      <c r="B77" s="43" t="s">
        <v>73</v>
      </c>
      <c r="C77" s="50">
        <v>20</v>
      </c>
      <c r="D77" s="50">
        <v>39</v>
      </c>
      <c r="E77" s="50">
        <v>54</v>
      </c>
      <c r="F77" s="50">
        <v>47</v>
      </c>
      <c r="G77" s="50">
        <v>50</v>
      </c>
      <c r="H77" s="48">
        <f>'Revenue summary'!H36*F77/(F16+F26+F46+F56+F77+F87)</f>
        <v>-31.043219119650104</v>
      </c>
      <c r="I77" s="45"/>
      <c r="J77" s="45"/>
      <c r="K77" s="45"/>
      <c r="L77" s="45"/>
      <c r="M77" s="45"/>
      <c r="N77" s="45"/>
      <c r="O77" s="1"/>
      <c r="P77" s="36" t="s">
        <v>505</v>
      </c>
    </row>
    <row r="78" ht="15" customHeight="1">
      <c r="A78" s="1"/>
      <c r="B78" s="43" t="s">
        <v>75</v>
      </c>
      <c r="C78" s="35">
        <f t="shared" si="4"/>
        <v>0.14005602240896353</v>
      </c>
      <c r="D78" s="35">
        <f t="shared" si="4"/>
        <v>0.16756756756756763</v>
      </c>
      <c r="E78" s="35">
        <f t="shared" si="4"/>
        <v>0.11335012594458438</v>
      </c>
      <c r="F78" s="35">
        <f t="shared" si="4"/>
        <v>0.09948979591836737</v>
      </c>
      <c r="G78" s="35">
        <f t="shared" si="4"/>
        <v>0.1664265129682998</v>
      </c>
      <c r="H78" s="44">
        <f t="shared" si="14"/>
        <v>-0.030215036484883884</v>
      </c>
      <c r="I78" s="35"/>
      <c r="J78" s="35"/>
      <c r="K78" s="35"/>
      <c r="L78" s="35"/>
      <c r="M78" s="35"/>
      <c r="N78" s="35"/>
      <c r="O78" s="1"/>
      <c r="P78" s="36"/>
    </row>
    <row r="79" ht="15" customHeight="1">
      <c r="A79" s="1"/>
      <c r="B79" s="43" t="s">
        <v>76</v>
      </c>
      <c r="C79" s="35">
        <f t="shared" si="5"/>
        <v>-0.04914004914004921</v>
      </c>
      <c r="D79" s="35">
        <f t="shared" si="5"/>
        <v>-0.09027777777777779</v>
      </c>
      <c r="E79" s="35">
        <f t="shared" si="5"/>
        <v>-0.12217194570135748</v>
      </c>
      <c r="F79" s="35">
        <f t="shared" si="5"/>
        <v>-0.10904872389791187</v>
      </c>
      <c r="G79" s="35">
        <f t="shared" si="5"/>
        <v>-0.030883261272390383</v>
      </c>
      <c r="H79" s="44">
        <f t="shared" si="5"/>
        <v>0.08271425058410231</v>
      </c>
      <c r="I79" s="35"/>
      <c r="J79" s="35"/>
      <c r="K79" s="35"/>
      <c r="L79" s="35"/>
      <c r="M79" s="35"/>
      <c r="N79" s="35"/>
      <c r="O79" s="1"/>
      <c r="P79" s="36"/>
    </row>
    <row r="80" ht="15" customHeight="1">
      <c r="A80" s="1"/>
      <c r="B80" s="43" t="s">
        <v>77</v>
      </c>
      <c r="C80" s="35" t="s">
        <v>41</v>
      </c>
      <c r="D80" s="35" t="s">
        <v>41</v>
      </c>
      <c r="E80" s="35" t="s">
        <v>41</v>
      </c>
      <c r="F80" s="35" t="s">
        <v>41</v>
      </c>
      <c r="G80" s="35" t="s">
        <v>41</v>
      </c>
      <c r="H80" s="44" t="s">
        <v>41</v>
      </c>
      <c r="I80" s="35"/>
      <c r="J80" s="35"/>
      <c r="K80" s="35"/>
      <c r="L80" s="35"/>
      <c r="M80" s="35"/>
      <c r="N80" s="35"/>
      <c r="O80" s="1"/>
      <c r="P80" s="36" t="s">
        <v>83</v>
      </c>
    </row>
    <row r="81" ht="15" customHeight="1">
      <c r="A81" s="1"/>
      <c r="B81" s="43" t="s">
        <v>78</v>
      </c>
      <c r="C81" s="35" t="str">
        <f t="shared" si="6"/>
        <v>n/a</v>
      </c>
      <c r="D81" s="35" t="str">
        <f t="shared" si="6"/>
        <v>n/a</v>
      </c>
      <c r="E81" s="35" t="str">
        <f t="shared" si="6"/>
        <v>n/a</v>
      </c>
      <c r="F81" s="35" t="str">
        <f t="shared" si="6"/>
        <v>n/a</v>
      </c>
      <c r="G81" s="35" t="str">
        <f t="shared" si="6"/>
        <v>n/a</v>
      </c>
      <c r="H81" s="44" t="str">
        <f t="shared" si="6"/>
        <v>n/a</v>
      </c>
      <c r="I81" s="35"/>
      <c r="J81" s="35"/>
      <c r="K81" s="35"/>
      <c r="L81" s="35"/>
      <c r="M81" s="35"/>
      <c r="N81" s="35"/>
      <c r="O81" s="1"/>
      <c r="P81" s="36"/>
    </row>
    <row r="82" ht="15" customHeight="1">
      <c r="A82" s="1"/>
      <c r="B82" s="41" t="s">
        <v>515</v>
      </c>
      <c r="C82" s="61">
        <v>898</v>
      </c>
      <c r="D82" s="61">
        <v>968</v>
      </c>
      <c r="E82" s="61">
        <v>971</v>
      </c>
      <c r="F82" s="61">
        <v>1009</v>
      </c>
      <c r="G82" s="21">
        <f t="shared" si="7"/>
        <v>3707</v>
      </c>
      <c r="H82" s="42">
        <f>'Revenue summary'!H32-H11-H21-H41-H51-H72</f>
        <v>999.0595500000012</v>
      </c>
      <c r="I82" s="21"/>
      <c r="J82" s="61">
        <v>839</v>
      </c>
      <c r="K82" s="61">
        <v>950</v>
      </c>
      <c r="L82" s="61">
        <v>918</v>
      </c>
      <c r="M82" s="61">
        <v>923</v>
      </c>
      <c r="N82" s="61">
        <v>3404</v>
      </c>
      <c r="O82" s="1"/>
      <c r="P82" s="36" t="s">
        <v>516</v>
      </c>
    </row>
    <row r="83" ht="15" customHeight="1">
      <c r="A83" s="1"/>
      <c r="B83" s="43" t="s">
        <v>69</v>
      </c>
      <c r="C83" s="35">
        <f t="shared" si="0"/>
        <v>0.07032181168057217</v>
      </c>
      <c r="D83" s="35">
        <f t="shared" si="0"/>
        <v>0.0189473684210526</v>
      </c>
      <c r="E83" s="35">
        <f t="shared" si="0"/>
        <v>0.057734204793028265</v>
      </c>
      <c r="F83" s="35">
        <f t="shared" si="0"/>
        <v>0.09317443120260016</v>
      </c>
      <c r="G83" s="35">
        <f t="shared" si="0"/>
        <v>0.08901292596944765</v>
      </c>
      <c r="H83" s="44">
        <f t="shared" si="20"/>
        <v>0.11253847438752906</v>
      </c>
      <c r="I83" s="35"/>
      <c r="J83" s="35"/>
      <c r="K83" s="35"/>
      <c r="L83" s="35"/>
      <c r="M83" s="35"/>
      <c r="N83" s="35"/>
      <c r="O83" s="1"/>
      <c r="P83" s="36"/>
    </row>
    <row r="84" ht="15" customHeight="1">
      <c r="A84" s="1"/>
      <c r="B84" s="43" t="s">
        <v>70</v>
      </c>
      <c r="C84" s="45">
        <f t="shared" si="9"/>
        <v>-25</v>
      </c>
      <c r="D84" s="45">
        <f t="shared" si="1"/>
        <v>70</v>
      </c>
      <c r="E84" s="45">
        <f t="shared" si="1"/>
        <v>3</v>
      </c>
      <c r="F84" s="45">
        <f t="shared" si="1"/>
        <v>38</v>
      </c>
      <c r="G84" s="45"/>
      <c r="H84" s="46">
        <f t="shared" si="10"/>
        <v>-9.940449999998805</v>
      </c>
      <c r="I84" s="45"/>
      <c r="J84" s="45"/>
      <c r="K84" s="45"/>
      <c r="L84" s="45"/>
      <c r="M84" s="45"/>
      <c r="N84" s="45"/>
      <c r="O84" s="1"/>
      <c r="P84" s="36"/>
    </row>
    <row r="85" ht="15" customHeight="1">
      <c r="A85" s="1"/>
      <c r="B85" s="43" t="s">
        <v>71</v>
      </c>
      <c r="C85" s="35">
        <f t="shared" si="11"/>
        <v>-0.02708559046587211</v>
      </c>
      <c r="D85" s="35">
        <f t="shared" si="2"/>
        <v>0.07795100222717144</v>
      </c>
      <c r="E85" s="35">
        <f t="shared" si="2"/>
        <v>0.0030991735537189147</v>
      </c>
      <c r="F85" s="35">
        <f t="shared" si="2"/>
        <v>0.03913491246138001</v>
      </c>
      <c r="G85" s="35"/>
      <c r="H85" s="44">
        <f t="shared" si="12"/>
        <v>-0.009851783944498371</v>
      </c>
      <c r="I85" s="35"/>
      <c r="J85" s="35"/>
      <c r="K85" s="35"/>
      <c r="L85" s="35"/>
      <c r="M85" s="35"/>
      <c r="N85" s="35"/>
      <c r="O85" s="1"/>
      <c r="P85" s="36"/>
    </row>
    <row r="86" ht="15" customHeight="1">
      <c r="A86" s="1"/>
      <c r="B86" s="43" t="s">
        <v>72</v>
      </c>
      <c r="C86" s="35">
        <f t="shared" si="23" ref="C86:H86">_xlfn.IFERROR(C82/C104,"n/a")</f>
        <v>0.0989422653151168</v>
      </c>
      <c r="D86" s="35">
        <f t="shared" si="23"/>
        <v>0.09995869475423379</v>
      </c>
      <c r="E86" s="35">
        <f t="shared" si="23"/>
        <v>0.10162218733647305</v>
      </c>
      <c r="F86" s="35">
        <f t="shared" si="23"/>
        <v>0.1021461834379429</v>
      </c>
      <c r="G86" s="35">
        <f t="shared" si="23"/>
        <v>0.10073369565217391</v>
      </c>
      <c r="H86" s="44">
        <f t="shared" si="23"/>
        <v>0.09888546148729697</v>
      </c>
      <c r="I86" s="35"/>
      <c r="J86" s="35"/>
      <c r="K86" s="35"/>
      <c r="L86" s="35"/>
      <c r="M86" s="35"/>
      <c r="N86" s="35"/>
      <c r="O86" s="1"/>
      <c r="P86" s="36"/>
    </row>
    <row r="87" ht="15" customHeight="1">
      <c r="A87" s="1"/>
      <c r="B87" s="43" t="s">
        <v>73</v>
      </c>
      <c r="C87" s="50">
        <v>62</v>
      </c>
      <c r="D87" s="50">
        <v>92</v>
      </c>
      <c r="E87" s="50">
        <v>79</v>
      </c>
      <c r="F87" s="50">
        <v>26</v>
      </c>
      <c r="G87" s="50">
        <v>202</v>
      </c>
      <c r="H87" s="48">
        <f>'Revenue summary'!H36*F87/(F16+F26+F46+F56+F77+F87)</f>
        <v>-17.17284461938091</v>
      </c>
      <c r="I87" s="45"/>
      <c r="J87" s="45"/>
      <c r="K87" s="45"/>
      <c r="L87" s="45"/>
      <c r="M87" s="45"/>
      <c r="N87" s="45"/>
      <c r="O87" s="1"/>
      <c r="P87" s="36" t="s">
        <v>505</v>
      </c>
    </row>
    <row r="88" ht="15" customHeight="1">
      <c r="A88" s="1"/>
      <c r="B88" s="43" t="s">
        <v>75</v>
      </c>
      <c r="C88" s="35">
        <f t="shared" si="4"/>
        <v>0.14421930870083433</v>
      </c>
      <c r="D88" s="35">
        <f t="shared" si="4"/>
        <v>0.11578947368421044</v>
      </c>
      <c r="E88" s="35">
        <f t="shared" si="4"/>
        <v>0.14379084967320255</v>
      </c>
      <c r="F88" s="35">
        <f t="shared" si="4"/>
        <v>0.12134344528710717</v>
      </c>
      <c r="G88" s="35">
        <f t="shared" si="4"/>
        <v>0.1483548766157461</v>
      </c>
      <c r="H88" s="44">
        <f t="shared" si="14"/>
        <v>0.09341503939935447</v>
      </c>
      <c r="I88" s="35"/>
      <c r="J88" s="35"/>
      <c r="K88" s="35"/>
      <c r="L88" s="35"/>
      <c r="M88" s="35"/>
      <c r="N88" s="35"/>
      <c r="O88" s="1"/>
      <c r="P88" s="36"/>
    </row>
    <row r="89" ht="15" customHeight="1">
      <c r="A89" s="1"/>
      <c r="B89" s="43" t="s">
        <v>76</v>
      </c>
      <c r="C89" s="35">
        <f t="shared" si="5"/>
        <v>-0.06458333333333333</v>
      </c>
      <c r="D89" s="35">
        <f t="shared" si="5"/>
        <v>-0.08679245283018866</v>
      </c>
      <c r="E89" s="35">
        <f t="shared" si="5"/>
        <v>-0.07523809523809522</v>
      </c>
      <c r="F89" s="35">
        <f t="shared" si="5"/>
        <v>-0.02512077294685988</v>
      </c>
      <c r="G89" s="35">
        <f t="shared" si="5"/>
        <v>-0.05167562036326423</v>
      </c>
      <c r="H89" s="44">
        <f t="shared" si="5"/>
        <v>0.017489639614505004</v>
      </c>
      <c r="I89" s="35"/>
      <c r="J89" s="35"/>
      <c r="K89" s="35"/>
      <c r="L89" s="35"/>
      <c r="M89" s="35"/>
      <c r="N89" s="35"/>
      <c r="O89" s="1"/>
      <c r="P89" s="36"/>
    </row>
    <row r="90" ht="15" customHeight="1">
      <c r="A90" s="1"/>
      <c r="B90" s="43" t="s">
        <v>77</v>
      </c>
      <c r="C90" s="35" t="s">
        <v>41</v>
      </c>
      <c r="D90" s="35" t="s">
        <v>41</v>
      </c>
      <c r="E90" s="35" t="s">
        <v>41</v>
      </c>
      <c r="F90" s="35" t="s">
        <v>41</v>
      </c>
      <c r="G90" s="35" t="s">
        <v>41</v>
      </c>
      <c r="H90" s="44" t="s">
        <v>41</v>
      </c>
      <c r="I90" s="35"/>
      <c r="J90" s="35"/>
      <c r="K90" s="35"/>
      <c r="L90" s="35"/>
      <c r="M90" s="35"/>
      <c r="N90" s="35"/>
      <c r="O90" s="1"/>
      <c r="P90" s="36" t="s">
        <v>83</v>
      </c>
    </row>
    <row r="91" ht="15" customHeight="1">
      <c r="A91" s="1"/>
      <c r="B91" s="43" t="s">
        <v>78</v>
      </c>
      <c r="C91" s="35" t="str">
        <f t="shared" si="6"/>
        <v>n/a</v>
      </c>
      <c r="D91" s="35" t="str">
        <f t="shared" si="6"/>
        <v>n/a</v>
      </c>
      <c r="E91" s="35" t="str">
        <f t="shared" si="6"/>
        <v>n/a</v>
      </c>
      <c r="F91" s="35" t="str">
        <f t="shared" si="6"/>
        <v>n/a</v>
      </c>
      <c r="G91" s="35" t="str">
        <f t="shared" si="6"/>
        <v>n/a</v>
      </c>
      <c r="H91" s="44" t="str">
        <f t="shared" si="6"/>
        <v>n/a</v>
      </c>
      <c r="I91" s="35"/>
      <c r="J91" s="35"/>
      <c r="K91" s="35"/>
      <c r="L91" s="35"/>
      <c r="M91" s="35"/>
      <c r="N91" s="35"/>
      <c r="O91" s="1"/>
      <c r="P91" s="36"/>
    </row>
    <row r="92" ht="15" customHeight="1">
      <c r="A92" s="1"/>
      <c r="B92" s="43" t="s">
        <v>80</v>
      </c>
      <c r="C92" s="45"/>
      <c r="D92" s="45"/>
      <c r="E92" s="45"/>
      <c r="F92" s="50">
        <v>1</v>
      </c>
      <c r="G92" s="45">
        <f t="shared" si="7"/>
        <v>0</v>
      </c>
      <c r="H92" s="46"/>
      <c r="I92" s="45"/>
      <c r="J92" s="50">
        <v>-1</v>
      </c>
      <c r="K92" s="45"/>
      <c r="L92" s="45"/>
      <c r="M92" s="45"/>
      <c r="N92" s="50">
        <v>1</v>
      </c>
      <c r="O92" s="1"/>
      <c r="P92" s="36" t="s">
        <v>81</v>
      </c>
    </row>
    <row r="93" ht="15" customHeight="1">
      <c r="A93" s="1"/>
      <c r="B93" s="25" t="s">
        <v>517</v>
      </c>
      <c r="C93" s="51">
        <f t="shared" si="19"/>
        <v>1285</v>
      </c>
      <c r="D93" s="51">
        <f t="shared" si="19"/>
        <v>1361</v>
      </c>
      <c r="E93" s="51">
        <f t="shared" si="19"/>
        <v>1359</v>
      </c>
      <c r="F93" s="51">
        <f t="shared" si="19"/>
        <v>1394</v>
      </c>
      <c r="G93" s="51">
        <f t="shared" si="19"/>
        <v>5276</v>
      </c>
      <c r="H93" s="52">
        <f t="shared" si="19"/>
        <v>1405.4095500000012</v>
      </c>
      <c r="I93" s="51"/>
      <c r="J93" s="51">
        <f t="shared" si="19"/>
        <v>1195</v>
      </c>
      <c r="K93" s="51">
        <f t="shared" si="19"/>
        <v>1320</v>
      </c>
      <c r="L93" s="51">
        <f t="shared" si="19"/>
        <v>1315</v>
      </c>
      <c r="M93" s="51">
        <f t="shared" si="19"/>
        <v>1315</v>
      </c>
      <c r="N93" s="51">
        <f t="shared" si="19"/>
        <v>4793</v>
      </c>
      <c r="O93" s="1"/>
      <c r="P93" s="36"/>
    </row>
    <row r="94" ht="15" customHeight="1">
      <c r="A94" s="1"/>
      <c r="B94" s="43" t="s">
        <v>69</v>
      </c>
      <c r="C94" s="35">
        <f t="shared" si="0"/>
        <v>0.07531380753138084</v>
      </c>
      <c r="D94" s="35">
        <f t="shared" si="0"/>
        <v>0.03106060606060601</v>
      </c>
      <c r="E94" s="35">
        <f t="shared" si="0"/>
        <v>0.033460076045627396</v>
      </c>
      <c r="F94" s="35">
        <f t="shared" si="0"/>
        <v>0.06007604562737634</v>
      </c>
      <c r="G94" s="35">
        <f t="shared" si="0"/>
        <v>0.10077195910703107</v>
      </c>
      <c r="H94" s="44">
        <f t="shared" si="20"/>
        <v>0.09370392996109045</v>
      </c>
      <c r="I94" s="35"/>
      <c r="J94" s="35"/>
      <c r="K94" s="35"/>
      <c r="L94" s="35"/>
      <c r="M94" s="35"/>
      <c r="N94" s="35"/>
      <c r="O94" s="1"/>
      <c r="P94" s="36"/>
    </row>
    <row r="95" ht="15" customHeight="1">
      <c r="A95" s="1"/>
      <c r="B95" s="43" t="s">
        <v>70</v>
      </c>
      <c r="C95" s="45">
        <f t="shared" si="9"/>
        <v>-30</v>
      </c>
      <c r="D95" s="45">
        <f t="shared" si="1"/>
        <v>76</v>
      </c>
      <c r="E95" s="45">
        <f t="shared" si="1"/>
        <v>-2</v>
      </c>
      <c r="F95" s="45">
        <f t="shared" si="1"/>
        <v>35</v>
      </c>
      <c r="G95" s="45"/>
      <c r="H95" s="46">
        <f t="shared" si="10"/>
        <v>11.409550000001218</v>
      </c>
      <c r="I95" s="45"/>
      <c r="J95" s="45"/>
      <c r="K95" s="45"/>
      <c r="L95" s="45"/>
      <c r="M95" s="45"/>
      <c r="N95" s="45"/>
      <c r="O95" s="1"/>
      <c r="P95" s="36"/>
    </row>
    <row r="96" ht="15" customHeight="1">
      <c r="A96" s="1"/>
      <c r="B96" s="43" t="s">
        <v>71</v>
      </c>
      <c r="C96" s="35">
        <f t="shared" si="11"/>
        <v>-0.02281368821292773</v>
      </c>
      <c r="D96" s="35">
        <f t="shared" si="2"/>
        <v>0.05914396887159534</v>
      </c>
      <c r="E96" s="35">
        <f t="shared" si="2"/>
        <v>-0.0014695077149154967</v>
      </c>
      <c r="F96" s="35">
        <f t="shared" si="2"/>
        <v>0.02575423105224428</v>
      </c>
      <c r="G96" s="35"/>
      <c r="H96" s="44">
        <f t="shared" si="12"/>
        <v>0.008184756097561863</v>
      </c>
      <c r="I96" s="35"/>
      <c r="J96" s="35"/>
      <c r="K96" s="35"/>
      <c r="L96" s="35"/>
      <c r="M96" s="35"/>
      <c r="N96" s="35"/>
      <c r="O96" s="1"/>
      <c r="P96" s="36"/>
    </row>
    <row r="97" ht="15" customHeight="1">
      <c r="A97" s="1"/>
      <c r="B97" s="43" t="s">
        <v>72</v>
      </c>
      <c r="C97" s="35">
        <f t="shared" si="24" ref="C97:H167">_xlfn.IFERROR(C93/C104,"n/a")</f>
        <v>0.14158219479947112</v>
      </c>
      <c r="D97" s="35">
        <f t="shared" si="24"/>
        <v>0.14054109871953738</v>
      </c>
      <c r="E97" s="35">
        <f t="shared" si="24"/>
        <v>0.14222919937205653</v>
      </c>
      <c r="F97" s="35">
        <f t="shared" si="24"/>
        <v>0.14112168455152865</v>
      </c>
      <c r="G97" s="35">
        <f t="shared" si="24"/>
        <v>0.1433695652173913</v>
      </c>
      <c r="H97" s="44">
        <f t="shared" si="24"/>
        <v>0.13910539359781338</v>
      </c>
      <c r="I97" s="35"/>
      <c r="J97" s="35"/>
      <c r="K97" s="35"/>
      <c r="L97" s="35"/>
      <c r="M97" s="35"/>
      <c r="N97" s="35"/>
      <c r="O97" s="1"/>
      <c r="P97" s="36"/>
    </row>
    <row r="98" ht="15" customHeight="1">
      <c r="A98" s="1"/>
      <c r="B98" s="43" t="s">
        <v>73</v>
      </c>
      <c r="C98" s="50">
        <v>83</v>
      </c>
      <c r="D98" s="50">
        <v>132</v>
      </c>
      <c r="E98" s="50">
        <v>133</v>
      </c>
      <c r="F98" s="50">
        <v>73</v>
      </c>
      <c r="G98" s="50">
        <v>252</v>
      </c>
      <c r="H98" s="46">
        <f t="shared" si="25"/>
        <v>-48.216063739031014</v>
      </c>
      <c r="I98" s="45"/>
      <c r="J98" s="45"/>
      <c r="K98" s="45"/>
      <c r="L98" s="45"/>
      <c r="M98" s="45"/>
      <c r="N98" s="45"/>
      <c r="O98" s="1"/>
      <c r="P98" s="36" t="s">
        <v>74</v>
      </c>
    </row>
    <row r="99" ht="15" customHeight="1">
      <c r="A99" s="1"/>
      <c r="B99" s="43" t="s">
        <v>75</v>
      </c>
      <c r="C99" s="35">
        <f t="shared" si="4"/>
        <v>0.14476987447698741</v>
      </c>
      <c r="D99" s="35">
        <f t="shared" si="4"/>
        <v>0.1310606060606061</v>
      </c>
      <c r="E99" s="35">
        <f t="shared" si="4"/>
        <v>0.13460076045627378</v>
      </c>
      <c r="F99" s="35">
        <f t="shared" si="4"/>
        <v>0.11558935361216727</v>
      </c>
      <c r="G99" s="35">
        <f t="shared" si="4"/>
        <v>0.15334863342374305</v>
      </c>
      <c r="H99" s="44">
        <f t="shared" si="14"/>
        <v>0.0561817013704049</v>
      </c>
      <c r="I99" s="35"/>
      <c r="J99" s="35"/>
      <c r="K99" s="35"/>
      <c r="L99" s="35"/>
      <c r="M99" s="35"/>
      <c r="N99" s="35"/>
      <c r="O99" s="1"/>
      <c r="P99" s="36"/>
    </row>
    <row r="100" ht="15" customHeight="1">
      <c r="A100" s="1"/>
      <c r="B100" s="43" t="s">
        <v>76</v>
      </c>
      <c r="C100" s="35">
        <f t="shared" si="5"/>
        <v>-0.06067251461988299</v>
      </c>
      <c r="D100" s="35">
        <f t="shared" si="5"/>
        <v>-0.08841259209645014</v>
      </c>
      <c r="E100" s="35">
        <f t="shared" si="5"/>
        <v>-0.08914209115281502</v>
      </c>
      <c r="F100" s="35">
        <f t="shared" si="5"/>
        <v>-0.04976141785957744</v>
      </c>
      <c r="G100" s="35">
        <f t="shared" si="5"/>
        <v>-0.04558610709117228</v>
      </c>
      <c r="H100" s="44">
        <f t="shared" si="5"/>
        <v>0.03552630058066719</v>
      </c>
      <c r="I100" s="35"/>
      <c r="J100" s="35"/>
      <c r="K100" s="35"/>
      <c r="L100" s="35"/>
      <c r="M100" s="35"/>
      <c r="N100" s="35"/>
      <c r="O100" s="1"/>
      <c r="P100" s="36"/>
    </row>
    <row r="101" ht="15" customHeight="1">
      <c r="A101" s="1"/>
      <c r="B101" s="43" t="s">
        <v>77</v>
      </c>
      <c r="C101" s="35" t="s">
        <v>41</v>
      </c>
      <c r="D101" s="35" t="s">
        <v>41</v>
      </c>
      <c r="E101" s="35" t="s">
        <v>41</v>
      </c>
      <c r="F101" s="35" t="s">
        <v>41</v>
      </c>
      <c r="G101" s="35" t="s">
        <v>41</v>
      </c>
      <c r="H101" s="44" t="s">
        <v>41</v>
      </c>
      <c r="I101" s="35"/>
      <c r="J101" s="35"/>
      <c r="K101" s="35"/>
      <c r="L101" s="35"/>
      <c r="M101" s="35"/>
      <c r="N101" s="35"/>
      <c r="O101" s="1"/>
      <c r="P101" s="36" t="s">
        <v>508</v>
      </c>
    </row>
    <row r="102" ht="15" customHeight="1">
      <c r="A102" s="1"/>
      <c r="B102" s="43" t="s">
        <v>78</v>
      </c>
      <c r="C102" s="35" t="s">
        <v>41</v>
      </c>
      <c r="D102" s="35" t="s">
        <v>41</v>
      </c>
      <c r="E102" s="35" t="s">
        <v>41</v>
      </c>
      <c r="F102" s="35" t="s">
        <v>41</v>
      </c>
      <c r="G102" s="35" t="s">
        <v>41</v>
      </c>
      <c r="H102" s="44" t="s">
        <v>41</v>
      </c>
      <c r="I102" s="35"/>
      <c r="J102" s="35"/>
      <c r="K102" s="35"/>
      <c r="L102" s="35"/>
      <c r="M102" s="35"/>
      <c r="N102" s="35"/>
      <c r="O102" s="1"/>
      <c r="P102" s="36" t="s">
        <v>509</v>
      </c>
    </row>
    <row r="103" ht="15" customHeight="1">
      <c r="A103" s="1"/>
      <c r="B103" s="43" t="s">
        <v>80</v>
      </c>
      <c r="C103" s="45"/>
      <c r="D103" s="45"/>
      <c r="E103" s="50">
        <v>1</v>
      </c>
      <c r="F103" s="45"/>
      <c r="G103" s="45">
        <f t="shared" si="7"/>
        <v>0</v>
      </c>
      <c r="H103" s="46"/>
      <c r="I103" s="45"/>
      <c r="J103" s="50">
        <v>1</v>
      </c>
      <c r="K103" s="45"/>
      <c r="L103" s="45"/>
      <c r="M103" s="45"/>
      <c r="N103" s="45"/>
      <c r="O103" s="1"/>
      <c r="P103" s="36" t="s">
        <v>81</v>
      </c>
    </row>
    <row r="104" ht="15" customHeight="1">
      <c r="A104" s="1"/>
      <c r="B104" s="25" t="s">
        <v>518</v>
      </c>
      <c r="C104" s="51">
        <f t="shared" si="26" ref="C104:N104">C31+C62+C93+C103</f>
        <v>9076</v>
      </c>
      <c r="D104" s="51">
        <f t="shared" si="26"/>
        <v>9684</v>
      </c>
      <c r="E104" s="51">
        <f t="shared" si="26"/>
        <v>9555</v>
      </c>
      <c r="F104" s="51">
        <f t="shared" si="26"/>
        <v>9878</v>
      </c>
      <c r="G104" s="51">
        <f t="shared" si="26"/>
        <v>36800</v>
      </c>
      <c r="H104" s="52">
        <f t="shared" si="26"/>
        <v>10103.199550000001</v>
      </c>
      <c r="I104" s="51"/>
      <c r="J104" s="51">
        <f t="shared" si="26"/>
        <v>8470</v>
      </c>
      <c r="K104" s="51">
        <f t="shared" si="26"/>
        <v>9377</v>
      </c>
      <c r="L104" s="51">
        <f t="shared" si="26"/>
        <v>9013</v>
      </c>
      <c r="M104" s="51">
        <f t="shared" si="26"/>
        <v>9027</v>
      </c>
      <c r="N104" s="51">
        <f t="shared" si="26"/>
        <v>34176</v>
      </c>
      <c r="O104" s="1"/>
      <c r="P104" s="36"/>
    </row>
    <row r="105" ht="15" customHeight="1">
      <c r="A105" s="1"/>
      <c r="B105" s="58" t="s">
        <v>519</v>
      </c>
      <c r="C105" s="20">
        <f>ROUND(C104-'Revenue summary'!C32,6)</f>
        <v>0</v>
      </c>
      <c r="D105" s="20">
        <f>ROUND(D104-'Revenue summary'!D32,6)</f>
        <v>0</v>
      </c>
      <c r="E105" s="20">
        <f>ROUND(E104-'Revenue summary'!E32,6)</f>
        <v>0</v>
      </c>
      <c r="F105" s="20">
        <f>ROUND(F104-'Revenue summary'!F32,6)</f>
        <v>0</v>
      </c>
      <c r="G105" s="20">
        <f>ROUND(G104-'Revenue summary'!G32,6)</f>
        <v>0</v>
      </c>
      <c r="H105" s="42">
        <f>ROUND(H104-'Revenue summary'!H32,6)</f>
        <v>0</v>
      </c>
      <c r="I105" s="21"/>
      <c r="J105" s="20">
        <f>ROUND(J104-'Revenue summary'!J32,6)</f>
        <v>0</v>
      </c>
      <c r="K105" s="20">
        <f>ROUND(K104-'Revenue summary'!K32,6)</f>
        <v>0</v>
      </c>
      <c r="L105" s="20">
        <f>ROUND(L104-'Revenue summary'!L32,6)</f>
        <v>0</v>
      </c>
      <c r="M105" s="20">
        <f>ROUND(M104-'Revenue summary'!M32,6)</f>
        <v>0</v>
      </c>
      <c r="N105" s="20">
        <f>ROUND(N104-'Revenue summary'!N32,6)</f>
        <v>0</v>
      </c>
      <c r="O105" s="1"/>
      <c r="P105" s="36" t="s">
        <v>520</v>
      </c>
    </row>
    <row r="106" ht="15" customHeight="1">
      <c r="A106" s="1"/>
      <c r="B106" s="1"/>
      <c r="C106" s="1"/>
      <c r="D106" s="1"/>
      <c r="E106" s="1"/>
      <c r="F106" s="1"/>
      <c r="G106" s="1"/>
      <c r="H106" s="40"/>
      <c r="I106" s="1"/>
      <c r="J106" s="1"/>
      <c r="K106" s="1"/>
      <c r="L106" s="1"/>
      <c r="M106" s="1"/>
      <c r="N106" s="1"/>
      <c r="O106" s="1"/>
      <c r="P106" s="36"/>
    </row>
    <row r="107" ht="15" customHeight="1">
      <c r="A107" s="1"/>
      <c r="B107" s="25" t="s">
        <v>521</v>
      </c>
      <c r="C107" s="1"/>
      <c r="D107" s="1"/>
      <c r="E107" s="1"/>
      <c r="F107" s="1"/>
      <c r="G107" s="1"/>
      <c r="H107" s="40"/>
      <c r="I107" s="1"/>
      <c r="J107" s="1"/>
      <c r="K107" s="1"/>
      <c r="L107" s="1"/>
      <c r="M107" s="1"/>
      <c r="N107" s="1"/>
      <c r="O107" s="1"/>
      <c r="P107" s="36"/>
    </row>
    <row r="108" ht="15" customHeight="1">
      <c r="A108" s="1"/>
      <c r="B108" s="41" t="s">
        <v>522</v>
      </c>
      <c r="C108" s="61">
        <v>2271</v>
      </c>
      <c r="D108" s="61">
        <v>2410</v>
      </c>
      <c r="E108" s="61">
        <v>2584</v>
      </c>
      <c r="F108" s="61">
        <v>2737</v>
      </c>
      <c r="G108" s="21">
        <f t="shared" si="7"/>
        <v>8876</v>
      </c>
      <c r="H108" s="59">
        <f t="shared" si="8"/>
        <v>2884.17</v>
      </c>
      <c r="I108" s="21"/>
      <c r="J108" s="61">
        <v>1742</v>
      </c>
      <c r="K108" s="61">
        <v>1920</v>
      </c>
      <c r="L108" s="61">
        <v>2032</v>
      </c>
      <c r="M108" s="61">
        <v>2163</v>
      </c>
      <c r="N108" s="61">
        <v>6892</v>
      </c>
      <c r="O108" s="1"/>
      <c r="P108" s="36"/>
    </row>
    <row r="109" ht="15" customHeight="1">
      <c r="A109" s="1"/>
      <c r="B109" s="43" t="s">
        <v>69</v>
      </c>
      <c r="C109" s="35">
        <f t="shared" si="0"/>
        <v>0.30367393800229614</v>
      </c>
      <c r="D109" s="35">
        <f t="shared" si="0"/>
        <v>0.25520833333333326</v>
      </c>
      <c r="E109" s="35">
        <f t="shared" si="0"/>
        <v>0.2716535433070866</v>
      </c>
      <c r="F109" s="35">
        <f t="shared" si="0"/>
        <v>0.2653721682847896</v>
      </c>
      <c r="G109" s="35">
        <f t="shared" si="0"/>
        <v>0.28786999419616954</v>
      </c>
      <c r="H109" s="57">
        <v>0.27</v>
      </c>
      <c r="I109" s="35"/>
      <c r="J109" s="35"/>
      <c r="K109" s="35"/>
      <c r="L109" s="35"/>
      <c r="M109" s="35"/>
      <c r="N109" s="35"/>
      <c r="O109" s="1"/>
      <c r="P109" s="36"/>
    </row>
    <row r="110" ht="15" customHeight="1">
      <c r="A110" s="1"/>
      <c r="B110" s="43" t="s">
        <v>70</v>
      </c>
      <c r="C110" s="45">
        <f t="shared" si="9"/>
        <v>108</v>
      </c>
      <c r="D110" s="45">
        <f t="shared" si="1"/>
        <v>139</v>
      </c>
      <c r="E110" s="45">
        <f t="shared" si="1"/>
        <v>174</v>
      </c>
      <c r="F110" s="45">
        <f t="shared" si="1"/>
        <v>153</v>
      </c>
      <c r="G110" s="45"/>
      <c r="H110" s="46">
        <f t="shared" si="10"/>
        <v>147.17000000000007</v>
      </c>
      <c r="I110" s="45"/>
      <c r="J110" s="45"/>
      <c r="K110" s="45"/>
      <c r="L110" s="45"/>
      <c r="M110" s="45"/>
      <c r="N110" s="45"/>
      <c r="O110" s="1"/>
      <c r="P110" s="36"/>
    </row>
    <row r="111" ht="15" customHeight="1">
      <c r="A111" s="1"/>
      <c r="B111" s="43" t="s">
        <v>71</v>
      </c>
      <c r="C111" s="35">
        <f t="shared" si="11"/>
        <v>0.04993065187239942</v>
      </c>
      <c r="D111" s="35">
        <f t="shared" si="2"/>
        <v>0.06120651695288415</v>
      </c>
      <c r="E111" s="35">
        <f t="shared" si="2"/>
        <v>0.0721991701244813</v>
      </c>
      <c r="F111" s="35">
        <f t="shared" si="2"/>
        <v>0.05921052631578938</v>
      </c>
      <c r="G111" s="35"/>
      <c r="H111" s="44">
        <f t="shared" si="12"/>
        <v>0.053770551698940405</v>
      </c>
      <c r="I111" s="35"/>
      <c r="J111" s="35"/>
      <c r="K111" s="35"/>
      <c r="L111" s="35"/>
      <c r="M111" s="35"/>
      <c r="N111" s="35"/>
      <c r="O111" s="1"/>
      <c r="P111" s="36"/>
    </row>
    <row r="112" ht="15" customHeight="1">
      <c r="A112" s="1"/>
      <c r="B112" s="43" t="s">
        <v>523</v>
      </c>
      <c r="C112" s="35">
        <f t="shared" si="27" ref="C112:H147">_xlfn.IFERROR(C108/C139,"n/a")</f>
        <v>0.4293005671077505</v>
      </c>
      <c r="D112" s="35">
        <f t="shared" si="27"/>
        <v>0.4295900178253119</v>
      </c>
      <c r="E112" s="35">
        <f t="shared" si="27"/>
        <v>0.4334116068433412</v>
      </c>
      <c r="F112" s="35">
        <f t="shared" si="27"/>
        <v>0.43575863715968793</v>
      </c>
      <c r="G112" s="35">
        <f t="shared" si="27"/>
        <v>0.4222042524853732</v>
      </c>
      <c r="H112" s="44">
        <f t="shared" si="27"/>
        <v>0.43767221515523413</v>
      </c>
      <c r="I112" s="35"/>
      <c r="J112" s="35"/>
      <c r="K112" s="35"/>
      <c r="L112" s="35"/>
      <c r="M112" s="35"/>
      <c r="N112" s="35"/>
      <c r="O112" s="1"/>
      <c r="P112" s="36"/>
    </row>
    <row r="113" ht="15" customHeight="1">
      <c r="A113" s="1"/>
      <c r="B113" s="43" t="s">
        <v>73</v>
      </c>
      <c r="C113" s="50">
        <v>24</v>
      </c>
      <c r="D113" s="50">
        <v>41</v>
      </c>
      <c r="E113" s="50">
        <v>41</v>
      </c>
      <c r="F113" s="50">
        <v>3</v>
      </c>
      <c r="G113" s="50">
        <v>62</v>
      </c>
      <c r="H113" s="48">
        <f>'Segment - ATS'!H75*F113/(F113+F123+F133)</f>
        <v>-1.9771360936093707</v>
      </c>
      <c r="I113" s="45"/>
      <c r="J113" s="45"/>
      <c r="K113" s="45"/>
      <c r="L113" s="45"/>
      <c r="M113" s="45"/>
      <c r="N113" s="45"/>
      <c r="O113" s="1"/>
      <c r="P113" s="36" t="s">
        <v>524</v>
      </c>
    </row>
    <row r="114" ht="15" customHeight="1">
      <c r="A114" s="1"/>
      <c r="B114" s="43" t="s">
        <v>75</v>
      </c>
      <c r="C114" s="35">
        <f t="shared" si="4"/>
        <v>0.3174512055109071</v>
      </c>
      <c r="D114" s="35">
        <f t="shared" si="4"/>
        <v>0.27656250000000004</v>
      </c>
      <c r="E114" s="35">
        <f t="shared" si="4"/>
        <v>0.29183070866141736</v>
      </c>
      <c r="F114" s="35">
        <f t="shared" si="4"/>
        <v>0.2667591308368007</v>
      </c>
      <c r="G114" s="35">
        <f t="shared" si="4"/>
        <v>0.2968659315147997</v>
      </c>
      <c r="H114" s="44">
        <f t="shared" si="14"/>
        <v>0.26912939846164274</v>
      </c>
      <c r="I114" s="35"/>
      <c r="J114" s="35"/>
      <c r="K114" s="35"/>
      <c r="L114" s="35"/>
      <c r="M114" s="35"/>
      <c r="N114" s="35"/>
      <c r="O114" s="1"/>
      <c r="P114" s="36"/>
    </row>
    <row r="115" ht="15" customHeight="1">
      <c r="A115" s="1"/>
      <c r="B115" s="43" t="s">
        <v>76</v>
      </c>
      <c r="C115" s="35">
        <f t="shared" si="5"/>
        <v>-0.010457516339869466</v>
      </c>
      <c r="D115" s="35">
        <f t="shared" si="5"/>
        <v>-0.01672786617707067</v>
      </c>
      <c r="E115" s="35">
        <f t="shared" si="5"/>
        <v>-0.015619047619047643</v>
      </c>
      <c r="F115" s="35">
        <f t="shared" si="5"/>
        <v>-0.0010948905109489093</v>
      </c>
      <c r="G115" s="35">
        <f t="shared" si="5"/>
        <v>-0.006936674871335757</v>
      </c>
      <c r="H115" s="44">
        <f t="shared" si="5"/>
        <v>0.000685983272795232</v>
      </c>
      <c r="I115" s="35"/>
      <c r="J115" s="35"/>
      <c r="K115" s="35"/>
      <c r="L115" s="35"/>
      <c r="M115" s="35"/>
      <c r="N115" s="35"/>
      <c r="O115" s="1"/>
      <c r="P115" s="36"/>
    </row>
    <row r="116" ht="15" customHeight="1">
      <c r="A116" s="1"/>
      <c r="B116" s="43" t="s">
        <v>77</v>
      </c>
      <c r="C116" s="35" t="s">
        <v>41</v>
      </c>
      <c r="D116" s="35" t="s">
        <v>41</v>
      </c>
      <c r="E116" s="35" t="s">
        <v>41</v>
      </c>
      <c r="F116" s="35" t="s">
        <v>41</v>
      </c>
      <c r="G116" s="35" t="s">
        <v>41</v>
      </c>
      <c r="H116" s="44" t="s">
        <v>41</v>
      </c>
      <c r="I116" s="35"/>
      <c r="J116" s="35"/>
      <c r="K116" s="35"/>
      <c r="L116" s="35"/>
      <c r="M116" s="35"/>
      <c r="N116" s="35"/>
      <c r="O116" s="1"/>
      <c r="P116" s="36" t="s">
        <v>83</v>
      </c>
    </row>
    <row r="117" ht="15" customHeight="1">
      <c r="A117" s="1"/>
      <c r="B117" s="43" t="s">
        <v>78</v>
      </c>
      <c r="C117" s="35" t="str">
        <f t="shared" si="6"/>
        <v>n/a</v>
      </c>
      <c r="D117" s="35" t="str">
        <f t="shared" si="6"/>
        <v>n/a</v>
      </c>
      <c r="E117" s="35" t="str">
        <f t="shared" si="6"/>
        <v>n/a</v>
      </c>
      <c r="F117" s="35" t="str">
        <f t="shared" si="6"/>
        <v>n/a</v>
      </c>
      <c r="G117" s="35" t="str">
        <f t="shared" si="6"/>
        <v>n/a</v>
      </c>
      <c r="H117" s="44" t="str">
        <f t="shared" si="6"/>
        <v>n/a</v>
      </c>
      <c r="I117" s="35"/>
      <c r="J117" s="35"/>
      <c r="K117" s="35"/>
      <c r="L117" s="35"/>
      <c r="M117" s="35"/>
      <c r="N117" s="35"/>
      <c r="O117" s="1"/>
      <c r="P117" s="36"/>
    </row>
    <row r="118" ht="15" customHeight="1">
      <c r="A118" s="1"/>
      <c r="B118" s="41" t="s">
        <v>525</v>
      </c>
      <c r="C118" s="61">
        <v>2247</v>
      </c>
      <c r="D118" s="61">
        <v>2383</v>
      </c>
      <c r="E118" s="61">
        <v>2516</v>
      </c>
      <c r="F118" s="61">
        <v>2631</v>
      </c>
      <c r="G118" s="21">
        <f t="shared" si="7"/>
        <v>9076</v>
      </c>
      <c r="H118" s="59">
        <f t="shared" si="8"/>
        <v>2741.34</v>
      </c>
      <c r="I118" s="21"/>
      <c r="J118" s="61">
        <v>1989</v>
      </c>
      <c r="K118" s="61">
        <v>2121</v>
      </c>
      <c r="L118" s="61">
        <v>2231</v>
      </c>
      <c r="M118" s="61">
        <v>2215</v>
      </c>
      <c r="N118" s="61">
        <v>7872</v>
      </c>
      <c r="O118" s="1"/>
      <c r="P118" s="36"/>
    </row>
    <row r="119" ht="15" customHeight="1">
      <c r="A119" s="1"/>
      <c r="B119" s="43" t="s">
        <v>69</v>
      </c>
      <c r="C119" s="35">
        <f t="shared" si="0"/>
        <v>0.12971342383107087</v>
      </c>
      <c r="D119" s="35">
        <f t="shared" si="0"/>
        <v>0.1235266383781235</v>
      </c>
      <c r="E119" s="35">
        <f t="shared" si="0"/>
        <v>0.12774540564769166</v>
      </c>
      <c r="F119" s="35">
        <f t="shared" si="0"/>
        <v>0.1878103837471783</v>
      </c>
      <c r="G119" s="35">
        <f t="shared" si="0"/>
        <v>0.1529471544715446</v>
      </c>
      <c r="H119" s="57">
        <v>0.22</v>
      </c>
      <c r="I119" s="35"/>
      <c r="J119" s="35"/>
      <c r="K119" s="35"/>
      <c r="L119" s="35"/>
      <c r="M119" s="35"/>
      <c r="N119" s="35"/>
      <c r="O119" s="1"/>
      <c r="P119" s="36"/>
    </row>
    <row r="120" ht="15" customHeight="1">
      <c r="A120" s="1"/>
      <c r="B120" s="43" t="s">
        <v>70</v>
      </c>
      <c r="C120" s="45">
        <f t="shared" si="9"/>
        <v>32</v>
      </c>
      <c r="D120" s="45">
        <f t="shared" si="1"/>
        <v>136</v>
      </c>
      <c r="E120" s="45">
        <f t="shared" si="1"/>
        <v>133</v>
      </c>
      <c r="F120" s="45">
        <f t="shared" si="1"/>
        <v>115</v>
      </c>
      <c r="G120" s="45"/>
      <c r="H120" s="46">
        <f t="shared" si="10"/>
        <v>110.34000000000015</v>
      </c>
      <c r="I120" s="45"/>
      <c r="J120" s="45"/>
      <c r="K120" s="45"/>
      <c r="L120" s="45"/>
      <c r="M120" s="45"/>
      <c r="N120" s="45"/>
      <c r="O120" s="1"/>
      <c r="P120" s="36"/>
    </row>
    <row r="121" ht="15" customHeight="1">
      <c r="A121" s="1"/>
      <c r="B121" s="43" t="s">
        <v>71</v>
      </c>
      <c r="C121" s="35">
        <f t="shared" si="11"/>
        <v>0.014446952595936757</v>
      </c>
      <c r="D121" s="35">
        <f t="shared" si="2"/>
        <v>0.06052514463729408</v>
      </c>
      <c r="E121" s="35">
        <f t="shared" si="2"/>
        <v>0.05581200167855638</v>
      </c>
      <c r="F121" s="35">
        <f t="shared" si="2"/>
        <v>0.04570747217806037</v>
      </c>
      <c r="G121" s="35"/>
      <c r="H121" s="44">
        <f t="shared" si="12"/>
        <v>0.041938426453819844</v>
      </c>
      <c r="I121" s="35"/>
      <c r="J121" s="35"/>
      <c r="K121" s="35"/>
      <c r="L121" s="35"/>
      <c r="M121" s="35"/>
      <c r="N121" s="35"/>
      <c r="O121" s="1"/>
      <c r="P121" s="36"/>
    </row>
    <row r="122" ht="15" customHeight="1">
      <c r="A122" s="1"/>
      <c r="B122" s="43" t="s">
        <v>523</v>
      </c>
      <c r="C122" s="35">
        <f t="shared" si="28" ref="C122:H157">_xlfn.IFERROR(C118/C139,"n/a")</f>
        <v>0.42476370510396977</v>
      </c>
      <c r="D122" s="35">
        <f t="shared" si="28"/>
        <v>0.42477718360071304</v>
      </c>
      <c r="E122" s="35">
        <f t="shared" si="28"/>
        <v>0.4220060382422006</v>
      </c>
      <c r="F122" s="35">
        <f t="shared" si="28"/>
        <v>0.41888234357586374</v>
      </c>
      <c r="G122" s="35">
        <f t="shared" si="28"/>
        <v>0.43171764258193407</v>
      </c>
      <c r="H122" s="44">
        <f t="shared" si="28"/>
        <v>0.4159977914941385</v>
      </c>
      <c r="I122" s="35"/>
      <c r="J122" s="35"/>
      <c r="K122" s="35"/>
      <c r="L122" s="35"/>
      <c r="M122" s="35"/>
      <c r="N122" s="35"/>
      <c r="O122" s="1"/>
      <c r="P122" s="36"/>
    </row>
    <row r="123" ht="15" customHeight="1">
      <c r="A123" s="1"/>
      <c r="B123" s="43" t="s">
        <v>73</v>
      </c>
      <c r="C123" s="50">
        <v>140</v>
      </c>
      <c r="D123" s="50">
        <v>192</v>
      </c>
      <c r="E123" s="50">
        <v>238</v>
      </c>
      <c r="F123" s="50">
        <v>46</v>
      </c>
      <c r="G123" s="50">
        <v>422</v>
      </c>
      <c r="H123" s="48">
        <f>'Segment - ATS'!H75*F123/(F113+F123+F133)</f>
        <v>-30.316086768677017</v>
      </c>
      <c r="I123" s="45"/>
      <c r="J123" s="45"/>
      <c r="K123" s="45"/>
      <c r="L123" s="45"/>
      <c r="M123" s="45"/>
      <c r="N123" s="45"/>
      <c r="O123" s="1"/>
      <c r="P123" s="36" t="s">
        <v>524</v>
      </c>
    </row>
    <row r="124" ht="15" customHeight="1">
      <c r="A124" s="1"/>
      <c r="B124" s="43" t="s">
        <v>75</v>
      </c>
      <c r="C124" s="35">
        <f t="shared" si="4"/>
        <v>0.20010055304172947</v>
      </c>
      <c r="D124" s="35">
        <f t="shared" si="4"/>
        <v>0.21404997642621404</v>
      </c>
      <c r="E124" s="35">
        <f t="shared" si="4"/>
        <v>0.23442402510085159</v>
      </c>
      <c r="F124" s="35">
        <f t="shared" si="4"/>
        <v>0.20857787810383743</v>
      </c>
      <c r="G124" s="35">
        <f t="shared" si="4"/>
        <v>0.20655487804878048</v>
      </c>
      <c r="H124" s="44">
        <f t="shared" si="14"/>
        <v>0.20650819458447844</v>
      </c>
      <c r="I124" s="35"/>
      <c r="J124" s="35"/>
      <c r="K124" s="35"/>
      <c r="L124" s="35"/>
      <c r="M124" s="35"/>
      <c r="N124" s="35"/>
      <c r="O124" s="1"/>
      <c r="P124" s="36"/>
    </row>
    <row r="125" ht="15" customHeight="1">
      <c r="A125" s="1"/>
      <c r="B125" s="43" t="s">
        <v>76</v>
      </c>
      <c r="C125" s="35">
        <f t="shared" si="5"/>
        <v>-0.058651026392961825</v>
      </c>
      <c r="D125" s="35">
        <f t="shared" si="5"/>
        <v>-0.07456310679611655</v>
      </c>
      <c r="E125" s="35">
        <f t="shared" si="5"/>
        <v>-0.08641975308641969</v>
      </c>
      <c r="F125" s="35">
        <f t="shared" si="5"/>
        <v>-0.017183414269704933</v>
      </c>
      <c r="G125" s="35">
        <f t="shared" si="5"/>
        <v>-0.044430406401347766</v>
      </c>
      <c r="H125" s="44">
        <f t="shared" si="5"/>
        <v>0.011182522817566154</v>
      </c>
      <c r="I125" s="35"/>
      <c r="J125" s="35"/>
      <c r="K125" s="35"/>
      <c r="L125" s="35"/>
      <c r="M125" s="35"/>
      <c r="N125" s="35"/>
      <c r="O125" s="1"/>
      <c r="P125" s="36"/>
    </row>
    <row r="126" ht="15" customHeight="1">
      <c r="A126" s="1"/>
      <c r="B126" s="43" t="s">
        <v>77</v>
      </c>
      <c r="C126" s="35" t="s">
        <v>41</v>
      </c>
      <c r="D126" s="35" t="s">
        <v>41</v>
      </c>
      <c r="E126" s="35" t="s">
        <v>41</v>
      </c>
      <c r="F126" s="35" t="s">
        <v>41</v>
      </c>
      <c r="G126" s="35" t="s">
        <v>41</v>
      </c>
      <c r="H126" s="44" t="s">
        <v>41</v>
      </c>
      <c r="I126" s="35"/>
      <c r="J126" s="35"/>
      <c r="K126" s="35"/>
      <c r="L126" s="35"/>
      <c r="M126" s="35"/>
      <c r="N126" s="35"/>
      <c r="O126" s="1"/>
      <c r="P126" s="36" t="s">
        <v>83</v>
      </c>
    </row>
    <row r="127" ht="15" customHeight="1">
      <c r="A127" s="1"/>
      <c r="B127" s="43" t="s">
        <v>78</v>
      </c>
      <c r="C127" s="35" t="str">
        <f t="shared" si="6"/>
        <v>n/a</v>
      </c>
      <c r="D127" s="35" t="str">
        <f t="shared" si="6"/>
        <v>n/a</v>
      </c>
      <c r="E127" s="35" t="str">
        <f t="shared" si="6"/>
        <v>n/a</v>
      </c>
      <c r="F127" s="35" t="str">
        <f t="shared" si="6"/>
        <v>n/a</v>
      </c>
      <c r="G127" s="35" t="str">
        <f t="shared" si="6"/>
        <v>n/a</v>
      </c>
      <c r="H127" s="44" t="str">
        <f t="shared" si="6"/>
        <v>n/a</v>
      </c>
      <c r="I127" s="35"/>
      <c r="J127" s="35"/>
      <c r="K127" s="35"/>
      <c r="L127" s="35"/>
      <c r="M127" s="35"/>
      <c r="N127" s="35"/>
      <c r="O127" s="1"/>
      <c r="P127" s="36"/>
    </row>
    <row r="128" ht="15" customHeight="1">
      <c r="A128" s="1"/>
      <c r="B128" s="41" t="s">
        <v>526</v>
      </c>
      <c r="C128" s="61">
        <v>772</v>
      </c>
      <c r="D128" s="61">
        <v>817</v>
      </c>
      <c r="E128" s="61">
        <v>862</v>
      </c>
      <c r="F128" s="61">
        <v>913</v>
      </c>
      <c r="G128" s="21">
        <f t="shared" si="7"/>
        <v>3073</v>
      </c>
      <c r="H128" s="42">
        <f>'Segment - ATS'!H68-H108-H118</f>
        <v>964.2846</v>
      </c>
      <c r="I128" s="21"/>
      <c r="J128" s="61">
        <v>620</v>
      </c>
      <c r="K128" s="61">
        <v>667</v>
      </c>
      <c r="L128" s="61">
        <v>731</v>
      </c>
      <c r="M128" s="61">
        <v>753</v>
      </c>
      <c r="N128" s="61">
        <v>2377</v>
      </c>
      <c r="O128" s="1"/>
      <c r="P128" s="36" t="s">
        <v>527</v>
      </c>
    </row>
    <row r="129" ht="15" customHeight="1">
      <c r="A129" s="1"/>
      <c r="B129" s="43" t="s">
        <v>69</v>
      </c>
      <c r="C129" s="35">
        <f t="shared" si="0"/>
        <v>0.2451612903225806</v>
      </c>
      <c r="D129" s="35">
        <f t="shared" si="0"/>
        <v>0.22488755622188905</v>
      </c>
      <c r="E129" s="35">
        <f t="shared" si="0"/>
        <v>0.17920656634746912</v>
      </c>
      <c r="F129" s="35">
        <f t="shared" si="0"/>
        <v>0.21248339973439578</v>
      </c>
      <c r="G129" s="35">
        <f t="shared" si="0"/>
        <v>0.2928060580563736</v>
      </c>
      <c r="H129" s="44">
        <f t="shared" si="20"/>
        <v>0.2490733160621761</v>
      </c>
      <c r="I129" s="35"/>
      <c r="J129" s="35"/>
      <c r="K129" s="35"/>
      <c r="L129" s="35"/>
      <c r="M129" s="35"/>
      <c r="N129" s="35"/>
      <c r="O129" s="1"/>
      <c r="P129" s="36"/>
    </row>
    <row r="130" ht="15" customHeight="1">
      <c r="A130" s="1"/>
      <c r="B130" s="43" t="s">
        <v>70</v>
      </c>
      <c r="C130" s="45">
        <f t="shared" si="9"/>
        <v>19</v>
      </c>
      <c r="D130" s="45">
        <f t="shared" si="1"/>
        <v>45</v>
      </c>
      <c r="E130" s="45">
        <f t="shared" si="1"/>
        <v>45</v>
      </c>
      <c r="F130" s="45">
        <f t="shared" si="1"/>
        <v>51</v>
      </c>
      <c r="G130" s="45"/>
      <c r="H130" s="46">
        <f t="shared" si="10"/>
        <v>51.284599999999955</v>
      </c>
      <c r="I130" s="45"/>
      <c r="J130" s="45"/>
      <c r="K130" s="45"/>
      <c r="L130" s="45"/>
      <c r="M130" s="45"/>
      <c r="N130" s="45"/>
      <c r="O130" s="1"/>
      <c r="P130" s="36"/>
    </row>
    <row r="131" ht="15" customHeight="1">
      <c r="A131" s="1"/>
      <c r="B131" s="43" t="s">
        <v>71</v>
      </c>
      <c r="C131" s="35">
        <f t="shared" si="11"/>
        <v>0.025232403718459473</v>
      </c>
      <c r="D131" s="35">
        <f t="shared" si="2"/>
        <v>0.05829015544041449</v>
      </c>
      <c r="E131" s="35">
        <f t="shared" si="2"/>
        <v>0.055079559363525155</v>
      </c>
      <c r="F131" s="35">
        <f t="shared" si="2"/>
        <v>0.05916473317865423</v>
      </c>
      <c r="G131" s="35"/>
      <c r="H131" s="44">
        <f t="shared" si="12"/>
        <v>0.05617152245345003</v>
      </c>
      <c r="I131" s="35"/>
      <c r="J131" s="35"/>
      <c r="K131" s="35"/>
      <c r="L131" s="35"/>
      <c r="M131" s="35"/>
      <c r="N131" s="35"/>
      <c r="O131" s="1"/>
      <c r="P131" s="36"/>
    </row>
    <row r="132" ht="15" customHeight="1">
      <c r="A132" s="1"/>
      <c r="B132" s="43" t="s">
        <v>523</v>
      </c>
      <c r="C132" s="35">
        <f t="shared" si="24"/>
        <v>0.14593572778827976</v>
      </c>
      <c r="D132" s="35">
        <f t="shared" si="24"/>
        <v>0.14563279857397504</v>
      </c>
      <c r="E132" s="35">
        <f t="shared" si="24"/>
        <v>0.14458235491445823</v>
      </c>
      <c r="F132" s="35">
        <f t="shared" si="24"/>
        <v>0.14535901926444833</v>
      </c>
      <c r="G132" s="35">
        <f t="shared" si="24"/>
        <v>0.14617323883365838</v>
      </c>
      <c r="H132" s="44">
        <f t="shared" si="24"/>
        <v>0.14632999335062732</v>
      </c>
      <c r="I132" s="35"/>
      <c r="J132" s="35"/>
      <c r="K132" s="35"/>
      <c r="L132" s="35"/>
      <c r="M132" s="35"/>
      <c r="N132" s="35"/>
      <c r="O132" s="1"/>
      <c r="P132" s="36"/>
    </row>
    <row r="133" ht="15" customHeight="1">
      <c r="A133" s="1"/>
      <c r="B133" s="43" t="s">
        <v>73</v>
      </c>
      <c r="C133" s="50">
        <v>51</v>
      </c>
      <c r="D133" s="50">
        <v>80</v>
      </c>
      <c r="E133" s="50">
        <v>85</v>
      </c>
      <c r="F133" s="50">
        <v>50</v>
      </c>
      <c r="G133" s="50">
        <v>153</v>
      </c>
      <c r="H133" s="48">
        <f>'Segment - ATS'!H75*F133/(F113+F123+F133)</f>
        <v>-32.952268226822845</v>
      </c>
      <c r="I133" s="45"/>
      <c r="J133" s="45"/>
      <c r="K133" s="45"/>
      <c r="L133" s="45"/>
      <c r="M133" s="45"/>
      <c r="N133" s="45"/>
      <c r="O133" s="1"/>
      <c r="P133" s="36" t="s">
        <v>524</v>
      </c>
    </row>
    <row r="134" ht="15" customHeight="1">
      <c r="A134" s="1"/>
      <c r="B134" s="43" t="s">
        <v>75</v>
      </c>
      <c r="C134" s="35">
        <f t="shared" si="4"/>
        <v>0.32741935483870965</v>
      </c>
      <c r="D134" s="35">
        <f t="shared" si="4"/>
        <v>0.3448275862068966</v>
      </c>
      <c r="E134" s="35">
        <f t="shared" si="4"/>
        <v>0.2954856361149112</v>
      </c>
      <c r="F134" s="35">
        <f t="shared" si="4"/>
        <v>0.2788844621513944</v>
      </c>
      <c r="G134" s="35">
        <f t="shared" si="4"/>
        <v>0.3571729070256626</v>
      </c>
      <c r="H134" s="44">
        <f t="shared" si="14"/>
        <v>0.20638903079427084</v>
      </c>
      <c r="I134" s="35"/>
      <c r="J134" s="35"/>
      <c r="K134" s="35"/>
      <c r="L134" s="35"/>
      <c r="M134" s="35"/>
      <c r="N134" s="35"/>
      <c r="O134" s="1"/>
      <c r="P134" s="36"/>
    </row>
    <row r="135" ht="15" customHeight="1">
      <c r="A135" s="1"/>
      <c r="B135" s="43" t="s">
        <v>76</v>
      </c>
      <c r="C135" s="35">
        <f t="shared" si="5"/>
        <v>-0.06196840826245442</v>
      </c>
      <c r="D135" s="35">
        <f t="shared" si="5"/>
        <v>-0.08918617614269786</v>
      </c>
      <c r="E135" s="35">
        <f t="shared" si="5"/>
        <v>-0.08975712777191147</v>
      </c>
      <c r="F135" s="35">
        <f t="shared" si="5"/>
        <v>-0.05192107995846307</v>
      </c>
      <c r="G135" s="35">
        <f t="shared" si="5"/>
        <v>-0.047427154370737745</v>
      </c>
      <c r="H135" s="44">
        <f t="shared" si="5"/>
        <v>0.035381857906816805</v>
      </c>
      <c r="I135" s="35"/>
      <c r="J135" s="35"/>
      <c r="K135" s="35"/>
      <c r="L135" s="35"/>
      <c r="M135" s="35"/>
      <c r="N135" s="35"/>
      <c r="O135" s="1"/>
      <c r="P135" s="36"/>
    </row>
    <row r="136" ht="15" customHeight="1">
      <c r="A136" s="1"/>
      <c r="B136" s="43" t="s">
        <v>77</v>
      </c>
      <c r="C136" s="35" t="s">
        <v>41</v>
      </c>
      <c r="D136" s="35" t="s">
        <v>41</v>
      </c>
      <c r="E136" s="35" t="s">
        <v>41</v>
      </c>
      <c r="F136" s="35" t="s">
        <v>41</v>
      </c>
      <c r="G136" s="35" t="s">
        <v>41</v>
      </c>
      <c r="H136" s="44" t="s">
        <v>41</v>
      </c>
      <c r="I136" s="35"/>
      <c r="J136" s="35"/>
      <c r="K136" s="35"/>
      <c r="L136" s="35"/>
      <c r="M136" s="35"/>
      <c r="N136" s="35"/>
      <c r="O136" s="1"/>
      <c r="P136" s="36" t="s">
        <v>83</v>
      </c>
    </row>
    <row r="137" ht="15" customHeight="1">
      <c r="A137" s="1"/>
      <c r="B137" s="43" t="s">
        <v>78</v>
      </c>
      <c r="C137" s="35" t="str">
        <f t="shared" si="6"/>
        <v>n/a</v>
      </c>
      <c r="D137" s="35" t="str">
        <f t="shared" si="6"/>
        <v>n/a</v>
      </c>
      <c r="E137" s="35" t="str">
        <f t="shared" si="6"/>
        <v>n/a</v>
      </c>
      <c r="F137" s="35" t="str">
        <f t="shared" si="6"/>
        <v>n/a</v>
      </c>
      <c r="G137" s="35" t="str">
        <f t="shared" si="6"/>
        <v>n/a</v>
      </c>
      <c r="H137" s="44" t="str">
        <f t="shared" si="6"/>
        <v>n/a</v>
      </c>
      <c r="I137" s="35"/>
      <c r="J137" s="35"/>
      <c r="K137" s="35"/>
      <c r="L137" s="35"/>
      <c r="M137" s="35"/>
      <c r="N137" s="35"/>
      <c r="O137" s="1"/>
      <c r="P137" s="36"/>
    </row>
    <row r="138" ht="15" customHeight="1">
      <c r="A138" s="1"/>
      <c r="B138" s="43" t="s">
        <v>80</v>
      </c>
      <c r="C138" s="45"/>
      <c r="D138" s="45"/>
      <c r="E138" s="45"/>
      <c r="F138" s="45"/>
      <c r="G138" s="45">
        <f t="shared" si="7"/>
        <v>-2</v>
      </c>
      <c r="H138" s="46"/>
      <c r="I138" s="45"/>
      <c r="J138" s="45"/>
      <c r="K138" s="45"/>
      <c r="L138" s="50">
        <v>-1</v>
      </c>
      <c r="M138" s="50">
        <v>-1</v>
      </c>
      <c r="N138" s="45"/>
      <c r="O138" s="1"/>
      <c r="P138" s="36" t="s">
        <v>81</v>
      </c>
    </row>
    <row r="139" ht="15" customHeight="1">
      <c r="A139" s="1"/>
      <c r="B139" s="25" t="s">
        <v>528</v>
      </c>
      <c r="C139" s="51">
        <f t="shared" si="29" ref="C139:N174">C108+C118+C128+C138</f>
        <v>5290</v>
      </c>
      <c r="D139" s="51">
        <f t="shared" si="29"/>
        <v>5610</v>
      </c>
      <c r="E139" s="51">
        <f t="shared" si="29"/>
        <v>5962</v>
      </c>
      <c r="F139" s="51">
        <f t="shared" si="29"/>
        <v>6281</v>
      </c>
      <c r="G139" s="51">
        <f t="shared" si="29"/>
        <v>21023</v>
      </c>
      <c r="H139" s="52">
        <f t="shared" si="29"/>
        <v>6589.7946</v>
      </c>
      <c r="I139" s="51"/>
      <c r="J139" s="51">
        <f t="shared" si="29"/>
        <v>4351</v>
      </c>
      <c r="K139" s="51">
        <f t="shared" si="29"/>
        <v>4708</v>
      </c>
      <c r="L139" s="51">
        <f t="shared" si="29"/>
        <v>4993</v>
      </c>
      <c r="M139" s="51">
        <f t="shared" si="29"/>
        <v>5130</v>
      </c>
      <c r="N139" s="51">
        <f t="shared" si="29"/>
        <v>17141</v>
      </c>
      <c r="O139" s="1"/>
      <c r="P139" s="36"/>
    </row>
    <row r="140" ht="15" customHeight="1">
      <c r="A140" s="1"/>
      <c r="B140" s="58" t="s">
        <v>529</v>
      </c>
      <c r="C140" s="20">
        <f>ROUND(C139-'Segment - ATS'!C68,6)</f>
        <v>0</v>
      </c>
      <c r="D140" s="20">
        <f>ROUND(D139-'Segment - ATS'!D68,6)</f>
        <v>0</v>
      </c>
      <c r="E140" s="20">
        <f>ROUND(E139-'Segment - ATS'!E68,6)</f>
        <v>0</v>
      </c>
      <c r="F140" s="20">
        <f>ROUND(F139-'Segment - ATS'!F68,6)</f>
        <v>0</v>
      </c>
      <c r="G140" s="20">
        <f>ROUND(G139-'Segment - ATS'!G68,6)</f>
        <v>0</v>
      </c>
      <c r="H140" s="42">
        <f>ROUND(H139-'Segment - ATS'!H68,6)</f>
        <v>0</v>
      </c>
      <c r="I140" s="21"/>
      <c r="J140" s="20">
        <f>ROUND(J139-'Segment - ATS'!J68,6)</f>
        <v>0</v>
      </c>
      <c r="K140" s="20">
        <f>ROUND(K139-'Segment - ATS'!K68,6)</f>
        <v>0</v>
      </c>
      <c r="L140" s="20">
        <f>ROUND(L139-'Segment - ATS'!L68,6)</f>
        <v>0</v>
      </c>
      <c r="M140" s="20">
        <f>ROUND(M139-'Segment - ATS'!M68,6)</f>
        <v>0</v>
      </c>
      <c r="N140" s="20">
        <f>ROUND(N139-'Segment - ATS'!N68,6)</f>
        <v>0</v>
      </c>
      <c r="O140" s="1"/>
      <c r="P140" s="36" t="s">
        <v>530</v>
      </c>
    </row>
    <row r="141" ht="15" customHeight="1">
      <c r="A141" s="1"/>
      <c r="B141" s="1"/>
      <c r="C141" s="1"/>
      <c r="D141" s="1"/>
      <c r="E141" s="1"/>
      <c r="F141" s="1"/>
      <c r="G141" s="1"/>
      <c r="H141" s="40"/>
      <c r="I141" s="1"/>
      <c r="J141" s="1"/>
      <c r="K141" s="1"/>
      <c r="L141" s="1"/>
      <c r="M141" s="1"/>
      <c r="N141" s="1"/>
      <c r="O141" s="1"/>
      <c r="P141" s="36"/>
    </row>
    <row r="142" ht="15" customHeight="1">
      <c r="A142" s="1"/>
      <c r="B142" s="25" t="s">
        <v>531</v>
      </c>
      <c r="C142" s="1"/>
      <c r="D142" s="1"/>
      <c r="E142" s="1"/>
      <c r="F142" s="1"/>
      <c r="G142" s="1"/>
      <c r="H142" s="40"/>
      <c r="I142" s="1"/>
      <c r="J142" s="1"/>
      <c r="K142" s="1"/>
      <c r="L142" s="1"/>
      <c r="M142" s="1"/>
      <c r="N142" s="1"/>
      <c r="O142" s="1"/>
      <c r="P142" s="36"/>
    </row>
    <row r="143" ht="15" customHeight="1">
      <c r="A143" s="1"/>
      <c r="B143" s="41" t="s">
        <v>522</v>
      </c>
      <c r="C143" s="61">
        <v>3750</v>
      </c>
      <c r="D143" s="61">
        <v>4055</v>
      </c>
      <c r="E143" s="61">
        <v>3991</v>
      </c>
      <c r="F143" s="61">
        <v>4128</v>
      </c>
      <c r="G143" s="21">
        <f t="shared" si="7"/>
        <v>15012</v>
      </c>
      <c r="H143" s="59">
        <f t="shared" si="8"/>
        <v>4275.000000000001</v>
      </c>
      <c r="I143" s="21"/>
      <c r="J143" s="61">
        <v>3370</v>
      </c>
      <c r="K143" s="61">
        <v>3840</v>
      </c>
      <c r="L143" s="61">
        <v>3538</v>
      </c>
      <c r="M143" s="61">
        <v>3669</v>
      </c>
      <c r="N143" s="61">
        <v>13534</v>
      </c>
      <c r="O143" s="1"/>
      <c r="P143" s="36"/>
    </row>
    <row r="144" ht="15" customHeight="1">
      <c r="A144" s="1"/>
      <c r="B144" s="43" t="s">
        <v>69</v>
      </c>
      <c r="C144" s="35">
        <f t="shared" si="0"/>
        <v>0.11275964391691384</v>
      </c>
      <c r="D144" s="35">
        <f t="shared" si="0"/>
        <v>0.05598958333333326</v>
      </c>
      <c r="E144" s="35">
        <f t="shared" si="0"/>
        <v>0.1280384397964951</v>
      </c>
      <c r="F144" s="35">
        <f t="shared" si="0"/>
        <v>0.12510220768601799</v>
      </c>
      <c r="G144" s="35">
        <f t="shared" si="0"/>
        <v>0.10920644303236293</v>
      </c>
      <c r="H144" s="57">
        <v>0.14</v>
      </c>
      <c r="I144" s="35"/>
      <c r="J144" s="35"/>
      <c r="K144" s="35"/>
      <c r="L144" s="35"/>
      <c r="M144" s="35"/>
      <c r="N144" s="35"/>
      <c r="O144" s="1"/>
      <c r="P144" s="36"/>
    </row>
    <row r="145" ht="15" customHeight="1">
      <c r="A145" s="1"/>
      <c r="B145" s="43" t="s">
        <v>70</v>
      </c>
      <c r="C145" s="45">
        <f t="shared" si="9"/>
        <v>81</v>
      </c>
      <c r="D145" s="45">
        <f t="shared" si="1"/>
        <v>305</v>
      </c>
      <c r="E145" s="45">
        <f t="shared" si="1"/>
        <v>-64</v>
      </c>
      <c r="F145" s="45">
        <f t="shared" si="1"/>
        <v>137</v>
      </c>
      <c r="G145" s="45"/>
      <c r="H145" s="46">
        <f t="shared" si="10"/>
        <v>147.0000000000009</v>
      </c>
      <c r="I145" s="45"/>
      <c r="J145" s="45"/>
      <c r="K145" s="45"/>
      <c r="L145" s="45"/>
      <c r="M145" s="45"/>
      <c r="N145" s="45"/>
      <c r="O145" s="1"/>
      <c r="P145" s="36"/>
    </row>
    <row r="146" ht="15" customHeight="1">
      <c r="A146" s="1"/>
      <c r="B146" s="43" t="s">
        <v>71</v>
      </c>
      <c r="C146" s="35">
        <f t="shared" si="11"/>
        <v>0.022076860179885527</v>
      </c>
      <c r="D146" s="35">
        <f t="shared" si="2"/>
        <v>0.08133333333333326</v>
      </c>
      <c r="E146" s="35">
        <f t="shared" si="2"/>
        <v>-0.015782983970406894</v>
      </c>
      <c r="F146" s="35">
        <f t="shared" si="2"/>
        <v>0.03432723628163359</v>
      </c>
      <c r="G146" s="35"/>
      <c r="H146" s="44">
        <f t="shared" si="12"/>
        <v>0.03561046511627919</v>
      </c>
      <c r="I146" s="35"/>
      <c r="J146" s="35"/>
      <c r="K146" s="35"/>
      <c r="L146" s="35"/>
      <c r="M146" s="35"/>
      <c r="N146" s="35"/>
      <c r="O146" s="1"/>
      <c r="P146" s="36"/>
    </row>
    <row r="147" ht="15" customHeight="1">
      <c r="A147" s="1"/>
      <c r="B147" s="43" t="s">
        <v>532</v>
      </c>
      <c r="C147" s="35">
        <f t="shared" si="27"/>
        <v>0.46781437125748504</v>
      </c>
      <c r="D147" s="35">
        <f t="shared" si="27"/>
        <v>0.47052680436296124</v>
      </c>
      <c r="E147" s="35">
        <f t="shared" si="27"/>
        <v>0.46689284043051005</v>
      </c>
      <c r="F147" s="35">
        <f t="shared" si="27"/>
        <v>0.4663879787594622</v>
      </c>
      <c r="G147" s="35">
        <f t="shared" si="27"/>
        <v>0.46136824635810436</v>
      </c>
      <c r="H147" s="44">
        <f t="shared" si="27"/>
        <v>0.4708993145886987</v>
      </c>
      <c r="I147" s="35"/>
      <c r="J147" s="35"/>
      <c r="K147" s="35"/>
      <c r="L147" s="35"/>
      <c r="M147" s="35"/>
      <c r="N147" s="35"/>
      <c r="O147" s="1"/>
      <c r="P147" s="36"/>
    </row>
    <row r="148" ht="15" customHeight="1">
      <c r="A148" s="1"/>
      <c r="B148" s="43" t="s">
        <v>73</v>
      </c>
      <c r="C148" s="50">
        <v>27</v>
      </c>
      <c r="D148" s="50">
        <v>52</v>
      </c>
      <c r="E148" s="50">
        <v>45</v>
      </c>
      <c r="F148" s="50">
        <v>0</v>
      </c>
      <c r="G148" s="50">
        <v>75</v>
      </c>
      <c r="H148" s="48">
        <f>'Segment - ATS'!H117*F148/(F148+F158+F168)</f>
        <v>0</v>
      </c>
      <c r="I148" s="45"/>
      <c r="J148" s="45"/>
      <c r="K148" s="45"/>
      <c r="L148" s="45"/>
      <c r="M148" s="45"/>
      <c r="N148" s="45"/>
      <c r="O148" s="1"/>
      <c r="P148" s="36" t="s">
        <v>524</v>
      </c>
    </row>
    <row r="149" ht="15" customHeight="1">
      <c r="A149" s="1"/>
      <c r="B149" s="43" t="s">
        <v>75</v>
      </c>
      <c r="C149" s="35">
        <f t="shared" si="4"/>
        <v>0.12077151335311576</v>
      </c>
      <c r="D149" s="35">
        <f t="shared" si="4"/>
        <v>0.06953125000000004</v>
      </c>
      <c r="E149" s="35">
        <f t="shared" si="4"/>
        <v>0.14075749010740535</v>
      </c>
      <c r="F149" s="35">
        <f t="shared" si="4"/>
        <v>0.12510220768601799</v>
      </c>
      <c r="G149" s="35">
        <f t="shared" si="4"/>
        <v>0.11474804196837596</v>
      </c>
      <c r="H149" s="44">
        <f t="shared" si="14"/>
        <v>0.14000000000000035</v>
      </c>
      <c r="I149" s="35"/>
      <c r="J149" s="35"/>
      <c r="K149" s="35"/>
      <c r="L149" s="35"/>
      <c r="M149" s="35"/>
      <c r="N149" s="35"/>
      <c r="O149" s="1"/>
      <c r="P149" s="36"/>
    </row>
    <row r="150" ht="15" customHeight="1">
      <c r="A150" s="1"/>
      <c r="B150" s="43" t="s">
        <v>76</v>
      </c>
      <c r="C150" s="35">
        <f t="shared" si="5"/>
        <v>-0.007148530579825341</v>
      </c>
      <c r="D150" s="35">
        <f t="shared" si="5"/>
        <v>-0.01266130995860737</v>
      </c>
      <c r="E150" s="35">
        <f t="shared" si="5"/>
        <v>-0.01114965312190297</v>
      </c>
      <c r="F150" s="35">
        <f t="shared" si="5"/>
        <v>0</v>
      </c>
      <c r="G150" s="35">
        <f t="shared" si="5"/>
        <v>-0.004971167230065632</v>
      </c>
      <c r="H150" s="44">
        <f t="shared" si="5"/>
        <v>0</v>
      </c>
      <c r="I150" s="35"/>
      <c r="J150" s="35"/>
      <c r="K150" s="35"/>
      <c r="L150" s="35"/>
      <c r="M150" s="35"/>
      <c r="N150" s="35"/>
      <c r="O150" s="1"/>
      <c r="P150" s="36"/>
    </row>
    <row r="151" ht="15" customHeight="1">
      <c r="A151" s="1"/>
      <c r="B151" s="43" t="s">
        <v>77</v>
      </c>
      <c r="C151" s="35" t="s">
        <v>41</v>
      </c>
      <c r="D151" s="35" t="s">
        <v>41</v>
      </c>
      <c r="E151" s="35" t="s">
        <v>41</v>
      </c>
      <c r="F151" s="35" t="s">
        <v>41</v>
      </c>
      <c r="G151" s="35" t="s">
        <v>41</v>
      </c>
      <c r="H151" s="44" t="s">
        <v>41</v>
      </c>
      <c r="I151" s="35"/>
      <c r="J151" s="35"/>
      <c r="K151" s="35"/>
      <c r="L151" s="35"/>
      <c r="M151" s="35"/>
      <c r="N151" s="35"/>
      <c r="O151" s="1"/>
      <c r="P151" s="36" t="s">
        <v>83</v>
      </c>
    </row>
    <row r="152" ht="15" customHeight="1">
      <c r="A152" s="1"/>
      <c r="B152" s="43" t="s">
        <v>78</v>
      </c>
      <c r="C152" s="35" t="str">
        <f t="shared" si="6"/>
        <v>n/a</v>
      </c>
      <c r="D152" s="35" t="str">
        <f t="shared" si="6"/>
        <v>n/a</v>
      </c>
      <c r="E152" s="35" t="str">
        <f t="shared" si="6"/>
        <v>n/a</v>
      </c>
      <c r="F152" s="35" t="str">
        <f t="shared" si="6"/>
        <v>n/a</v>
      </c>
      <c r="G152" s="35" t="str">
        <f t="shared" si="6"/>
        <v>n/a</v>
      </c>
      <c r="H152" s="44" t="str">
        <f t="shared" si="6"/>
        <v>n/a</v>
      </c>
      <c r="I152" s="35"/>
      <c r="J152" s="35"/>
      <c r="K152" s="35"/>
      <c r="L152" s="35"/>
      <c r="M152" s="35"/>
      <c r="N152" s="35"/>
      <c r="O152" s="1"/>
      <c r="P152" s="36"/>
    </row>
    <row r="153" ht="15" customHeight="1">
      <c r="A153" s="1"/>
      <c r="B153" s="41" t="s">
        <v>525</v>
      </c>
      <c r="C153" s="61">
        <v>3102</v>
      </c>
      <c r="D153" s="61">
        <v>3327</v>
      </c>
      <c r="E153" s="61">
        <v>3312</v>
      </c>
      <c r="F153" s="61">
        <v>3453</v>
      </c>
      <c r="G153" s="21">
        <f t="shared" si="7"/>
        <v>12744</v>
      </c>
      <c r="H153" s="59">
        <f t="shared" si="8"/>
        <v>3520.77</v>
      </c>
      <c r="I153" s="21"/>
      <c r="J153" s="61">
        <v>2982</v>
      </c>
      <c r="K153" s="61">
        <v>3230</v>
      </c>
      <c r="L153" s="61">
        <v>3209</v>
      </c>
      <c r="M153" s="61">
        <v>3106</v>
      </c>
      <c r="N153" s="61">
        <v>11987</v>
      </c>
      <c r="O153" s="1"/>
      <c r="P153" s="36"/>
    </row>
    <row r="154" ht="15" customHeight="1">
      <c r="A154" s="1"/>
      <c r="B154" s="43" t="s">
        <v>69</v>
      </c>
      <c r="C154" s="35">
        <f t="shared" si="0"/>
        <v>0.04024144869215296</v>
      </c>
      <c r="D154" s="35">
        <f t="shared" si="0"/>
        <v>0.03003095975232206</v>
      </c>
      <c r="E154" s="35">
        <f t="shared" si="0"/>
        <v>0.03209722655032721</v>
      </c>
      <c r="F154" s="35">
        <f t="shared" si="0"/>
        <v>0.1117192530585962</v>
      </c>
      <c r="G154" s="35">
        <f t="shared" si="0"/>
        <v>0.06315174772670384</v>
      </c>
      <c r="H154" s="57">
        <v>0.135</v>
      </c>
      <c r="I154" s="35"/>
      <c r="J154" s="35"/>
      <c r="K154" s="35"/>
      <c r="L154" s="35"/>
      <c r="M154" s="35"/>
      <c r="N154" s="35"/>
      <c r="O154" s="1"/>
      <c r="P154" s="36"/>
    </row>
    <row r="155" ht="15" customHeight="1">
      <c r="A155" s="1"/>
      <c r="B155" s="43" t="s">
        <v>70</v>
      </c>
      <c r="C155" s="45">
        <f t="shared" si="9"/>
        <v>-4</v>
      </c>
      <c r="D155" s="45">
        <f t="shared" si="1"/>
        <v>225</v>
      </c>
      <c r="E155" s="45">
        <f t="shared" si="1"/>
        <v>-15</v>
      </c>
      <c r="F155" s="45">
        <f t="shared" si="1"/>
        <v>141</v>
      </c>
      <c r="G155" s="45"/>
      <c r="H155" s="46">
        <f t="shared" si="10"/>
        <v>67.76999999999998</v>
      </c>
      <c r="I155" s="45"/>
      <c r="J155" s="45"/>
      <c r="K155" s="45"/>
      <c r="L155" s="45"/>
      <c r="M155" s="45"/>
      <c r="N155" s="45"/>
      <c r="O155" s="1"/>
      <c r="P155" s="36"/>
    </row>
    <row r="156" ht="15" customHeight="1">
      <c r="A156" s="1"/>
      <c r="B156" s="43" t="s">
        <v>71</v>
      </c>
      <c r="C156" s="35">
        <f t="shared" si="11"/>
        <v>-0.0012878300064391723</v>
      </c>
      <c r="D156" s="35">
        <f t="shared" si="2"/>
        <v>0.07253384912959371</v>
      </c>
      <c r="E156" s="35">
        <f t="shared" si="2"/>
        <v>-0.0045085662759242195</v>
      </c>
      <c r="F156" s="35">
        <f t="shared" si="2"/>
        <v>0.042572463768115965</v>
      </c>
      <c r="G156" s="35"/>
      <c r="H156" s="44">
        <f t="shared" si="12"/>
        <v>0.01962641181581226</v>
      </c>
      <c r="I156" s="35"/>
      <c r="J156" s="35"/>
      <c r="K156" s="35"/>
      <c r="L156" s="35"/>
      <c r="M156" s="35"/>
      <c r="N156" s="35"/>
      <c r="O156" s="1"/>
      <c r="P156" s="36"/>
    </row>
    <row r="157" ht="15" customHeight="1">
      <c r="A157" s="1"/>
      <c r="B157" s="43" t="s">
        <v>532</v>
      </c>
      <c r="C157" s="35">
        <f t="shared" si="28"/>
        <v>0.3869760479041916</v>
      </c>
      <c r="D157" s="35">
        <f t="shared" si="28"/>
        <v>0.3860524483638895</v>
      </c>
      <c r="E157" s="35">
        <f t="shared" si="28"/>
        <v>0.38745905474964903</v>
      </c>
      <c r="F157" s="35">
        <f t="shared" si="28"/>
        <v>0.390125409558242</v>
      </c>
      <c r="G157" s="35">
        <f t="shared" si="28"/>
        <v>0.391665130001844</v>
      </c>
      <c r="H157" s="44">
        <f t="shared" si="28"/>
        <v>0.3878194572688778</v>
      </c>
      <c r="I157" s="35"/>
      <c r="J157" s="35"/>
      <c r="K157" s="35"/>
      <c r="L157" s="35"/>
      <c r="M157" s="35"/>
      <c r="N157" s="35"/>
      <c r="O157" s="1"/>
      <c r="P157" s="36"/>
    </row>
    <row r="158" ht="15" customHeight="1">
      <c r="A158" s="1"/>
      <c r="B158" s="43" t="s">
        <v>73</v>
      </c>
      <c r="C158" s="50">
        <v>195</v>
      </c>
      <c r="D158" s="50">
        <v>273</v>
      </c>
      <c r="E158" s="50">
        <v>318</v>
      </c>
      <c r="F158" s="50">
        <v>61</v>
      </c>
      <c r="G158" s="50">
        <v>592</v>
      </c>
      <c r="H158" s="48">
        <f>'Segment - ATS'!H117*F158/(F148+F158+F168)</f>
        <v>-40.19196356040928</v>
      </c>
      <c r="I158" s="45"/>
      <c r="J158" s="45"/>
      <c r="K158" s="45"/>
      <c r="L158" s="45"/>
      <c r="M158" s="45"/>
      <c r="N158" s="45"/>
      <c r="O158" s="1"/>
      <c r="P158" s="36" t="s">
        <v>524</v>
      </c>
    </row>
    <row r="159" ht="15" customHeight="1">
      <c r="A159" s="1"/>
      <c r="B159" s="43" t="s">
        <v>75</v>
      </c>
      <c r="C159" s="35">
        <f t="shared" si="4"/>
        <v>0.10563380281690149</v>
      </c>
      <c r="D159" s="35">
        <f t="shared" si="4"/>
        <v>0.11455108359133126</v>
      </c>
      <c r="E159" s="35">
        <f t="shared" si="4"/>
        <v>0.13119351822997816</v>
      </c>
      <c r="F159" s="35">
        <f t="shared" si="4"/>
        <v>0.13135866065679336</v>
      </c>
      <c r="G159" s="35">
        <f t="shared" si="4"/>
        <v>0.1125385834654209</v>
      </c>
      <c r="H159" s="44">
        <f t="shared" si="14"/>
        <v>0.12204320968394278</v>
      </c>
      <c r="I159" s="35"/>
      <c r="J159" s="35"/>
      <c r="K159" s="35"/>
      <c r="L159" s="35"/>
      <c r="M159" s="35"/>
      <c r="N159" s="35"/>
      <c r="O159" s="1"/>
      <c r="P159" s="36"/>
    </row>
    <row r="160" ht="15" customHeight="1">
      <c r="A160" s="1"/>
      <c r="B160" s="43" t="s">
        <v>76</v>
      </c>
      <c r="C160" s="35">
        <f t="shared" si="5"/>
        <v>-0.059144676979071886</v>
      </c>
      <c r="D160" s="35">
        <f t="shared" si="5"/>
        <v>-0.07583333333333331</v>
      </c>
      <c r="E160" s="35">
        <f t="shared" si="5"/>
        <v>-0.08760330578512399</v>
      </c>
      <c r="F160" s="35">
        <f t="shared" si="5"/>
        <v>-0.017359134889015526</v>
      </c>
      <c r="G160" s="35">
        <f t="shared" si="5"/>
        <v>-0.04439112177564497</v>
      </c>
      <c r="H160" s="44">
        <f t="shared" si="5"/>
        <v>0.011547496748995023</v>
      </c>
      <c r="I160" s="35"/>
      <c r="J160" s="35"/>
      <c r="K160" s="35"/>
      <c r="L160" s="35"/>
      <c r="M160" s="35"/>
      <c r="N160" s="35"/>
      <c r="O160" s="1"/>
      <c r="P160" s="36"/>
    </row>
    <row r="161" ht="15" customHeight="1">
      <c r="A161" s="1"/>
      <c r="B161" s="43" t="s">
        <v>77</v>
      </c>
      <c r="C161" s="35" t="s">
        <v>41</v>
      </c>
      <c r="D161" s="35" t="s">
        <v>41</v>
      </c>
      <c r="E161" s="35" t="s">
        <v>41</v>
      </c>
      <c r="F161" s="35" t="s">
        <v>41</v>
      </c>
      <c r="G161" s="35" t="s">
        <v>41</v>
      </c>
      <c r="H161" s="44" t="s">
        <v>41</v>
      </c>
      <c r="I161" s="35"/>
      <c r="J161" s="35"/>
      <c r="K161" s="35"/>
      <c r="L161" s="35"/>
      <c r="M161" s="35"/>
      <c r="N161" s="35"/>
      <c r="O161" s="1"/>
      <c r="P161" s="36" t="s">
        <v>83</v>
      </c>
    </row>
    <row r="162" ht="15" customHeight="1">
      <c r="A162" s="1"/>
      <c r="B162" s="43" t="s">
        <v>78</v>
      </c>
      <c r="C162" s="35" t="str">
        <f t="shared" si="6"/>
        <v>n/a</v>
      </c>
      <c r="D162" s="35" t="str">
        <f t="shared" si="6"/>
        <v>n/a</v>
      </c>
      <c r="E162" s="35" t="str">
        <f t="shared" si="6"/>
        <v>n/a</v>
      </c>
      <c r="F162" s="35" t="str">
        <f t="shared" si="6"/>
        <v>n/a</v>
      </c>
      <c r="G162" s="35" t="str">
        <f t="shared" si="6"/>
        <v>n/a</v>
      </c>
      <c r="H162" s="44" t="str">
        <f t="shared" si="6"/>
        <v>n/a</v>
      </c>
      <c r="I162" s="35"/>
      <c r="J162" s="35"/>
      <c r="K162" s="35"/>
      <c r="L162" s="35"/>
      <c r="M162" s="35"/>
      <c r="N162" s="35"/>
      <c r="O162" s="1"/>
      <c r="P162" s="36"/>
    </row>
    <row r="163" ht="15" customHeight="1">
      <c r="A163" s="1"/>
      <c r="B163" s="41" t="s">
        <v>526</v>
      </c>
      <c r="C163" s="61">
        <v>1164</v>
      </c>
      <c r="D163" s="61">
        <v>1236</v>
      </c>
      <c r="E163" s="61">
        <v>1245</v>
      </c>
      <c r="F163" s="61">
        <v>1270</v>
      </c>
      <c r="G163" s="21">
        <f t="shared" si="7"/>
        <v>4782</v>
      </c>
      <c r="H163" s="42">
        <f>'Segment - ATS'!H112-H143-H153</f>
        <v>1282.6038000000003</v>
      </c>
      <c r="I163" s="21"/>
      <c r="J163" s="61">
        <v>1077</v>
      </c>
      <c r="K163" s="61">
        <v>1197</v>
      </c>
      <c r="L163" s="61">
        <v>1191</v>
      </c>
      <c r="M163" s="61">
        <v>1191</v>
      </c>
      <c r="N163" s="61">
        <v>4308</v>
      </c>
      <c r="O163" s="1"/>
      <c r="P163" s="36" t="s">
        <v>533</v>
      </c>
    </row>
    <row r="164" ht="15" customHeight="1">
      <c r="A164" s="1"/>
      <c r="B164" s="43" t="s">
        <v>69</v>
      </c>
      <c r="C164" s="35">
        <f t="shared" si="0"/>
        <v>0.08077994428969348</v>
      </c>
      <c r="D164" s="35">
        <f t="shared" si="0"/>
        <v>0.032581453634085156</v>
      </c>
      <c r="E164" s="35">
        <f t="shared" si="0"/>
        <v>0.04534005037783384</v>
      </c>
      <c r="F164" s="35">
        <f t="shared" si="0"/>
        <v>0.06633081444164568</v>
      </c>
      <c r="G164" s="35">
        <f t="shared" si="0"/>
        <v>0.11002785515320324</v>
      </c>
      <c r="H164" s="44">
        <f t="shared" si="20"/>
        <v>0.1018932989690724</v>
      </c>
      <c r="I164" s="35"/>
      <c r="J164" s="35"/>
      <c r="K164" s="35"/>
      <c r="L164" s="35"/>
      <c r="M164" s="35"/>
      <c r="N164" s="35"/>
      <c r="O164" s="1"/>
      <c r="P164" s="36"/>
    </row>
    <row r="165" ht="15" customHeight="1">
      <c r="A165" s="1"/>
      <c r="B165" s="43" t="s">
        <v>70</v>
      </c>
      <c r="C165" s="45">
        <f t="shared" si="9"/>
        <v>-27</v>
      </c>
      <c r="D165" s="45">
        <f t="shared" si="1"/>
        <v>72</v>
      </c>
      <c r="E165" s="45">
        <f t="shared" si="1"/>
        <v>9</v>
      </c>
      <c r="F165" s="45">
        <f t="shared" si="1"/>
        <v>25</v>
      </c>
      <c r="G165" s="45"/>
      <c r="H165" s="46">
        <f t="shared" si="10"/>
        <v>12.60380000000032</v>
      </c>
      <c r="I165" s="45"/>
      <c r="J165" s="45"/>
      <c r="K165" s="45"/>
      <c r="L165" s="45"/>
      <c r="M165" s="45"/>
      <c r="N165" s="45"/>
      <c r="O165" s="1"/>
      <c r="P165" s="36"/>
    </row>
    <row r="166" ht="15" customHeight="1">
      <c r="A166" s="1"/>
      <c r="B166" s="43" t="s">
        <v>71</v>
      </c>
      <c r="C166" s="35">
        <f t="shared" si="11"/>
        <v>-0.02267002518891692</v>
      </c>
      <c r="D166" s="35">
        <f t="shared" si="2"/>
        <v>0.061855670103092786</v>
      </c>
      <c r="E166" s="35">
        <f t="shared" si="2"/>
        <v>0.00728155339805836</v>
      </c>
      <c r="F166" s="35">
        <f t="shared" si="2"/>
        <v>0.02008032128514059</v>
      </c>
      <c r="G166" s="35"/>
      <c r="H166" s="44">
        <f t="shared" si="12"/>
        <v>0.009924251968504105</v>
      </c>
      <c r="I166" s="35"/>
      <c r="J166" s="35"/>
      <c r="K166" s="35"/>
      <c r="L166" s="35"/>
      <c r="M166" s="35"/>
      <c r="N166" s="35"/>
      <c r="O166" s="1"/>
      <c r="P166" s="36"/>
    </row>
    <row r="167" ht="15" customHeight="1">
      <c r="A167" s="1"/>
      <c r="B167" s="43" t="s">
        <v>532</v>
      </c>
      <c r="C167" s="35">
        <f t="shared" si="24"/>
        <v>0.14520958083832336</v>
      </c>
      <c r="D167" s="35">
        <f t="shared" si="24"/>
        <v>0.1434207472731492</v>
      </c>
      <c r="E167" s="35">
        <f t="shared" si="24"/>
        <v>0.1456481048198409</v>
      </c>
      <c r="F167" s="35">
        <f t="shared" si="24"/>
        <v>0.1434866116822958</v>
      </c>
      <c r="G167" s="35">
        <f t="shared" si="24"/>
        <v>0.14696662364005164</v>
      </c>
      <c r="H167" s="44">
        <f t="shared" si="24"/>
        <v>0.1412812281424235</v>
      </c>
      <c r="I167" s="35"/>
      <c r="J167" s="35"/>
      <c r="K167" s="35"/>
      <c r="L167" s="35"/>
      <c r="M167" s="35"/>
      <c r="N167" s="35"/>
      <c r="O167" s="1"/>
      <c r="P167" s="36"/>
    </row>
    <row r="168" ht="15" customHeight="1">
      <c r="A168" s="1"/>
      <c r="B168" s="43" t="s">
        <v>73</v>
      </c>
      <c r="C168" s="50">
        <v>75</v>
      </c>
      <c r="D168" s="50">
        <v>120</v>
      </c>
      <c r="E168" s="50">
        <v>123</v>
      </c>
      <c r="F168" s="50">
        <v>68</v>
      </c>
      <c r="G168" s="50">
        <v>229</v>
      </c>
      <c r="H168" s="48">
        <f>'Segment - ATS'!H117*F168/(F148+F158+F168)</f>
        <v>-44.804156100128374</v>
      </c>
      <c r="I168" s="45"/>
      <c r="J168" s="45"/>
      <c r="K168" s="45"/>
      <c r="L168" s="45"/>
      <c r="M168" s="45"/>
      <c r="N168" s="45"/>
      <c r="O168" s="1"/>
      <c r="P168" s="36" t="s">
        <v>524</v>
      </c>
    </row>
    <row r="169" ht="15" customHeight="1">
      <c r="A169" s="1"/>
      <c r="B169" s="43" t="s">
        <v>75</v>
      </c>
      <c r="C169" s="35">
        <f t="shared" si="4"/>
        <v>0.1504178272980501</v>
      </c>
      <c r="D169" s="35">
        <f t="shared" si="4"/>
        <v>0.1328320802005012</v>
      </c>
      <c r="E169" s="35">
        <f t="shared" si="4"/>
        <v>0.1486146095717884</v>
      </c>
      <c r="F169" s="35">
        <f t="shared" si="4"/>
        <v>0.1234256926952142</v>
      </c>
      <c r="G169" s="35">
        <f t="shared" si="4"/>
        <v>0.16318477251624874</v>
      </c>
      <c r="H169" s="44">
        <f t="shared" si="14"/>
        <v>0.0634017559277249</v>
      </c>
      <c r="I169" s="35"/>
      <c r="J169" s="35"/>
      <c r="K169" s="35"/>
      <c r="L169" s="35"/>
      <c r="M169" s="35"/>
      <c r="N169" s="35"/>
      <c r="O169" s="1"/>
      <c r="P169" s="36"/>
    </row>
    <row r="170" ht="15" customHeight="1">
      <c r="A170" s="1"/>
      <c r="B170" s="43" t="s">
        <v>76</v>
      </c>
      <c r="C170" s="35">
        <f t="shared" si="5"/>
        <v>-0.060532687651331796</v>
      </c>
      <c r="D170" s="35">
        <f t="shared" si="5"/>
        <v>-0.08849557522123896</v>
      </c>
      <c r="E170" s="35">
        <f t="shared" si="5"/>
        <v>-0.08991228070175428</v>
      </c>
      <c r="F170" s="35">
        <f t="shared" si="5"/>
        <v>-0.050822122571001604</v>
      </c>
      <c r="G170" s="35">
        <f t="shared" si="5"/>
        <v>-0.04569946118539214</v>
      </c>
      <c r="H170" s="44">
        <f t="shared" si="5"/>
        <v>0.036196614145861616</v>
      </c>
      <c r="I170" s="35"/>
      <c r="J170" s="35"/>
      <c r="K170" s="35"/>
      <c r="L170" s="35"/>
      <c r="M170" s="35"/>
      <c r="N170" s="35"/>
      <c r="O170" s="1"/>
      <c r="P170" s="36"/>
    </row>
    <row r="171" ht="15" customHeight="1">
      <c r="A171" s="1"/>
      <c r="B171" s="43" t="s">
        <v>77</v>
      </c>
      <c r="C171" s="35" t="s">
        <v>41</v>
      </c>
      <c r="D171" s="35" t="s">
        <v>41</v>
      </c>
      <c r="E171" s="35" t="s">
        <v>41</v>
      </c>
      <c r="F171" s="35" t="s">
        <v>41</v>
      </c>
      <c r="G171" s="35" t="s">
        <v>41</v>
      </c>
      <c r="H171" s="44" t="s">
        <v>41</v>
      </c>
      <c r="I171" s="35"/>
      <c r="J171" s="35"/>
      <c r="K171" s="35"/>
      <c r="L171" s="35"/>
      <c r="M171" s="35"/>
      <c r="N171" s="35"/>
      <c r="O171" s="1"/>
      <c r="P171" s="36" t="s">
        <v>83</v>
      </c>
    </row>
    <row r="172" ht="15" customHeight="1">
      <c r="A172" s="1"/>
      <c r="B172" s="43" t="s">
        <v>78</v>
      </c>
      <c r="C172" s="35" t="str">
        <f t="shared" si="6"/>
        <v>n/a</v>
      </c>
      <c r="D172" s="35" t="str">
        <f t="shared" si="6"/>
        <v>n/a</v>
      </c>
      <c r="E172" s="35" t="str">
        <f t="shared" si="6"/>
        <v>n/a</v>
      </c>
      <c r="F172" s="35" t="str">
        <f t="shared" si="6"/>
        <v>n/a</v>
      </c>
      <c r="G172" s="35" t="str">
        <f t="shared" si="6"/>
        <v>n/a</v>
      </c>
      <c r="H172" s="44" t="str">
        <f t="shared" si="6"/>
        <v>n/a</v>
      </c>
      <c r="I172" s="35"/>
      <c r="J172" s="35"/>
      <c r="K172" s="35"/>
      <c r="L172" s="35"/>
      <c r="M172" s="35"/>
      <c r="N172" s="35"/>
      <c r="O172" s="1"/>
      <c r="P172" s="36"/>
    </row>
    <row r="173" ht="15" customHeight="1">
      <c r="A173" s="1"/>
      <c r="B173" s="43" t="s">
        <v>80</v>
      </c>
      <c r="C173" s="45"/>
      <c r="D173" s="45"/>
      <c r="E173" s="45"/>
      <c r="F173" s="45"/>
      <c r="G173" s="45">
        <f t="shared" si="7"/>
        <v>0</v>
      </c>
      <c r="H173" s="46"/>
      <c r="I173" s="45"/>
      <c r="J173" s="45"/>
      <c r="K173" s="45"/>
      <c r="L173" s="45"/>
      <c r="M173" s="45"/>
      <c r="N173" s="50">
        <v>1</v>
      </c>
      <c r="O173" s="1"/>
      <c r="P173" s="36" t="s">
        <v>81</v>
      </c>
    </row>
    <row r="174" ht="15" customHeight="1">
      <c r="A174" s="1"/>
      <c r="B174" s="25" t="s">
        <v>534</v>
      </c>
      <c r="C174" s="51">
        <f t="shared" si="29"/>
        <v>8016</v>
      </c>
      <c r="D174" s="51">
        <f t="shared" si="29"/>
        <v>8618</v>
      </c>
      <c r="E174" s="51">
        <f t="shared" si="29"/>
        <v>8548</v>
      </c>
      <c r="F174" s="51">
        <f t="shared" si="29"/>
        <v>8851</v>
      </c>
      <c r="G174" s="51">
        <f t="shared" si="29"/>
        <v>32538</v>
      </c>
      <c r="H174" s="52">
        <f t="shared" si="29"/>
        <v>9078.373800000001</v>
      </c>
      <c r="I174" s="51"/>
      <c r="J174" s="51">
        <f t="shared" si="29"/>
        <v>7429</v>
      </c>
      <c r="K174" s="51">
        <f t="shared" si="29"/>
        <v>8267</v>
      </c>
      <c r="L174" s="51">
        <f t="shared" si="29"/>
        <v>7938</v>
      </c>
      <c r="M174" s="51">
        <f t="shared" si="29"/>
        <v>7966</v>
      </c>
      <c r="N174" s="51">
        <f t="shared" si="29"/>
        <v>29830</v>
      </c>
      <c r="O174" s="1"/>
      <c r="P174" s="36" t="s">
        <v>535</v>
      </c>
    </row>
    <row r="175" ht="15" customHeight="1">
      <c r="A175" s="1"/>
      <c r="B175" s="58" t="s">
        <v>536</v>
      </c>
      <c r="C175" s="20">
        <f>ROUND(C174-'Segment - ATS'!C112,6)</f>
        <v>0</v>
      </c>
      <c r="D175" s="20">
        <f>ROUND(D174-'Segment - ATS'!D112,6)</f>
        <v>0</v>
      </c>
      <c r="E175" s="20">
        <f>ROUND(E174-'Segment - ATS'!E112,6)</f>
        <v>0</v>
      </c>
      <c r="F175" s="20">
        <f>ROUND(F174-'Segment - ATS'!F112,6)</f>
        <v>0</v>
      </c>
      <c r="G175" s="20">
        <f>ROUND(G174-'Segment - ATS'!G112,6)</f>
        <v>0</v>
      </c>
      <c r="H175" s="42">
        <f>ROUND(H174-'Segment - ATS'!H112,6)</f>
        <v>0</v>
      </c>
      <c r="I175" s="21"/>
      <c r="J175" s="20">
        <f>ROUND(J174-'Segment - ATS'!J112,6)</f>
        <v>0</v>
      </c>
      <c r="K175" s="20">
        <f>ROUND(K174-'Segment - ATS'!K112,6)</f>
        <v>0</v>
      </c>
      <c r="L175" s="20">
        <f>ROUND(L174-'Segment - ATS'!L112,6)</f>
        <v>0</v>
      </c>
      <c r="M175" s="20">
        <f>ROUND(M174-'Segment - ATS'!M112,6)</f>
        <v>0</v>
      </c>
      <c r="N175" s="20">
        <f>ROUND(N174-'Segment - ATS'!N112,6)</f>
        <v>0</v>
      </c>
      <c r="O175" s="1"/>
      <c r="P175" s="36" t="s">
        <v>537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E6B1CF8-0777-358A-F281-D422D598723B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2.00390625" customWidth="1"/>
    <col min="10" max="14" width="12.00390625" customWidth="1"/>
    <col min="15" max="15" width="2.00390625" customWidth="1"/>
    <col min="16" max="16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15" customHeight="1">
      <c r="A3" s="1"/>
      <c r="B3" s="3" t="s">
        <v>538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4" t="s">
        <v>59</v>
      </c>
      <c r="K5" s="1"/>
      <c r="L5" s="1"/>
      <c r="M5" s="1"/>
      <c r="N5" s="1"/>
      <c r="O5" s="1"/>
      <c r="P5" s="1"/>
    </row>
    <row r="6" ht="15" customHeight="1">
      <c r="A6" s="1"/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7" t="s">
        <v>9</v>
      </c>
      <c r="I6" s="37"/>
      <c r="J6" s="6" t="s">
        <v>60</v>
      </c>
      <c r="K6" s="6" t="s">
        <v>61</v>
      </c>
      <c r="L6" s="6" t="s">
        <v>62</v>
      </c>
      <c r="M6" s="6" t="s">
        <v>63</v>
      </c>
      <c r="N6" s="6" t="s">
        <v>64</v>
      </c>
      <c r="O6" s="1"/>
      <c r="P6" s="3" t="s">
        <v>65</v>
      </c>
    </row>
    <row r="7" ht="15" customHeight="1">
      <c r="A7" s="1"/>
      <c r="B7" s="8" t="s">
        <v>10</v>
      </c>
      <c r="C7" s="9">
        <v>45930</v>
      </c>
      <c r="D7" s="9">
        <v>46022</v>
      </c>
      <c r="E7" s="9">
        <v>46112</v>
      </c>
      <c r="F7" s="9">
        <v>46203</v>
      </c>
      <c r="G7" s="9">
        <v>46022</v>
      </c>
      <c r="H7" s="10">
        <v>46295</v>
      </c>
      <c r="I7" s="38"/>
      <c r="J7" s="9">
        <v>45565</v>
      </c>
      <c r="K7" s="9">
        <v>45657</v>
      </c>
      <c r="L7" s="9">
        <v>45747</v>
      </c>
      <c r="M7" s="9">
        <v>45838</v>
      </c>
      <c r="N7" s="9">
        <v>45657</v>
      </c>
      <c r="O7" s="1"/>
      <c r="P7" s="1"/>
    </row>
    <row r="8" ht="15" customHeight="1">
      <c r="A8" s="1"/>
      <c r="B8" s="11" t="s">
        <v>11</v>
      </c>
      <c r="C8" s="12">
        <v>92</v>
      </c>
      <c r="D8" s="12">
        <v>92</v>
      </c>
      <c r="E8" s="12">
        <v>90</v>
      </c>
      <c r="F8" s="12">
        <v>91</v>
      </c>
      <c r="G8" s="12">
        <v>365</v>
      </c>
      <c r="H8" s="13">
        <v>92</v>
      </c>
      <c r="I8" s="39"/>
      <c r="J8" s="12">
        <v>92</v>
      </c>
      <c r="K8" s="12">
        <v>92</v>
      </c>
      <c r="L8" s="12">
        <v>90</v>
      </c>
      <c r="M8" s="12">
        <v>91</v>
      </c>
      <c r="N8" s="12">
        <v>366</v>
      </c>
      <c r="O8" s="1"/>
      <c r="P8" s="1"/>
    </row>
    <row r="9" ht="1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36"/>
    </row>
    <row r="10" ht="15" customHeight="1">
      <c r="A10" s="1"/>
      <c r="B10" s="25" t="s">
        <v>539</v>
      </c>
      <c r="C10" s="1"/>
      <c r="D10" s="1"/>
      <c r="E10" s="1"/>
      <c r="F10" s="1"/>
      <c r="G10" s="1"/>
      <c r="H10" s="40"/>
      <c r="I10" s="1"/>
      <c r="J10" s="1"/>
      <c r="K10" s="1"/>
      <c r="L10" s="1"/>
      <c r="M10" s="1"/>
      <c r="N10" s="1"/>
      <c r="O10" s="1"/>
      <c r="P10" s="36"/>
    </row>
    <row r="11" ht="15" customHeight="1">
      <c r="A11" s="1"/>
      <c r="B11" s="41" t="s">
        <v>540</v>
      </c>
      <c r="C11" s="21">
        <f>D11</f>
        <v>1228.504232</v>
      </c>
      <c r="D11" s="61">
        <v>1228.504232</v>
      </c>
      <c r="E11" s="21">
        <f>D11</f>
        <v>1228.504232</v>
      </c>
      <c r="F11" s="21">
        <f>D11</f>
        <v>1228.504232</v>
      </c>
      <c r="G11" s="21">
        <f>D11</f>
        <v>1228.504232</v>
      </c>
      <c r="H11" s="59">
        <f>D11</f>
        <v>1228.504232</v>
      </c>
      <c r="I11" s="21"/>
      <c r="J11" s="21"/>
      <c r="K11" s="21"/>
      <c r="L11" s="21"/>
      <c r="M11" s="21"/>
      <c r="N11" s="21"/>
      <c r="O11" s="1"/>
      <c r="P11" s="36" t="s">
        <v>541</v>
      </c>
    </row>
    <row r="12" ht="15" customHeight="1">
      <c r="A12" s="1"/>
      <c r="B12" s="25" t="s">
        <v>211</v>
      </c>
      <c r="C12" s="60">
        <v>1164</v>
      </c>
      <c r="D12" s="60">
        <v>1166</v>
      </c>
      <c r="E12" s="60">
        <v>1163</v>
      </c>
      <c r="F12" s="60">
        <v>1153</v>
      </c>
      <c r="G12" s="60">
        <v>1166</v>
      </c>
      <c r="H12" s="52">
        <f>F12-H25+H28</f>
        <v>1149.582</v>
      </c>
      <c r="I12" s="51"/>
      <c r="J12" s="60">
        <v>1166</v>
      </c>
      <c r="K12" s="60">
        <v>1165</v>
      </c>
      <c r="L12" s="60">
        <v>1167</v>
      </c>
      <c r="M12" s="60">
        <v>1166</v>
      </c>
      <c r="N12" s="60">
        <v>1166</v>
      </c>
      <c r="O12" s="1"/>
      <c r="P12" s="36" t="s">
        <v>542</v>
      </c>
    </row>
    <row r="13" ht="15" customHeight="1">
      <c r="A13" s="1"/>
      <c r="B13" s="43" t="s">
        <v>69</v>
      </c>
      <c r="C13" s="35">
        <f t="shared" si="0" ref="C13:G17">_xlfn.IFERROR(C12/J12-1,"n/a")</f>
        <v>-0.0017152658662092923</v>
      </c>
      <c r="D13" s="35">
        <f t="shared" si="0"/>
        <v>0.0008583690987125081</v>
      </c>
      <c r="E13" s="35">
        <f t="shared" si="0"/>
        <v>-0.003427592116538092</v>
      </c>
      <c r="F13" s="35">
        <f t="shared" si="0"/>
        <v>-0.011149228130360234</v>
      </c>
      <c r="G13" s="35">
        <f t="shared" si="0"/>
        <v>0</v>
      </c>
      <c r="H13" s="44">
        <f t="shared" si="3" ref="H13:H17">_xlfn.IFERROR(H12/C12-1,"n/a")</f>
        <v>-0.012386597938144228</v>
      </c>
      <c r="I13" s="35"/>
      <c r="J13" s="35"/>
      <c r="K13" s="35"/>
      <c r="L13" s="35"/>
      <c r="M13" s="35"/>
      <c r="N13" s="35"/>
      <c r="O13" s="1"/>
      <c r="P13" s="36"/>
    </row>
    <row r="14" ht="15" customHeight="1">
      <c r="A14" s="1"/>
      <c r="B14" s="43" t="s">
        <v>543</v>
      </c>
      <c r="C14" s="45">
        <f t="shared" si="4" ref="C14:C18">C12-M12</f>
        <v>-2</v>
      </c>
      <c r="D14" s="45">
        <f t="shared" si="1" ref="D14:F18">D12-C12</f>
        <v>2</v>
      </c>
      <c r="E14" s="45">
        <f t="shared" si="1"/>
        <v>-3</v>
      </c>
      <c r="F14" s="45">
        <f t="shared" si="1"/>
        <v>-10</v>
      </c>
      <c r="G14" s="45"/>
      <c r="H14" s="46">
        <f t="shared" si="5" ref="H14:H18">H12-F12</f>
        <v>-3.4179999999998927</v>
      </c>
      <c r="I14" s="45"/>
      <c r="J14" s="45"/>
      <c r="K14" s="45"/>
      <c r="L14" s="45"/>
      <c r="M14" s="45"/>
      <c r="N14" s="45"/>
      <c r="O14" s="1"/>
      <c r="P14" s="36"/>
    </row>
    <row r="15" ht="15" customHeight="1">
      <c r="A15" s="1"/>
      <c r="B15" s="41" t="s">
        <v>544</v>
      </c>
      <c r="C15" s="21">
        <f t="shared" si="2" ref="C15:N15">C16-C12</f>
        <v>8</v>
      </c>
      <c r="D15" s="21">
        <f t="shared" si="2"/>
        <v>6</v>
      </c>
      <c r="E15" s="21">
        <f t="shared" si="2"/>
        <v>5</v>
      </c>
      <c r="F15" s="21">
        <f t="shared" si="2"/>
        <v>5</v>
      </c>
      <c r="G15" s="21">
        <f t="shared" si="2"/>
        <v>9</v>
      </c>
      <c r="H15" s="68">
        <v>5</v>
      </c>
      <c r="I15" s="21"/>
      <c r="J15" s="21">
        <f t="shared" si="2"/>
        <v>12</v>
      </c>
      <c r="K15" s="21">
        <f t="shared" si="2"/>
        <v>11</v>
      </c>
      <c r="L15" s="21">
        <f t="shared" si="2"/>
        <v>10</v>
      </c>
      <c r="M15" s="21">
        <f t="shared" si="2"/>
        <v>9</v>
      </c>
      <c r="N15" s="21">
        <f t="shared" si="2"/>
        <v>14</v>
      </c>
      <c r="O15" s="1"/>
      <c r="P15" s="36" t="s">
        <v>545</v>
      </c>
    </row>
    <row r="16" ht="15" customHeight="1">
      <c r="A16" s="1"/>
      <c r="B16" s="25" t="s">
        <v>212</v>
      </c>
      <c r="C16" s="60">
        <v>1172</v>
      </c>
      <c r="D16" s="60">
        <v>1172</v>
      </c>
      <c r="E16" s="60">
        <v>1168</v>
      </c>
      <c r="F16" s="60">
        <v>1158</v>
      </c>
      <c r="G16" s="60">
        <v>1175</v>
      </c>
      <c r="H16" s="52">
        <f>H12+H15</f>
        <v>1154.582</v>
      </c>
      <c r="I16" s="51"/>
      <c r="J16" s="60">
        <v>1178</v>
      </c>
      <c r="K16" s="60">
        <v>1176</v>
      </c>
      <c r="L16" s="60">
        <v>1177</v>
      </c>
      <c r="M16" s="60">
        <v>1175</v>
      </c>
      <c r="N16" s="60">
        <v>1180</v>
      </c>
      <c r="O16" s="1"/>
      <c r="P16" s="36"/>
    </row>
    <row r="17" ht="15" customHeight="1">
      <c r="A17" s="1"/>
      <c r="B17" s="43" t="s">
        <v>69</v>
      </c>
      <c r="C17" s="35">
        <f t="shared" si="0"/>
        <v>-0.005093378607809895</v>
      </c>
      <c r="D17" s="35">
        <f t="shared" si="0"/>
        <v>-0.003401360544217691</v>
      </c>
      <c r="E17" s="35">
        <f t="shared" si="0"/>
        <v>-0.007646559048428259</v>
      </c>
      <c r="F17" s="35">
        <f t="shared" si="0"/>
        <v>-0.014468085106382977</v>
      </c>
      <c r="G17" s="35">
        <f t="shared" si="0"/>
        <v>-0.004237288135593209</v>
      </c>
      <c r="H17" s="44">
        <f t="shared" si="3"/>
        <v>-0.014861774744027167</v>
      </c>
      <c r="I17" s="35"/>
      <c r="J17" s="35"/>
      <c r="K17" s="35"/>
      <c r="L17" s="35"/>
      <c r="M17" s="35"/>
      <c r="N17" s="35"/>
      <c r="O17" s="1"/>
      <c r="P17" s="36"/>
    </row>
    <row r="18" ht="15" customHeight="1">
      <c r="A18" s="1"/>
      <c r="B18" s="43" t="s">
        <v>543</v>
      </c>
      <c r="C18" s="45">
        <f t="shared" si="4"/>
        <v>-3</v>
      </c>
      <c r="D18" s="45">
        <f t="shared" si="1"/>
        <v>0</v>
      </c>
      <c r="E18" s="45">
        <f t="shared" si="1"/>
        <v>-4</v>
      </c>
      <c r="F18" s="45">
        <f t="shared" si="1"/>
        <v>-10</v>
      </c>
      <c r="G18" s="45"/>
      <c r="H18" s="46">
        <f t="shared" si="5"/>
        <v>-3.4179999999998927</v>
      </c>
      <c r="I18" s="45"/>
      <c r="J18" s="45"/>
      <c r="K18" s="45"/>
      <c r="L18" s="45"/>
      <c r="M18" s="45"/>
      <c r="N18" s="45"/>
      <c r="O18" s="1"/>
      <c r="P18" s="36"/>
    </row>
    <row r="19" ht="15" customHeight="1">
      <c r="A19" s="1"/>
      <c r="B19" s="1"/>
      <c r="C19" s="1"/>
      <c r="D19" s="1"/>
      <c r="E19" s="1"/>
      <c r="F19" s="1"/>
      <c r="G19" s="1"/>
      <c r="H19" s="40"/>
      <c r="I19" s="1"/>
      <c r="J19" s="1"/>
      <c r="K19" s="1"/>
      <c r="L19" s="1"/>
      <c r="M19" s="1"/>
      <c r="N19" s="1"/>
      <c r="O19" s="1"/>
      <c r="P19" s="36"/>
    </row>
    <row r="20" ht="15" customHeight="1">
      <c r="A20" s="1"/>
      <c r="B20" s="25" t="s">
        <v>546</v>
      </c>
      <c r="C20" s="1"/>
      <c r="D20" s="1"/>
      <c r="E20" s="1"/>
      <c r="F20" s="1"/>
      <c r="G20" s="1"/>
      <c r="H20" s="40"/>
      <c r="I20" s="1"/>
      <c r="J20" s="1"/>
      <c r="K20" s="1"/>
      <c r="L20" s="1"/>
      <c r="M20" s="1"/>
      <c r="N20" s="1"/>
      <c r="O20" s="1"/>
      <c r="P20" s="36"/>
    </row>
    <row r="21" ht="15" customHeight="1">
      <c r="A21" s="1"/>
      <c r="B21" s="41" t="s">
        <v>547</v>
      </c>
      <c r="C21" s="21" t="s">
        <v>41</v>
      </c>
      <c r="D21" s="61">
        <v>0</v>
      </c>
      <c r="E21" s="21" t="s">
        <v>41</v>
      </c>
      <c r="F21" s="21" t="s">
        <v>41</v>
      </c>
      <c r="G21" s="21" t="s">
        <v>41</v>
      </c>
      <c r="H21" s="68">
        <v>8.92</v>
      </c>
      <c r="I21" s="21"/>
      <c r="J21" s="21"/>
      <c r="K21" s="21"/>
      <c r="L21" s="21"/>
      <c r="M21" s="21"/>
      <c r="N21" s="21"/>
      <c r="O21" s="1"/>
      <c r="P21" s="36" t="s">
        <v>548</v>
      </c>
    </row>
    <row r="22" ht="15" customHeight="1">
      <c r="A22" s="1"/>
      <c r="B22" s="41" t="s">
        <v>549</v>
      </c>
      <c r="C22" s="79"/>
      <c r="D22" s="79"/>
      <c r="E22" s="79"/>
      <c r="F22" s="79"/>
      <c r="G22" s="79"/>
      <c r="H22" s="81">
        <v>171.53</v>
      </c>
      <c r="I22" s="79"/>
      <c r="J22" s="79"/>
      <c r="K22" s="79"/>
      <c r="L22" s="79"/>
      <c r="M22" s="79"/>
      <c r="N22" s="79"/>
      <c r="O22" s="1"/>
      <c r="P22" s="36"/>
    </row>
    <row r="23" ht="15" customHeight="1">
      <c r="A23" s="1"/>
      <c r="B23" s="41" t="s">
        <v>550</v>
      </c>
      <c r="C23" s="20">
        <f>-'Cash Flow Statement'!C40</f>
        <v>304</v>
      </c>
      <c r="D23" s="20">
        <f>-'Cash Flow Statement'!D40</f>
        <v>0</v>
      </c>
      <c r="E23" s="20">
        <f>-'Cash Flow Statement'!E40</f>
        <v>2279</v>
      </c>
      <c r="F23" s="20">
        <f>-'Cash Flow Statement'!F40</f>
        <v>321</v>
      </c>
      <c r="G23" s="20">
        <f>-'Cash Flow Statement'!G40</f>
        <v>1937</v>
      </c>
      <c r="H23" s="59">
        <f t="shared" si="6" ref="H23:H28">H21*H22</f>
        <v>1530.0476</v>
      </c>
      <c r="I23" s="21"/>
      <c r="J23" s="21"/>
      <c r="K23" s="21"/>
      <c r="L23" s="21"/>
      <c r="M23" s="21"/>
      <c r="N23" s="21"/>
      <c r="O23" s="1"/>
      <c r="P23" s="36" t="s">
        <v>551</v>
      </c>
    </row>
    <row r="24" ht="15" customHeight="1">
      <c r="A24" s="1"/>
      <c r="B24" s="58" t="s">
        <v>552</v>
      </c>
      <c r="C24" s="35"/>
      <c r="D24" s="35"/>
      <c r="E24" s="35"/>
      <c r="F24" s="35"/>
      <c r="G24" s="35"/>
      <c r="H24" s="57">
        <v>0.4</v>
      </c>
      <c r="I24" s="35"/>
      <c r="J24" s="35"/>
      <c r="K24" s="35"/>
      <c r="L24" s="35"/>
      <c r="M24" s="35"/>
      <c r="N24" s="35"/>
      <c r="O24" s="1"/>
      <c r="P24" s="36" t="s">
        <v>553</v>
      </c>
    </row>
    <row r="25" ht="15" customHeight="1">
      <c r="A25" s="1"/>
      <c r="B25" s="41" t="s">
        <v>554</v>
      </c>
      <c r="C25" s="21"/>
      <c r="D25" s="21"/>
      <c r="E25" s="21"/>
      <c r="F25" s="21"/>
      <c r="G25" s="21"/>
      <c r="H25" s="59">
        <f>H21*H24</f>
        <v>3.568</v>
      </c>
      <c r="I25" s="21"/>
      <c r="J25" s="21"/>
      <c r="K25" s="21"/>
      <c r="L25" s="21"/>
      <c r="M25" s="21"/>
      <c r="N25" s="21"/>
      <c r="O25" s="1"/>
      <c r="P25" s="36" t="s">
        <v>555</v>
      </c>
    </row>
    <row r="26" ht="15" customHeight="1">
      <c r="A26" s="1"/>
      <c r="B26" s="41" t="s">
        <v>556</v>
      </c>
      <c r="C26" s="21"/>
      <c r="D26" s="21"/>
      <c r="E26" s="21"/>
      <c r="F26" s="21"/>
      <c r="G26" s="21"/>
      <c r="H26" s="68">
        <v>0.3</v>
      </c>
      <c r="I26" s="21"/>
      <c r="J26" s="21"/>
      <c r="K26" s="21"/>
      <c r="L26" s="21"/>
      <c r="M26" s="21"/>
      <c r="N26" s="21"/>
      <c r="O26" s="1"/>
      <c r="P26" s="36" t="s">
        <v>557</v>
      </c>
    </row>
    <row r="27" ht="15" customHeight="1">
      <c r="A27" s="1"/>
      <c r="B27" s="58" t="s">
        <v>558</v>
      </c>
      <c r="C27" s="35"/>
      <c r="D27" s="35"/>
      <c r="E27" s="35"/>
      <c r="F27" s="35"/>
      <c r="G27" s="35"/>
      <c r="H27" s="57">
        <v>0.5</v>
      </c>
      <c r="I27" s="35"/>
      <c r="J27" s="35"/>
      <c r="K27" s="35"/>
      <c r="L27" s="35"/>
      <c r="M27" s="35"/>
      <c r="N27" s="35"/>
      <c r="O27" s="1"/>
      <c r="P27" s="36"/>
    </row>
    <row r="28" ht="15" customHeight="1">
      <c r="A28" s="1"/>
      <c r="B28" s="41" t="s">
        <v>559</v>
      </c>
      <c r="C28" s="21"/>
      <c r="D28" s="21"/>
      <c r="E28" s="21"/>
      <c r="F28" s="21"/>
      <c r="G28" s="21"/>
      <c r="H28" s="59">
        <f t="shared" si="6"/>
        <v>0.15</v>
      </c>
      <c r="I28" s="21"/>
      <c r="J28" s="21"/>
      <c r="K28" s="21"/>
      <c r="L28" s="21"/>
      <c r="M28" s="21"/>
      <c r="N28" s="21"/>
      <c r="O28" s="1"/>
      <c r="P28" s="36" t="s">
        <v>560</v>
      </c>
    </row>
    <row r="29" ht="15" customHeight="1">
      <c r="A29" s="1"/>
      <c r="B29" s="41" t="s">
        <v>561</v>
      </c>
      <c r="C29" s="21"/>
      <c r="D29" s="21"/>
      <c r="E29" s="21"/>
      <c r="F29" s="21"/>
      <c r="G29" s="21"/>
      <c r="H29" s="59">
        <f>F12-H21+H26</f>
        <v>1144.3799999999999</v>
      </c>
      <c r="I29" s="21"/>
      <c r="J29" s="21"/>
      <c r="K29" s="21"/>
      <c r="L29" s="21"/>
      <c r="M29" s="21"/>
      <c r="N29" s="21"/>
      <c r="O29" s="1"/>
      <c r="P29" s="36" t="s">
        <v>562</v>
      </c>
    </row>
    <row r="30" ht="15" customHeight="1">
      <c r="A30" s="1"/>
      <c r="B30" s="41" t="s">
        <v>563</v>
      </c>
      <c r="C30" s="21"/>
      <c r="D30" s="21"/>
      <c r="E30" s="21"/>
      <c r="F30" s="61">
        <v>16.280097</v>
      </c>
      <c r="G30" s="21"/>
      <c r="H30" s="59">
        <f>F30+H21</f>
        <v>25.200097</v>
      </c>
      <c r="I30" s="21"/>
      <c r="J30" s="21"/>
      <c r="K30" s="21"/>
      <c r="L30" s="21"/>
      <c r="M30" s="21"/>
      <c r="N30" s="21"/>
      <c r="O30" s="1"/>
      <c r="P30" s="36" t="s">
        <v>564</v>
      </c>
    </row>
    <row r="31" ht="15" customHeight="1">
      <c r="A31" s="1"/>
      <c r="B31" s="1"/>
      <c r="C31" s="1"/>
      <c r="D31" s="1"/>
      <c r="E31" s="1"/>
      <c r="F31" s="1"/>
      <c r="G31" s="1"/>
      <c r="H31" s="40"/>
      <c r="I31" s="1"/>
      <c r="J31" s="1"/>
      <c r="K31" s="1"/>
      <c r="L31" s="1"/>
      <c r="M31" s="1"/>
      <c r="N31" s="1"/>
      <c r="O31" s="1"/>
      <c r="P31" s="36"/>
    </row>
    <row r="32" ht="15" customHeight="1">
      <c r="A32" s="1"/>
      <c r="B32" s="25" t="s">
        <v>565</v>
      </c>
      <c r="C32" s="1"/>
      <c r="D32" s="1"/>
      <c r="E32" s="1"/>
      <c r="F32" s="1"/>
      <c r="G32" s="1"/>
      <c r="H32" s="40"/>
      <c r="I32" s="1"/>
      <c r="J32" s="1"/>
      <c r="K32" s="1"/>
      <c r="L32" s="1"/>
      <c r="M32" s="1"/>
      <c r="N32" s="1"/>
      <c r="O32" s="1"/>
      <c r="P32" s="36"/>
    </row>
    <row r="33" ht="15" customHeight="1">
      <c r="A33" s="1"/>
      <c r="B33" s="25" t="s">
        <v>566</v>
      </c>
      <c r="C33" s="51"/>
      <c r="D33" s="51"/>
      <c r="E33" s="51"/>
      <c r="F33" s="51"/>
      <c r="G33" s="51"/>
      <c r="H33" s="52">
        <f>H12</f>
        <v>1149.582</v>
      </c>
      <c r="I33" s="51"/>
      <c r="J33" s="51"/>
      <c r="K33" s="51"/>
      <c r="L33" s="51"/>
      <c r="M33" s="51"/>
      <c r="N33" s="51"/>
      <c r="O33" s="1"/>
      <c r="P33" s="36" t="s">
        <v>567</v>
      </c>
    </row>
    <row r="34" ht="15" customHeight="1">
      <c r="A34" s="1"/>
      <c r="B34" s="25" t="s">
        <v>568</v>
      </c>
      <c r="C34" s="51"/>
      <c r="D34" s="51"/>
      <c r="E34" s="51"/>
      <c r="F34" s="51"/>
      <c r="G34" s="51"/>
      <c r="H34" s="52">
        <f>H16</f>
        <v>1154.582</v>
      </c>
      <c r="I34" s="51"/>
      <c r="J34" s="51"/>
      <c r="K34" s="51"/>
      <c r="L34" s="51"/>
      <c r="M34" s="51"/>
      <c r="N34" s="51"/>
      <c r="O34" s="1"/>
      <c r="P34" s="36" t="s">
        <v>569</v>
      </c>
    </row>
    <row r="35" ht="15" customHeight="1">
      <c r="A35" s="1"/>
      <c r="B35" s="15" t="s">
        <v>570</v>
      </c>
      <c r="C35" s="1"/>
      <c r="D35" s="1"/>
      <c r="E35" s="1"/>
      <c r="F35" s="1"/>
      <c r="G35" s="1"/>
      <c r="H35" s="40"/>
      <c r="I35" s="1"/>
      <c r="J35" s="1"/>
      <c r="K35" s="1"/>
      <c r="L35" s="1"/>
      <c r="M35" s="1"/>
      <c r="N35" s="1"/>
      <c r="O35" s="1"/>
      <c r="P35" s="36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D195B58-5E98-0212-1D18-652C0E6D426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2.00390625" customWidth="1"/>
    <col min="10" max="10" width="24.00390625" customWidth="1"/>
    <col min="11" max="11" width="34.00390625" customWidth="1"/>
    <col min="12" max="12" width="2.00390625" customWidth="1"/>
    <col min="13" max="13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customHeight="1">
      <c r="A3" s="1"/>
      <c r="B3" s="3" t="s">
        <v>571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ht="15" customHeight="1">
      <c r="A6" s="1"/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7" t="s">
        <v>9</v>
      </c>
      <c r="I6" s="1"/>
      <c r="J6" s="1"/>
      <c r="K6" s="1"/>
      <c r="L6" s="1"/>
      <c r="M6" s="3" t="s">
        <v>65</v>
      </c>
    </row>
    <row r="7" ht="15" customHeight="1">
      <c r="A7" s="1"/>
      <c r="B7" s="8" t="s">
        <v>10</v>
      </c>
      <c r="C7" s="9">
        <v>45930</v>
      </c>
      <c r="D7" s="9">
        <v>46022</v>
      </c>
      <c r="E7" s="9">
        <v>46112</v>
      </c>
      <c r="F7" s="9">
        <v>46203</v>
      </c>
      <c r="G7" s="9">
        <v>46022</v>
      </c>
      <c r="H7" s="10">
        <v>46295</v>
      </c>
      <c r="I7" s="1"/>
      <c r="J7" s="1"/>
      <c r="K7" s="1"/>
      <c r="L7" s="1"/>
      <c r="M7" s="1"/>
    </row>
    <row r="8" ht="15" customHeight="1">
      <c r="A8" s="1"/>
      <c r="B8" s="11" t="s">
        <v>11</v>
      </c>
      <c r="C8" s="12">
        <v>92</v>
      </c>
      <c r="D8" s="12">
        <v>92</v>
      </c>
      <c r="E8" s="12">
        <v>90</v>
      </c>
      <c r="F8" s="12">
        <v>91</v>
      </c>
      <c r="G8" s="12">
        <v>365</v>
      </c>
      <c r="H8" s="13">
        <v>92</v>
      </c>
      <c r="I8" s="1"/>
      <c r="J8" s="1"/>
      <c r="K8" s="1"/>
      <c r="L8" s="1"/>
      <c r="M8" s="1"/>
    </row>
    <row r="9" ht="15" customHeight="1">
      <c r="A9" s="1"/>
      <c r="B9" s="36" t="s">
        <v>572</v>
      </c>
      <c r="C9" s="1"/>
      <c r="D9" s="1"/>
      <c r="E9" s="1"/>
      <c r="F9" s="1"/>
      <c r="G9" s="1"/>
      <c r="H9" s="1"/>
      <c r="I9" s="1"/>
      <c r="J9" s="1"/>
      <c r="K9" s="1"/>
      <c r="L9" s="1"/>
      <c r="M9" s="36"/>
    </row>
    <row r="10" ht="15" customHeight="1">
      <c r="A10" s="1"/>
      <c r="B10" s="18" t="s">
        <v>573</v>
      </c>
      <c r="C10" s="19" t="s">
        <v>574</v>
      </c>
      <c r="D10" s="19" t="s">
        <v>3</v>
      </c>
      <c r="E10" s="19" t="s">
        <v>575</v>
      </c>
      <c r="F10" s="19" t="s">
        <v>576</v>
      </c>
      <c r="G10" s="19" t="s">
        <v>577</v>
      </c>
      <c r="H10" s="19" t="s">
        <v>578</v>
      </c>
      <c r="I10" s="19"/>
      <c r="J10" s="89" t="s">
        <v>579</v>
      </c>
      <c r="K10" s="89" t="s">
        <v>580</v>
      </c>
      <c r="L10" s="1"/>
      <c r="M10" s="36"/>
    </row>
    <row r="11" ht="15" customHeight="1">
      <c r="A11" s="1"/>
      <c r="B11" s="41" t="s">
        <v>581</v>
      </c>
      <c r="C11" s="90">
        <v>45685</v>
      </c>
      <c r="D11" s="79" t="s">
        <v>582</v>
      </c>
      <c r="E11" s="80">
        <v>21.6</v>
      </c>
      <c r="F11" s="80">
        <v>21.9</v>
      </c>
      <c r="G11" s="79">
        <f t="shared" si="0" ref="G11:G30">(E11+F11)/2</f>
        <v>21.75</v>
      </c>
      <c r="H11" s="91">
        <f>('Segment - ATS'!G68+'Segment - ATS'!G75)/1000</f>
        <v>21.66</v>
      </c>
      <c r="I11" s="79"/>
      <c r="J11" s="92" t="str">
        <f t="shared" si="1" ref="J11:J30">IF(ISNUMBER(H11),IF(H11&gt;G11,"Beat",IF(H11&lt;G11,"Miss","In line")),"Pending")</f>
        <v>Miss</v>
      </c>
      <c r="K11" s="92" t="s">
        <v>584</v>
      </c>
      <c r="L11" s="1"/>
      <c r="M11" s="36"/>
    </row>
    <row r="12" ht="15" customHeight="1">
      <c r="A12" s="1"/>
      <c r="B12" s="41" t="s">
        <v>585</v>
      </c>
      <c r="C12" s="90">
        <v>45952</v>
      </c>
      <c r="D12" s="79" t="s">
        <v>582</v>
      </c>
      <c r="E12" s="80">
        <v>21.6</v>
      </c>
      <c r="F12" s="80">
        <v>21.9</v>
      </c>
      <c r="G12" s="79">
        <f t="shared" si="0"/>
        <v>21.75</v>
      </c>
      <c r="H12" s="91">
        <f>('Segment - ATS'!G68+'Segment - ATS'!G75)/1000</f>
        <v>21.66</v>
      </c>
      <c r="I12" s="79"/>
      <c r="J12" s="92" t="str">
        <f t="shared" si="1"/>
        <v>Miss</v>
      </c>
      <c r="K12" s="92" t="s">
        <v>584</v>
      </c>
      <c r="L12" s="1"/>
      <c r="M12" s="36" t="s">
        <v>586</v>
      </c>
    </row>
    <row r="13" ht="15" customHeight="1">
      <c r="A13" s="1"/>
      <c r="B13" s="41" t="s">
        <v>587</v>
      </c>
      <c r="C13" s="90">
        <v>45685</v>
      </c>
      <c r="D13" s="79" t="s">
        <v>582</v>
      </c>
      <c r="E13" s="80">
        <v>33.1</v>
      </c>
      <c r="F13" s="80">
        <v>33.6</v>
      </c>
      <c r="G13" s="79">
        <f t="shared" si="0"/>
        <v>33.35</v>
      </c>
      <c r="H13" s="91">
        <f>('Segment - ATS'!G112+'Segment - ATS'!G117)/1000</f>
        <v>33.435</v>
      </c>
      <c r="I13" s="79"/>
      <c r="J13" s="92" t="str">
        <f t="shared" si="1"/>
        <v>Beat</v>
      </c>
      <c r="K13" s="92" t="s">
        <v>584</v>
      </c>
      <c r="L13" s="1"/>
      <c r="M13" s="36"/>
    </row>
    <row r="14" ht="15" customHeight="1">
      <c r="A14" s="1"/>
      <c r="B14" s="41" t="s">
        <v>589</v>
      </c>
      <c r="C14" s="90">
        <v>45685</v>
      </c>
      <c r="D14" s="79" t="s">
        <v>582</v>
      </c>
      <c r="E14" s="80">
        <v>10.3</v>
      </c>
      <c r="F14" s="80">
        <v>10.6</v>
      </c>
      <c r="G14" s="79">
        <f t="shared" si="0"/>
        <v>10.45</v>
      </c>
      <c r="H14" s="80">
        <v>10.66</v>
      </c>
      <c r="I14" s="79"/>
      <c r="J14" s="92" t="str">
        <f t="shared" si="1"/>
        <v>Beat</v>
      </c>
      <c r="K14" s="92" t="s">
        <v>584</v>
      </c>
      <c r="L14" s="1"/>
      <c r="M14" s="36" t="s">
        <v>590</v>
      </c>
    </row>
    <row r="15" ht="15" customHeight="1">
      <c r="A15" s="1"/>
      <c r="B15" s="41" t="s">
        <v>591</v>
      </c>
      <c r="C15" s="90">
        <v>45952</v>
      </c>
      <c r="D15" s="79" t="s">
        <v>582</v>
      </c>
      <c r="E15" s="80">
        <v>10.3</v>
      </c>
      <c r="F15" s="80">
        <v>10.6</v>
      </c>
      <c r="G15" s="79">
        <f t="shared" si="0"/>
        <v>10.45</v>
      </c>
      <c r="H15" s="80">
        <v>10.66</v>
      </c>
      <c r="I15" s="79"/>
      <c r="J15" s="92" t="str">
        <f t="shared" si="1"/>
        <v>Beat</v>
      </c>
      <c r="K15" s="92" t="s">
        <v>584</v>
      </c>
      <c r="L15" s="1"/>
      <c r="M15" s="36" t="s">
        <v>592</v>
      </c>
    </row>
    <row r="16" ht="15" customHeight="1">
      <c r="A16" s="1"/>
      <c r="B16" s="41" t="s">
        <v>593</v>
      </c>
      <c r="C16" s="90">
        <v>45685</v>
      </c>
      <c r="D16" s="79" t="s">
        <v>582</v>
      </c>
      <c r="E16" s="80">
        <v>8</v>
      </c>
      <c r="F16" s="80">
        <v>8</v>
      </c>
      <c r="G16" s="79">
        <f t="shared" si="0"/>
        <v>8</v>
      </c>
      <c r="H16" s="91">
        <f>'Cash Flow Statement'!G57/1000</f>
        <v>8.239</v>
      </c>
      <c r="I16" s="79"/>
      <c r="J16" s="92" t="str">
        <f t="shared" si="1"/>
        <v>Beat</v>
      </c>
      <c r="K16" s="92" t="s">
        <v>594</v>
      </c>
      <c r="L16" s="1"/>
      <c r="M16" s="36"/>
    </row>
    <row r="17" ht="15" customHeight="1">
      <c r="A17" s="1"/>
      <c r="B17" s="41" t="s">
        <v>595</v>
      </c>
      <c r="C17" s="90">
        <v>45952</v>
      </c>
      <c r="D17" s="79" t="s">
        <v>582</v>
      </c>
      <c r="E17" s="80">
        <v>8</v>
      </c>
      <c r="F17" s="80">
        <v>8.2</v>
      </c>
      <c r="G17" s="79">
        <f t="shared" si="0"/>
        <v>8.1</v>
      </c>
      <c r="H17" s="91">
        <f>'Cash Flow Statement'!G57/1000</f>
        <v>8.239</v>
      </c>
      <c r="I17" s="79"/>
      <c r="J17" s="92" t="str">
        <f t="shared" si="1"/>
        <v>Beat</v>
      </c>
      <c r="K17" s="92" t="s">
        <v>594</v>
      </c>
      <c r="L17" s="1"/>
      <c r="M17" s="36"/>
    </row>
    <row r="18" ht="15" customHeight="1">
      <c r="A18" s="1"/>
      <c r="B18" s="58" t="s">
        <v>596</v>
      </c>
      <c r="C18" s="93">
        <v>45685</v>
      </c>
      <c r="D18" s="35" t="s">
        <v>582</v>
      </c>
      <c r="E18" s="56">
        <v>0.32</v>
      </c>
      <c r="F18" s="56">
        <v>0.32</v>
      </c>
      <c r="G18" s="35">
        <f t="shared" si="0"/>
        <v>0.32</v>
      </c>
      <c r="H18" s="34">
        <f>'Income Statement'!G152</f>
        <v>0.30374466433837793</v>
      </c>
      <c r="I18" s="35"/>
      <c r="J18" s="94" t="str">
        <f t="shared" si="2" ref="J18:J24">IF(ISNUMBER(H18),IF(H18&lt;G18,"Beat (lower)",IF(H18&gt;G18,"Miss (higher)","In line")),"Pending")</f>
        <v>Beat (lower)</v>
      </c>
      <c r="K18" s="94" t="s">
        <v>598</v>
      </c>
      <c r="L18" s="1"/>
      <c r="M18" s="36"/>
    </row>
    <row r="19" ht="15" customHeight="1">
      <c r="A19" s="1"/>
      <c r="B19" s="41" t="s">
        <v>581</v>
      </c>
      <c r="C19" s="90">
        <v>46051</v>
      </c>
      <c r="D19" s="79" t="s">
        <v>599</v>
      </c>
      <c r="E19" s="80">
        <v>25.8</v>
      </c>
      <c r="F19" s="80">
        <v>26.2</v>
      </c>
      <c r="G19" s="79">
        <f t="shared" si="0"/>
        <v>26</v>
      </c>
      <c r="H19" s="79" t="s">
        <v>600</v>
      </c>
      <c r="I19" s="79"/>
      <c r="J19" s="92" t="str">
        <f t="shared" si="1"/>
        <v>Pending</v>
      </c>
      <c r="K19" s="92" t="s">
        <v>602</v>
      </c>
      <c r="L19" s="1"/>
      <c r="M19" s="36"/>
    </row>
    <row r="20" ht="15" customHeight="1">
      <c r="A20" s="1"/>
      <c r="B20" s="41" t="s">
        <v>587</v>
      </c>
      <c r="C20" s="90">
        <v>46051</v>
      </c>
      <c r="D20" s="79" t="s">
        <v>599</v>
      </c>
      <c r="E20" s="80">
        <v>36.3</v>
      </c>
      <c r="F20" s="80">
        <v>36.8</v>
      </c>
      <c r="G20" s="79">
        <f t="shared" si="0"/>
        <v>36.55</v>
      </c>
      <c r="H20" s="79" t="s">
        <v>600</v>
      </c>
      <c r="I20" s="79"/>
      <c r="J20" s="92" t="str">
        <f t="shared" si="1"/>
        <v>Pending</v>
      </c>
      <c r="K20" s="92" t="s">
        <v>602</v>
      </c>
      <c r="L20" s="1"/>
      <c r="M20" s="36"/>
    </row>
    <row r="21" ht="15" customHeight="1">
      <c r="A21" s="1"/>
      <c r="B21" s="41" t="s">
        <v>589</v>
      </c>
      <c r="C21" s="90">
        <v>46051</v>
      </c>
      <c r="D21" s="79" t="s">
        <v>599</v>
      </c>
      <c r="E21" s="80">
        <v>11.9</v>
      </c>
      <c r="F21" s="80">
        <v>12.3</v>
      </c>
      <c r="G21" s="79">
        <f t="shared" si="0"/>
        <v>12.100000000000001</v>
      </c>
      <c r="H21" s="79" t="s">
        <v>600</v>
      </c>
      <c r="I21" s="79"/>
      <c r="J21" s="92" t="str">
        <f t="shared" si="1"/>
        <v>Pending</v>
      </c>
      <c r="K21" s="92" t="s">
        <v>603</v>
      </c>
      <c r="L21" s="1"/>
      <c r="M21" s="36"/>
    </row>
    <row r="22" ht="15" customHeight="1">
      <c r="A22" s="1"/>
      <c r="B22" s="41" t="s">
        <v>604</v>
      </c>
      <c r="C22" s="90">
        <v>46226</v>
      </c>
      <c r="D22" s="79" t="s">
        <v>599</v>
      </c>
      <c r="E22" s="80">
        <v>11.8</v>
      </c>
      <c r="F22" s="80">
        <v>12.2</v>
      </c>
      <c r="G22" s="79">
        <f t="shared" si="0"/>
        <v>12</v>
      </c>
      <c r="H22" s="79" t="s">
        <v>600</v>
      </c>
      <c r="I22" s="79"/>
      <c r="J22" s="92" t="str">
        <f t="shared" si="1"/>
        <v>Pending</v>
      </c>
      <c r="K22" s="92" t="s">
        <v>584</v>
      </c>
      <c r="L22" s="1"/>
      <c r="M22" s="36" t="s">
        <v>605</v>
      </c>
    </row>
    <row r="23" ht="15" customHeight="1">
      <c r="A23" s="1"/>
      <c r="B23" s="41" t="s">
        <v>593</v>
      </c>
      <c r="C23" s="90">
        <v>46051</v>
      </c>
      <c r="D23" s="79" t="s">
        <v>599</v>
      </c>
      <c r="E23" s="80">
        <v>10</v>
      </c>
      <c r="F23" s="80">
        <v>10</v>
      </c>
      <c r="G23" s="79">
        <f t="shared" si="0"/>
        <v>10</v>
      </c>
      <c r="H23" s="79" t="s">
        <v>600</v>
      </c>
      <c r="I23" s="79"/>
      <c r="J23" s="92" t="str">
        <f t="shared" si="1"/>
        <v>Pending</v>
      </c>
      <c r="K23" s="92" t="s">
        <v>606</v>
      </c>
      <c r="L23" s="1"/>
      <c r="M23" s="36"/>
    </row>
    <row r="24" ht="15" customHeight="1">
      <c r="A24" s="1"/>
      <c r="B24" s="58" t="s">
        <v>596</v>
      </c>
      <c r="C24" s="93">
        <v>46051</v>
      </c>
      <c r="D24" s="35" t="s">
        <v>599</v>
      </c>
      <c r="E24" s="56">
        <v>0.29</v>
      </c>
      <c r="F24" s="56">
        <v>0.29</v>
      </c>
      <c r="G24" s="35">
        <f t="shared" si="0"/>
        <v>0.29</v>
      </c>
      <c r="H24" s="35" t="s">
        <v>600</v>
      </c>
      <c r="I24" s="35"/>
      <c r="J24" s="94" t="str">
        <f t="shared" si="2"/>
        <v>Pending</v>
      </c>
      <c r="K24" s="94" t="s">
        <v>598</v>
      </c>
      <c r="L24" s="1"/>
      <c r="M24" s="36"/>
    </row>
    <row r="25" ht="15" customHeight="1">
      <c r="A25" s="1"/>
      <c r="B25" s="58" t="s">
        <v>607</v>
      </c>
      <c r="C25" s="93">
        <v>46135</v>
      </c>
      <c r="D25" s="35" t="s">
        <v>599</v>
      </c>
      <c r="E25" s="56">
        <v>0.106</v>
      </c>
      <c r="F25" s="56">
        <v>0.106</v>
      </c>
      <c r="G25" s="35">
        <f t="shared" si="0"/>
        <v>0.106</v>
      </c>
      <c r="H25" s="35" t="s">
        <v>600</v>
      </c>
      <c r="I25" s="35"/>
      <c r="J25" s="94" t="str">
        <f t="shared" si="1"/>
        <v>Pending</v>
      </c>
      <c r="K25" s="94" t="s">
        <v>584</v>
      </c>
      <c r="L25" s="1"/>
      <c r="M25" s="36" t="s">
        <v>608</v>
      </c>
    </row>
    <row r="26" ht="15" customHeight="1">
      <c r="A26" s="1"/>
      <c r="B26" s="41" t="s">
        <v>609</v>
      </c>
      <c r="C26" s="90">
        <v>46051</v>
      </c>
      <c r="D26" s="21" t="s">
        <v>599</v>
      </c>
      <c r="E26" s="61">
        <v>340</v>
      </c>
      <c r="F26" s="61">
        <v>420</v>
      </c>
      <c r="G26" s="21">
        <f t="shared" si="0"/>
        <v>380</v>
      </c>
      <c r="H26" s="21" t="s">
        <v>600</v>
      </c>
      <c r="I26" s="21"/>
      <c r="J26" s="95" t="str">
        <f t="shared" si="1"/>
        <v>Pending</v>
      </c>
      <c r="K26" s="95" t="s">
        <v>610</v>
      </c>
      <c r="L26" s="1"/>
      <c r="M26" s="36"/>
    </row>
    <row r="27" ht="15" customHeight="1">
      <c r="A27" s="1"/>
      <c r="B27" s="41" t="s">
        <v>611</v>
      </c>
      <c r="C27" s="90">
        <v>46051</v>
      </c>
      <c r="D27" s="21" t="s">
        <v>599</v>
      </c>
      <c r="E27" s="61">
        <v>0</v>
      </c>
      <c r="F27" s="61">
        <v>20</v>
      </c>
      <c r="G27" s="21">
        <f t="shared" si="0"/>
        <v>10</v>
      </c>
      <c r="H27" s="21" t="s">
        <v>600</v>
      </c>
      <c r="I27" s="21"/>
      <c r="J27" s="95" t="str">
        <f t="shared" si="1"/>
        <v>Pending</v>
      </c>
      <c r="K27" s="95" t="s">
        <v>610</v>
      </c>
      <c r="L27" s="1"/>
      <c r="M27" s="36"/>
    </row>
    <row r="28" ht="15" customHeight="1">
      <c r="A28" s="1"/>
      <c r="B28" s="58" t="s">
        <v>612</v>
      </c>
      <c r="C28" s="93">
        <v>46226</v>
      </c>
      <c r="D28" s="35" t="s">
        <v>613</v>
      </c>
      <c r="E28" s="56">
        <v>0.015</v>
      </c>
      <c r="F28" s="56">
        <v>0.015</v>
      </c>
      <c r="G28" s="35">
        <f t="shared" si="0"/>
        <v>0.015</v>
      </c>
      <c r="H28" s="35" t="s">
        <v>600</v>
      </c>
      <c r="I28" s="35"/>
      <c r="J28" s="94" t="str">
        <f t="shared" si="1"/>
        <v>Pending</v>
      </c>
      <c r="K28" s="94" t="s">
        <v>614</v>
      </c>
      <c r="L28" s="1"/>
      <c r="M28" s="36" t="s">
        <v>615</v>
      </c>
    </row>
    <row r="29" ht="15" customHeight="1">
      <c r="A29" s="1"/>
      <c r="B29" s="58" t="s">
        <v>616</v>
      </c>
      <c r="C29" s="93">
        <v>46226</v>
      </c>
      <c r="D29" s="35" t="s">
        <v>613</v>
      </c>
      <c r="E29" s="56">
        <v>0.01</v>
      </c>
      <c r="F29" s="56">
        <v>0.01</v>
      </c>
      <c r="G29" s="35">
        <f t="shared" si="0"/>
        <v>0.01</v>
      </c>
      <c r="H29" s="35" t="s">
        <v>600</v>
      </c>
      <c r="I29" s="35"/>
      <c r="J29" s="94" t="str">
        <f t="shared" si="1"/>
        <v>Pending</v>
      </c>
      <c r="K29" s="94" t="s">
        <v>614</v>
      </c>
      <c r="L29" s="1"/>
      <c r="M29" s="36" t="s">
        <v>617</v>
      </c>
    </row>
    <row r="30" ht="15" customHeight="1">
      <c r="A30" s="1"/>
      <c r="B30" s="58" t="s">
        <v>618</v>
      </c>
      <c r="C30" s="93">
        <v>46226</v>
      </c>
      <c r="D30" s="35" t="s">
        <v>613</v>
      </c>
      <c r="E30" s="56">
        <v>0</v>
      </c>
      <c r="F30" s="56">
        <v>0</v>
      </c>
      <c r="G30" s="35">
        <f t="shared" si="0"/>
        <v>0</v>
      </c>
      <c r="H30" s="35" t="s">
        <v>600</v>
      </c>
      <c r="I30" s="35"/>
      <c r="J30" s="94" t="str">
        <f t="shared" si="1"/>
        <v>Pending</v>
      </c>
      <c r="K30" s="94" t="s">
        <v>614</v>
      </c>
      <c r="L30" s="1"/>
      <c r="M30" s="36" t="s">
        <v>619</v>
      </c>
    </row>
    <row r="31" ht="15" customHeight="1">
      <c r="A31" s="1"/>
      <c r="B31" s="58" t="s">
        <v>620</v>
      </c>
      <c r="C31" s="93">
        <v>45685</v>
      </c>
      <c r="D31" s="35" t="s">
        <v>582</v>
      </c>
      <c r="E31" s="35" t="s">
        <v>41</v>
      </c>
      <c r="F31" s="35" t="s">
        <v>41</v>
      </c>
      <c r="G31" s="35" t="s">
        <v>41</v>
      </c>
      <c r="H31" s="34">
        <f>'Segment - ATS'!G19</f>
        <v>0.25</v>
      </c>
      <c r="I31" s="35"/>
      <c r="J31" s="94" t="s">
        <v>621</v>
      </c>
      <c r="K31" s="94" t="s">
        <v>622</v>
      </c>
      <c r="L31" s="1"/>
      <c r="M31" s="36" t="s">
        <v>623</v>
      </c>
    </row>
    <row r="32" ht="15" customHeight="1">
      <c r="A32" s="1"/>
      <c r="B32" s="58" t="s">
        <v>620</v>
      </c>
      <c r="C32" s="93">
        <v>46051</v>
      </c>
      <c r="D32" s="35" t="s">
        <v>599</v>
      </c>
      <c r="E32" s="35" t="s">
        <v>41</v>
      </c>
      <c r="F32" s="35" t="s">
        <v>41</v>
      </c>
      <c r="G32" s="35" t="s">
        <v>41</v>
      </c>
      <c r="H32" s="35" t="s">
        <v>600</v>
      </c>
      <c r="I32" s="35"/>
      <c r="J32" s="94" t="s">
        <v>601</v>
      </c>
      <c r="K32" s="94" t="s">
        <v>624</v>
      </c>
      <c r="L32" s="1"/>
      <c r="M32" s="36" t="s">
        <v>625</v>
      </c>
    </row>
    <row r="33" ht="15" customHeight="1">
      <c r="A33" s="1"/>
      <c r="B33" s="41" t="s">
        <v>626</v>
      </c>
      <c r="C33" s="17" t="s">
        <v>41</v>
      </c>
      <c r="D33" s="17" t="s">
        <v>613</v>
      </c>
      <c r="E33" s="17" t="s">
        <v>41</v>
      </c>
      <c r="F33" s="17" t="s">
        <v>41</v>
      </c>
      <c r="G33" s="17" t="s">
        <v>41</v>
      </c>
      <c r="H33" s="17" t="s">
        <v>41</v>
      </c>
      <c r="I33" s="17"/>
      <c r="J33" s="16" t="s">
        <v>41</v>
      </c>
      <c r="K33" s="16" t="s">
        <v>627</v>
      </c>
      <c r="L33" s="1"/>
      <c r="M33" s="36"/>
    </row>
    <row r="34" ht="15" customHeight="1">
      <c r="A34" s="1"/>
      <c r="B34" s="25" t="s">
        <v>628</v>
      </c>
      <c r="C34" s="28"/>
      <c r="D34" s="28"/>
      <c r="E34" s="28"/>
      <c r="F34" s="28"/>
      <c r="G34" s="28"/>
      <c r="H34" s="28" t="str">
        <f>SUM(IF(LEFT(J11,4)="Beat",1,0),IF(LEFT(J12,4)="Beat",1,0),IF(LEFT(J13,4)="Beat",1,0),IF(LEFT(J14,4)="Beat",1,0),IF(LEFT(J15,4)="Beat",1,0),IF(LEFT(J16,4)="Beat",1,0),IF(LEFT(J17,4)="Beat",1,0),IF(LEFT(J18,4)="Beat",1,0))&amp;" of "&amp;COUNTA(J11:J18)</f>
        <v>6 of 8</v>
      </c>
      <c r="I34" s="28"/>
      <c r="J34" s="28"/>
      <c r="K34" s="28"/>
      <c r="L34" s="1"/>
      <c r="M34" s="36" t="s">
        <v>630</v>
      </c>
    </row>
    <row r="35" ht="1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36"/>
    </row>
    <row r="36" ht="15" customHeight="1">
      <c r="A36" s="1"/>
      <c r="B36" s="25" t="s">
        <v>631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36"/>
    </row>
    <row r="37" ht="15" customHeight="1">
      <c r="A37" s="1"/>
      <c r="B37" s="41" t="s">
        <v>632</v>
      </c>
      <c r="C37" s="21"/>
      <c r="D37" s="21"/>
      <c r="E37" s="21"/>
      <c r="F37" s="21"/>
      <c r="G37" s="21"/>
      <c r="H37" s="21">
        <f>G22*1000</f>
        <v>12000</v>
      </c>
      <c r="I37" s="21"/>
      <c r="J37" s="21"/>
      <c r="K37" s="21"/>
      <c r="L37" s="1"/>
      <c r="M37" s="36" t="s">
        <v>633</v>
      </c>
    </row>
    <row r="38" ht="15" customHeight="1">
      <c r="A38" s="1"/>
      <c r="B38" s="41" t="s">
        <v>634</v>
      </c>
      <c r="C38" s="21"/>
      <c r="D38" s="21"/>
      <c r="E38" s="21"/>
      <c r="F38" s="21"/>
      <c r="G38" s="21"/>
      <c r="H38" s="61">
        <v>5852</v>
      </c>
      <c r="I38" s="21"/>
      <c r="J38" s="21"/>
      <c r="K38" s="21"/>
      <c r="L38" s="1"/>
      <c r="M38" s="36" t="s">
        <v>635</v>
      </c>
    </row>
    <row r="39" ht="15" customHeight="1">
      <c r="A39" s="1"/>
      <c r="B39" s="55" t="s">
        <v>636</v>
      </c>
      <c r="C39" s="51"/>
      <c r="D39" s="51"/>
      <c r="E39" s="51"/>
      <c r="F39" s="51"/>
      <c r="G39" s="51"/>
      <c r="H39" s="51">
        <f>H37-H38</f>
        <v>6148</v>
      </c>
      <c r="I39" s="51"/>
      <c r="J39" s="51"/>
      <c r="K39" s="51"/>
      <c r="L39" s="1"/>
      <c r="M39" s="36" t="s">
        <v>637</v>
      </c>
    </row>
    <row r="40" ht="15" customHeight="1">
      <c r="A40" s="1"/>
      <c r="B40" s="41" t="s">
        <v>638</v>
      </c>
      <c r="C40" s="21"/>
      <c r="D40" s="21"/>
      <c r="E40" s="21"/>
      <c r="F40" s="21"/>
      <c r="G40" s="21"/>
      <c r="H40" s="61">
        <v>198</v>
      </c>
      <c r="I40" s="21"/>
      <c r="J40" s="21"/>
      <c r="K40" s="21"/>
      <c r="L40" s="1"/>
      <c r="M40" s="36" t="s">
        <v>639</v>
      </c>
    </row>
    <row r="41" ht="15" customHeight="1">
      <c r="A41" s="1"/>
      <c r="B41" s="41" t="s">
        <v>640</v>
      </c>
      <c r="C41" s="21"/>
      <c r="D41" s="21"/>
      <c r="E41" s="21"/>
      <c r="F41" s="21"/>
      <c r="G41" s="21"/>
      <c r="H41" s="61">
        <v>100</v>
      </c>
      <c r="I41" s="21"/>
      <c r="J41" s="21"/>
      <c r="K41" s="21"/>
      <c r="L41" s="1"/>
      <c r="M41" s="36" t="s">
        <v>641</v>
      </c>
    </row>
    <row r="42" ht="15" customHeight="1">
      <c r="A42" s="1"/>
      <c r="B42" s="58" t="s">
        <v>642</v>
      </c>
      <c r="C42" s="35"/>
      <c r="D42" s="35"/>
      <c r="E42" s="35"/>
      <c r="F42" s="35"/>
      <c r="G42" s="35"/>
      <c r="H42" s="34">
        <f>('Income Statement'!C135+H40)/('Income Statement'!C135+'Income Statement'!D135+H40+H41)</f>
        <v>0.4855085192341472</v>
      </c>
      <c r="I42" s="35"/>
      <c r="J42" s="35"/>
      <c r="K42" s="35"/>
      <c r="L42" s="1"/>
      <c r="M42" s="36" t="s">
        <v>643</v>
      </c>
    </row>
    <row r="43" ht="15" customHeight="1">
      <c r="A43" s="1"/>
      <c r="B43" s="55" t="s">
        <v>644</v>
      </c>
      <c r="C43" s="51"/>
      <c r="D43" s="51"/>
      <c r="E43" s="51"/>
      <c r="F43" s="51"/>
      <c r="G43" s="51"/>
      <c r="H43" s="51">
        <f>H39*H42*(1+G30)</f>
        <v>2984.906376251537</v>
      </c>
      <c r="I43" s="51"/>
      <c r="J43" s="51"/>
      <c r="K43" s="51"/>
      <c r="L43" s="1"/>
      <c r="M43" s="36" t="s">
        <v>645</v>
      </c>
    </row>
    <row r="44" ht="15" customHeight="1">
      <c r="A44" s="1"/>
      <c r="B44" s="41" t="s">
        <v>646</v>
      </c>
      <c r="C44" s="21"/>
      <c r="D44" s="21"/>
      <c r="E44" s="21"/>
      <c r="F44" s="21"/>
      <c r="G44" s="21"/>
      <c r="H44" s="20">
        <f>H43+'Income Statement'!H144+'Income Statement'!H148</f>
        <v>2926.906376251537</v>
      </c>
      <c r="I44" s="21"/>
      <c r="J44" s="21"/>
      <c r="K44" s="21"/>
      <c r="L44" s="1"/>
      <c r="M44" s="36" t="s">
        <v>647</v>
      </c>
    </row>
    <row r="45" ht="15" customHeight="1">
      <c r="A45" s="1"/>
      <c r="B45" s="55" t="s">
        <v>648</v>
      </c>
      <c r="C45" s="51"/>
      <c r="D45" s="51"/>
      <c r="E45" s="51"/>
      <c r="F45" s="51"/>
      <c r="G45" s="51"/>
      <c r="H45" s="69">
        <f>H44*(1-'Income Statement'!H152)-'Income Statement'!H156</f>
        <v>2089.738059019849</v>
      </c>
      <c r="I45" s="51"/>
      <c r="J45" s="51"/>
      <c r="K45" s="51"/>
      <c r="L45" s="1"/>
      <c r="M45" s="36" t="s">
        <v>649</v>
      </c>
    </row>
    <row r="46" ht="15" customHeight="1">
      <c r="A46" s="1"/>
      <c r="B46" s="55" t="s">
        <v>650</v>
      </c>
      <c r="C46" s="71"/>
      <c r="D46" s="71"/>
      <c r="E46" s="71"/>
      <c r="F46" s="71"/>
      <c r="G46" s="71"/>
      <c r="H46" s="96">
        <f>H45/'Share Count'!H12</f>
        <v>1.8178242691864077</v>
      </c>
      <c r="I46" s="71"/>
      <c r="J46" s="71"/>
      <c r="K46" s="71"/>
      <c r="L46" s="1"/>
      <c r="M46" s="36"/>
    </row>
    <row r="47" ht="15" customHeight="1">
      <c r="A47" s="1"/>
      <c r="B47" s="55" t="s">
        <v>651</v>
      </c>
      <c r="C47" s="51"/>
      <c r="D47" s="51"/>
      <c r="E47" s="51"/>
      <c r="F47" s="51"/>
      <c r="G47" s="51"/>
      <c r="H47" s="69">
        <f>'Revenue summary'!C32*(1+G25)*(1+G29)</f>
        <v>10138.43656</v>
      </c>
      <c r="I47" s="51"/>
      <c r="J47" s="51"/>
      <c r="K47" s="51"/>
      <c r="L47" s="1"/>
      <c r="M47" s="36" t="s">
        <v>652</v>
      </c>
    </row>
    <row r="48" ht="15" customHeight="1">
      <c r="A48" s="1"/>
      <c r="B48" s="15" t="s">
        <v>653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36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3976F3B8-C54D-09A8-5D38-CFDE0474BAA6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8" width="12.00390625" customWidth="1"/>
    <col min="9" max="9" width="2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</row>
    <row r="3" ht="15" customHeight="1">
      <c r="A3" s="1"/>
      <c r="B3" s="3" t="s">
        <v>654</v>
      </c>
      <c r="C3" s="1"/>
      <c r="D3" s="1"/>
      <c r="E3" s="1"/>
      <c r="F3" s="1"/>
      <c r="G3" s="1"/>
      <c r="H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</row>
    <row r="5" ht="15" customHeight="1">
      <c r="A5" s="1"/>
      <c r="B5" s="1"/>
      <c r="C5" s="1"/>
      <c r="D5" s="1"/>
      <c r="E5" s="1"/>
      <c r="F5" s="1"/>
      <c r="G5" s="1"/>
      <c r="H5" s="1"/>
    </row>
    <row r="6" ht="15" customHeight="1">
      <c r="A6" s="1"/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7" t="s">
        <v>9</v>
      </c>
    </row>
    <row r="7" ht="15" customHeight="1">
      <c r="A7" s="1"/>
      <c r="B7" s="8" t="s">
        <v>10</v>
      </c>
      <c r="C7" s="9">
        <v>45930</v>
      </c>
      <c r="D7" s="9">
        <v>46022</v>
      </c>
      <c r="E7" s="9">
        <v>46112</v>
      </c>
      <c r="F7" s="9">
        <v>46203</v>
      </c>
      <c r="G7" s="9">
        <v>46022</v>
      </c>
      <c r="H7" s="10">
        <v>46295</v>
      </c>
    </row>
    <row r="8" ht="15" customHeight="1">
      <c r="A8" s="1"/>
      <c r="B8" s="11" t="s">
        <v>11</v>
      </c>
      <c r="C8" s="12">
        <v>92</v>
      </c>
      <c r="D8" s="12">
        <v>92</v>
      </c>
      <c r="E8" s="12">
        <v>90</v>
      </c>
      <c r="F8" s="12">
        <v>91</v>
      </c>
      <c r="G8" s="12">
        <v>365</v>
      </c>
      <c r="H8" s="13">
        <v>92</v>
      </c>
    </row>
    <row r="9" ht="15" customHeight="1">
      <c r="A9" s="1"/>
      <c r="B9" s="36" t="s">
        <v>572</v>
      </c>
      <c r="C9" s="1"/>
      <c r="D9" s="1"/>
      <c r="E9" s="1"/>
      <c r="F9" s="1"/>
      <c r="G9" s="1"/>
      <c r="H9" s="1"/>
    </row>
    <row r="10" ht="15" customHeight="1">
      <c r="A10" s="1"/>
      <c r="B10" s="97" t="s">
        <v>655</v>
      </c>
      <c r="C10" s="98" t="s">
        <v>656</v>
      </c>
      <c r="D10" s="99" t="s">
        <v>657</v>
      </c>
      <c r="E10" s="98" t="s">
        <v>658</v>
      </c>
      <c r="F10" s="98" t="s">
        <v>659</v>
      </c>
      <c r="G10" s="99" t="s">
        <v>660</v>
      </c>
      <c r="H10" s="98" t="s">
        <v>661</v>
      </c>
    </row>
    <row r="11" ht="22.5" customHeight="1">
      <c r="A11" s="1"/>
      <c r="B11" s="100" t="s">
        <v>662</v>
      </c>
      <c r="C11" s="100" t="s">
        <v>663</v>
      </c>
      <c r="D11" s="101">
        <v>45952</v>
      </c>
      <c r="E11" s="100" t="s">
        <v>15</v>
      </c>
      <c r="F11" s="100" t="s">
        <v>664</v>
      </c>
      <c r="G11" s="101">
        <v>46314</v>
      </c>
      <c r="H11" s="102" t="s">
        <v>665</v>
      </c>
    </row>
    <row r="12" ht="22.5" customHeight="1">
      <c r="A12" s="1"/>
      <c r="B12" s="100" t="s">
        <v>666</v>
      </c>
      <c r="C12" s="100" t="s">
        <v>667</v>
      </c>
      <c r="D12" s="101">
        <v>46051</v>
      </c>
      <c r="E12" s="100" t="s">
        <v>15</v>
      </c>
      <c r="F12" s="100" t="s">
        <v>668</v>
      </c>
      <c r="G12" s="101">
        <v>46314</v>
      </c>
      <c r="H12" s="102" t="s">
        <v>669</v>
      </c>
    </row>
    <row r="13" ht="22.5" customHeight="1">
      <c r="A13" s="1"/>
      <c r="B13" s="100" t="s">
        <v>670</v>
      </c>
      <c r="C13" s="100" t="s">
        <v>671</v>
      </c>
      <c r="D13" s="101">
        <v>46135</v>
      </c>
      <c r="E13" s="100" t="s">
        <v>15</v>
      </c>
      <c r="F13" s="100" t="s">
        <v>668</v>
      </c>
      <c r="G13" s="101">
        <v>46314</v>
      </c>
      <c r="H13" s="102" t="s">
        <v>672</v>
      </c>
    </row>
    <row r="14" ht="22.5" customHeight="1">
      <c r="A14" s="1"/>
      <c r="B14" s="100" t="s">
        <v>673</v>
      </c>
      <c r="C14" s="100" t="s">
        <v>674</v>
      </c>
      <c r="D14" s="101">
        <v>46226</v>
      </c>
      <c r="E14" s="100" t="s">
        <v>15</v>
      </c>
      <c r="F14" s="100" t="s">
        <v>675</v>
      </c>
      <c r="G14" s="101">
        <v>46314</v>
      </c>
      <c r="H14" s="102" t="s">
        <v>676</v>
      </c>
    </row>
    <row r="15" ht="22.5" customHeight="1">
      <c r="A15" s="1"/>
      <c r="B15" s="100" t="s">
        <v>677</v>
      </c>
      <c r="C15" s="100" t="s">
        <v>678</v>
      </c>
      <c r="D15" s="101">
        <v>46226</v>
      </c>
      <c r="E15" s="100" t="s">
        <v>679</v>
      </c>
      <c r="F15" s="100" t="s">
        <v>680</v>
      </c>
      <c r="G15" s="101">
        <v>46314</v>
      </c>
      <c r="H15" s="102" t="s">
        <v>681</v>
      </c>
    </row>
    <row r="16" ht="22.5" customHeight="1">
      <c r="A16" s="1"/>
      <c r="B16" s="100" t="s">
        <v>682</v>
      </c>
      <c r="C16" s="100" t="s">
        <v>683</v>
      </c>
      <c r="D16" s="101">
        <v>46226</v>
      </c>
      <c r="E16" s="100" t="s">
        <v>684</v>
      </c>
      <c r="F16" s="100" t="s">
        <v>685</v>
      </c>
      <c r="G16" s="101">
        <v>46314</v>
      </c>
      <c r="H16" s="102" t="s">
        <v>686</v>
      </c>
    </row>
    <row r="17" ht="22.5" customHeight="1">
      <c r="A17" s="1"/>
      <c r="B17" s="100" t="s">
        <v>687</v>
      </c>
      <c r="C17" s="100" t="s">
        <v>688</v>
      </c>
      <c r="D17" s="101">
        <v>46308</v>
      </c>
      <c r="E17" s="100" t="s">
        <v>689</v>
      </c>
      <c r="F17" s="100" t="s">
        <v>690</v>
      </c>
      <c r="G17" s="101">
        <v>46314</v>
      </c>
      <c r="H17" s="102" t="s">
        <v>691</v>
      </c>
    </row>
    <row r="18" ht="22.5" customHeight="1">
      <c r="A18" s="1"/>
      <c r="B18" s="100" t="s">
        <v>692</v>
      </c>
      <c r="C18" s="100" t="s">
        <v>693</v>
      </c>
      <c r="D18" s="101">
        <v>46313</v>
      </c>
      <c r="E18" s="100" t="s">
        <v>694</v>
      </c>
      <c r="F18" s="100" t="s">
        <v>695</v>
      </c>
      <c r="G18" s="101">
        <v>46314</v>
      </c>
      <c r="H18" s="102" t="s">
        <v>696</v>
      </c>
    </row>
    <row r="19" ht="22.5" customHeight="1">
      <c r="A19" s="1"/>
      <c r="B19" s="100" t="s">
        <v>697</v>
      </c>
      <c r="C19" s="100" t="s">
        <v>698</v>
      </c>
      <c r="D19" s="101">
        <v>46313</v>
      </c>
      <c r="E19" s="100" t="s">
        <v>694</v>
      </c>
      <c r="F19" s="100" t="s">
        <v>699</v>
      </c>
      <c r="G19" s="101">
        <v>46314</v>
      </c>
      <c r="H19" s="102" t="s">
        <v>700</v>
      </c>
    </row>
    <row r="20" ht="33" customHeight="1">
      <c r="A20" s="1"/>
      <c r="B20" s="100" t="s">
        <v>701</v>
      </c>
      <c r="C20" s="100" t="s">
        <v>702</v>
      </c>
      <c r="D20" s="101">
        <v>46309</v>
      </c>
      <c r="E20" s="100" t="s">
        <v>689</v>
      </c>
      <c r="F20" s="100" t="s">
        <v>1</v>
      </c>
      <c r="G20" s="101">
        <v>46314</v>
      </c>
      <c r="H20" s="102" t="s">
        <v>703</v>
      </c>
    </row>
    <row r="21" ht="22.5" customHeight="1">
      <c r="A21" s="1"/>
      <c r="B21" s="100" t="s">
        <v>704</v>
      </c>
      <c r="C21" s="100" t="s">
        <v>705</v>
      </c>
      <c r="D21" s="101">
        <v>46230</v>
      </c>
      <c r="E21" s="100" t="s">
        <v>706</v>
      </c>
      <c r="F21" s="100" t="s">
        <v>707</v>
      </c>
      <c r="G21" s="101">
        <v>46314</v>
      </c>
      <c r="H21" s="102" t="s">
        <v>708</v>
      </c>
    </row>
    <row r="22" ht="22.5" customHeight="1">
      <c r="A22" s="1"/>
      <c r="B22" s="100" t="s">
        <v>709</v>
      </c>
      <c r="C22" s="100" t="s">
        <v>710</v>
      </c>
      <c r="D22" s="101">
        <v>46304</v>
      </c>
      <c r="E22" s="100" t="s">
        <v>689</v>
      </c>
      <c r="F22" s="100" t="s">
        <v>707</v>
      </c>
      <c r="G22" s="101">
        <v>46314</v>
      </c>
      <c r="H22" s="102" t="s">
        <v>711</v>
      </c>
    </row>
    <row r="23" ht="22.5" customHeight="1">
      <c r="A23" s="1"/>
      <c r="B23" s="100" t="s">
        <v>712</v>
      </c>
      <c r="C23" s="100" t="s">
        <v>713</v>
      </c>
      <c r="D23" s="101">
        <v>46304</v>
      </c>
      <c r="E23" s="100" t="s">
        <v>714</v>
      </c>
      <c r="F23" s="100" t="s">
        <v>707</v>
      </c>
      <c r="G23" s="101">
        <v>46314</v>
      </c>
      <c r="H23" s="102" t="s">
        <v>715</v>
      </c>
    </row>
    <row r="24" ht="33" customHeight="1">
      <c r="A24" s="1"/>
      <c r="B24" s="100" t="s">
        <v>716</v>
      </c>
      <c r="C24" s="100" t="s">
        <v>717</v>
      </c>
      <c r="D24" s="101">
        <v>46311</v>
      </c>
      <c r="E24" s="100" t="s">
        <v>718</v>
      </c>
      <c r="F24" s="100" t="s">
        <v>719</v>
      </c>
      <c r="G24" s="101">
        <v>46314</v>
      </c>
      <c r="H24" s="102" t="s">
        <v>720</v>
      </c>
    </row>
    <row r="25" ht="22.5" customHeight="1">
      <c r="A25" s="1"/>
      <c r="B25" s="100" t="s">
        <v>721</v>
      </c>
      <c r="C25" s="100" t="s">
        <v>722</v>
      </c>
      <c r="D25" s="101">
        <v>46203</v>
      </c>
      <c r="E25" s="100" t="s">
        <v>723</v>
      </c>
      <c r="F25" s="100" t="s">
        <v>719</v>
      </c>
      <c r="G25" s="101">
        <v>46314</v>
      </c>
      <c r="H25" s="102" t="s">
        <v>724</v>
      </c>
    </row>
    <row r="26" ht="22.5" customHeight="1">
      <c r="A26" s="1"/>
      <c r="B26" s="100" t="s">
        <v>725</v>
      </c>
      <c r="C26" s="100" t="s">
        <v>726</v>
      </c>
      <c r="D26" s="101">
        <v>46295</v>
      </c>
      <c r="E26" s="100" t="s">
        <v>727</v>
      </c>
      <c r="F26" s="100" t="s">
        <v>728</v>
      </c>
      <c r="G26" s="101">
        <v>46314</v>
      </c>
      <c r="H26" s="102" t="s">
        <v>729</v>
      </c>
    </row>
    <row r="27" ht="22.5" customHeight="1">
      <c r="A27" s="1"/>
      <c r="B27" s="100" t="s">
        <v>730</v>
      </c>
      <c r="C27" s="100" t="s">
        <v>731</v>
      </c>
      <c r="D27" s="101">
        <v>46313</v>
      </c>
      <c r="E27" s="100" t="s">
        <v>732</v>
      </c>
      <c r="F27" s="100" t="s">
        <v>733</v>
      </c>
      <c r="G27" s="101">
        <v>46314</v>
      </c>
      <c r="H27" s="102" t="s">
        <v>734</v>
      </c>
    </row>
    <row r="28" ht="22.5" customHeight="1">
      <c r="A28" s="1"/>
      <c r="B28" s="100" t="s">
        <v>735</v>
      </c>
      <c r="C28" s="100" t="s">
        <v>736</v>
      </c>
      <c r="D28" s="101">
        <v>46311</v>
      </c>
      <c r="E28" s="100" t="s">
        <v>684</v>
      </c>
      <c r="F28" s="100" t="s">
        <v>737</v>
      </c>
      <c r="G28" s="101">
        <v>46314</v>
      </c>
      <c r="H28" s="102" t="s">
        <v>738</v>
      </c>
    </row>
    <row r="29" ht="22.5" customHeight="1">
      <c r="A29" s="1"/>
      <c r="B29" s="100" t="s">
        <v>739</v>
      </c>
      <c r="C29" s="100" t="s">
        <v>740</v>
      </c>
      <c r="D29" s="101">
        <v>46308</v>
      </c>
      <c r="E29" s="100" t="s">
        <v>741</v>
      </c>
      <c r="F29" s="100" t="s">
        <v>737</v>
      </c>
      <c r="G29" s="101">
        <v>46314</v>
      </c>
      <c r="H29" s="102" t="s">
        <v>742</v>
      </c>
    </row>
    <row r="30" ht="22.5" customHeight="1">
      <c r="A30" s="1"/>
      <c r="B30" s="100" t="s">
        <v>743</v>
      </c>
      <c r="C30" s="100" t="s">
        <v>744</v>
      </c>
      <c r="D30" s="101">
        <v>46307</v>
      </c>
      <c r="E30" s="100" t="s">
        <v>745</v>
      </c>
      <c r="F30" s="100" t="s">
        <v>746</v>
      </c>
      <c r="G30" s="101">
        <v>46314</v>
      </c>
      <c r="H30" s="102" t="s">
        <v>747</v>
      </c>
    </row>
    <row r="31" ht="22.5" customHeight="1">
      <c r="A31" s="1"/>
      <c r="B31" s="100" t="s">
        <v>748</v>
      </c>
      <c r="C31" s="100" t="s">
        <v>749</v>
      </c>
      <c r="D31" s="101">
        <v>46260</v>
      </c>
      <c r="E31" s="100" t="s">
        <v>723</v>
      </c>
      <c r="F31" s="100" t="s">
        <v>685</v>
      </c>
      <c r="G31" s="101">
        <v>46314</v>
      </c>
      <c r="H31" s="102" t="s">
        <v>750</v>
      </c>
    </row>
    <row r="32" ht="33" customHeight="1">
      <c r="A32" s="1"/>
      <c r="B32" s="100" t="s">
        <v>751</v>
      </c>
      <c r="C32" s="100" t="s">
        <v>752</v>
      </c>
      <c r="D32" s="101">
        <v>46252</v>
      </c>
      <c r="E32" s="100" t="s">
        <v>753</v>
      </c>
      <c r="F32" s="100" t="s">
        <v>737</v>
      </c>
      <c r="G32" s="101">
        <v>46314</v>
      </c>
      <c r="H32" s="102" t="s">
        <v>754</v>
      </c>
    </row>
    <row r="33" ht="22.5" customHeight="1">
      <c r="A33" s="1"/>
      <c r="B33" s="100" t="s">
        <v>755</v>
      </c>
      <c r="C33" s="100" t="s">
        <v>756</v>
      </c>
      <c r="D33" s="101">
        <v>46267</v>
      </c>
      <c r="E33" s="100" t="s">
        <v>757</v>
      </c>
      <c r="F33" s="100" t="s">
        <v>758</v>
      </c>
      <c r="G33" s="101">
        <v>46314</v>
      </c>
      <c r="H33" s="102" t="s">
        <v>759</v>
      </c>
    </row>
    <row r="34" ht="22.5" customHeight="1">
      <c r="A34" s="1"/>
      <c r="B34" s="100" t="s">
        <v>760</v>
      </c>
      <c r="C34" s="100" t="s">
        <v>761</v>
      </c>
      <c r="D34" s="101">
        <v>46222</v>
      </c>
      <c r="E34" s="100" t="s">
        <v>714</v>
      </c>
      <c r="F34" s="100" t="s">
        <v>758</v>
      </c>
      <c r="G34" s="101">
        <v>46314</v>
      </c>
      <c r="H34" s="102" t="s">
        <v>762</v>
      </c>
    </row>
    <row r="35" ht="22.5" customHeight="1">
      <c r="A35" s="1"/>
      <c r="B35" s="100" t="s">
        <v>763</v>
      </c>
      <c r="C35" s="100" t="s">
        <v>764</v>
      </c>
      <c r="D35" s="101">
        <v>46226</v>
      </c>
      <c r="E35" s="100" t="s">
        <v>689</v>
      </c>
      <c r="F35" s="100" t="s">
        <v>758</v>
      </c>
      <c r="G35" s="101">
        <v>46314</v>
      </c>
      <c r="H35" s="102" t="s">
        <v>765</v>
      </c>
    </row>
    <row r="36" ht="22.5" customHeight="1">
      <c r="A36" s="1"/>
      <c r="B36" s="100" t="s">
        <v>766</v>
      </c>
      <c r="C36" s="100" t="s">
        <v>767</v>
      </c>
      <c r="D36" s="101">
        <v>46079</v>
      </c>
      <c r="E36" s="100" t="s">
        <v>679</v>
      </c>
      <c r="F36" s="100" t="s">
        <v>768</v>
      </c>
      <c r="G36" s="101">
        <v>46314</v>
      </c>
      <c r="H36" s="102" t="s">
        <v>769</v>
      </c>
    </row>
    <row r="37" ht="22.5" customHeight="1">
      <c r="A37" s="1"/>
      <c r="B37" s="100" t="s">
        <v>770</v>
      </c>
      <c r="C37" s="100" t="s">
        <v>771</v>
      </c>
      <c r="D37" s="101">
        <v>46275</v>
      </c>
      <c r="E37" s="100" t="s">
        <v>772</v>
      </c>
      <c r="F37" s="100" t="s">
        <v>773</v>
      </c>
      <c r="G37" s="101">
        <v>46314</v>
      </c>
      <c r="H37" s="102" t="s">
        <v>774</v>
      </c>
    </row>
    <row r="38" ht="33" customHeight="1">
      <c r="A38" s="1"/>
      <c r="B38" s="100" t="s">
        <v>775</v>
      </c>
      <c r="C38" s="100" t="s">
        <v>776</v>
      </c>
      <c r="D38" s="101">
        <v>46234</v>
      </c>
      <c r="E38" s="100" t="s">
        <v>777</v>
      </c>
      <c r="F38" s="100" t="s">
        <v>737</v>
      </c>
      <c r="G38" s="101">
        <v>46314</v>
      </c>
      <c r="H38" s="102" t="s">
        <v>778</v>
      </c>
    </row>
    <row r="39" ht="15" customHeight="1">
      <c r="A39" s="1"/>
      <c r="B39" s="103"/>
      <c r="C39" s="100"/>
      <c r="D39" s="100"/>
      <c r="E39" s="100"/>
      <c r="F39" s="100"/>
      <c r="G39" s="100"/>
      <c r="H39" s="102"/>
    </row>
    <row r="40" ht="15" customHeight="1">
      <c r="A40" s="1"/>
      <c r="B40" s="104" t="s">
        <v>779</v>
      </c>
      <c r="C40" s="100"/>
      <c r="D40" s="100"/>
      <c r="E40" s="100"/>
      <c r="F40" s="100"/>
      <c r="G40" s="100"/>
      <c r="H40" s="102"/>
    </row>
    <row r="41" ht="15" customHeight="1">
      <c r="A41" s="1"/>
      <c r="B41" s="104" t="s">
        <v>780</v>
      </c>
      <c r="C41" s="102"/>
      <c r="D41" s="102"/>
      <c r="E41" s="102"/>
      <c r="F41" s="102"/>
      <c r="G41" s="102"/>
      <c r="H41" s="102"/>
    </row>
    <row r="42" ht="15" customHeight="1">
      <c r="A42" s="1"/>
      <c r="B42" s="104" t="s">
        <v>781</v>
      </c>
      <c r="C42" s="102"/>
      <c r="D42" s="102"/>
      <c r="E42" s="102"/>
      <c r="F42" s="102"/>
      <c r="G42" s="102"/>
      <c r="H42" s="102"/>
    </row>
    <row r="43" ht="15" customHeight="1">
      <c r="A43" s="1"/>
      <c r="B43" s="104" t="s">
        <v>782</v>
      </c>
      <c r="C43" s="102"/>
      <c r="D43" s="102"/>
      <c r="E43" s="102"/>
      <c r="F43" s="102"/>
      <c r="G43" s="102"/>
      <c r="H43" s="102"/>
    </row>
    <row r="44" ht="15" customHeight="1">
      <c r="B44" s="105" t="s">
        <v>783</v>
      </c>
      <c r="C44" s="106"/>
      <c r="D44" s="106"/>
      <c r="E44" s="106"/>
      <c r="F44" s="106"/>
      <c r="G44" s="106"/>
      <c r="H44" s="106"/>
    </row>
    <row r="45" ht="15" customHeight="1">
      <c r="C45" s="106"/>
      <c r="D45" s="106"/>
      <c r="E45" s="106"/>
      <c r="F45" s="106"/>
      <c r="G45" s="106"/>
      <c r="H45" s="106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4BB8A78-6A6B-32C5-0B23-91DA765679F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2.00390625" customWidth="1"/>
    <col min="2" max="2" width="32.00390625" customWidth="1"/>
    <col min="3" max="12" width="12.00390625" customWidth="1"/>
    <col min="13" max="13" width="2.00390625" customWidth="1"/>
    <col min="14" max="14" width="70.00390625" customWidth="1"/>
  </cols>
  <sheetData>
    <row r="1" ht="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" customHeight="1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15" customHeight="1">
      <c r="A3" s="1"/>
      <c r="B3" s="3" t="s">
        <v>784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ht="15" customHeight="1">
      <c r="A4" s="1"/>
      <c r="B4" s="4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ht="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ht="15" customHeight="1">
      <c r="A6" s="1"/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7" t="s">
        <v>9</v>
      </c>
      <c r="I6" s="1"/>
      <c r="J6" s="1"/>
      <c r="K6" s="1"/>
      <c r="L6" s="1"/>
      <c r="M6" s="1"/>
      <c r="N6" s="3" t="s">
        <v>65</v>
      </c>
    </row>
    <row r="7" ht="15" customHeight="1">
      <c r="A7" s="1"/>
      <c r="B7" s="8" t="s">
        <v>10</v>
      </c>
      <c r="C7" s="9">
        <v>45930</v>
      </c>
      <c r="D7" s="9">
        <v>46022</v>
      </c>
      <c r="E7" s="9">
        <v>46112</v>
      </c>
      <c r="F7" s="9">
        <v>46203</v>
      </c>
      <c r="G7" s="9">
        <v>46022</v>
      </c>
      <c r="H7" s="10">
        <v>46295</v>
      </c>
      <c r="I7" s="1"/>
      <c r="J7" s="1"/>
      <c r="K7" s="1"/>
      <c r="L7" s="1"/>
      <c r="M7" s="1"/>
      <c r="N7" s="1"/>
    </row>
    <row r="8" ht="15" customHeight="1">
      <c r="A8" s="1"/>
      <c r="B8" s="11" t="s">
        <v>11</v>
      </c>
      <c r="C8" s="12">
        <v>92</v>
      </c>
      <c r="D8" s="12">
        <v>92</v>
      </c>
      <c r="E8" s="12">
        <v>90</v>
      </c>
      <c r="F8" s="12">
        <v>91</v>
      </c>
      <c r="G8" s="12">
        <v>365</v>
      </c>
      <c r="H8" s="13">
        <v>92</v>
      </c>
      <c r="I8" s="1"/>
      <c r="J8" s="1"/>
      <c r="K8" s="1"/>
      <c r="L8" s="1"/>
      <c r="M8" s="1"/>
      <c r="N8" s="1"/>
    </row>
    <row r="9" ht="15" customHeight="1">
      <c r="A9" s="1"/>
      <c r="B9" s="36" t="s">
        <v>572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6"/>
    </row>
    <row r="10" ht="15" customHeight="1">
      <c r="A10" s="1"/>
      <c r="B10" s="25" t="s">
        <v>785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36"/>
    </row>
    <row r="11" ht="15" customHeight="1">
      <c r="A11" s="1"/>
      <c r="B11" s="41" t="s">
        <v>786</v>
      </c>
      <c r="C11" s="16" t="s">
        <v>694</v>
      </c>
      <c r="D11" s="17"/>
      <c r="E11" s="17"/>
      <c r="F11" s="17"/>
      <c r="G11" s="17"/>
      <c r="H11" s="17"/>
      <c r="I11" s="17"/>
      <c r="J11" s="17"/>
      <c r="K11" s="17"/>
      <c r="L11" s="17"/>
      <c r="M11" s="1"/>
      <c r="N11" s="36"/>
    </row>
    <row r="12" ht="15" customHeight="1">
      <c r="A12" s="1"/>
      <c r="B12" s="41" t="s">
        <v>787</v>
      </c>
      <c r="C12" s="16" t="s">
        <v>788</v>
      </c>
      <c r="D12" s="17"/>
      <c r="E12" s="17"/>
      <c r="F12" s="17"/>
      <c r="G12" s="17"/>
      <c r="H12" s="17"/>
      <c r="I12" s="17"/>
      <c r="J12" s="17"/>
      <c r="K12" s="17"/>
      <c r="L12" s="17"/>
      <c r="M12" s="1"/>
      <c r="N12" s="36"/>
    </row>
    <row r="13" ht="15" customHeight="1">
      <c r="A13" s="1"/>
      <c r="B13" s="41" t="s">
        <v>789</v>
      </c>
      <c r="C13" s="16" t="s">
        <v>15</v>
      </c>
      <c r="D13" s="17"/>
      <c r="E13" s="17"/>
      <c r="F13" s="17"/>
      <c r="G13" s="17"/>
      <c r="H13" s="17"/>
      <c r="I13" s="17"/>
      <c r="J13" s="17"/>
      <c r="K13" s="17"/>
      <c r="L13" s="17"/>
      <c r="M13" s="1"/>
      <c r="N13" s="36"/>
    </row>
    <row r="14" ht="15" customHeight="1">
      <c r="A14" s="1"/>
      <c r="B14" s="41" t="s">
        <v>790</v>
      </c>
      <c r="C14" s="16" t="s">
        <v>791</v>
      </c>
      <c r="D14" s="17"/>
      <c r="E14" s="17"/>
      <c r="F14" s="17"/>
      <c r="G14" s="17"/>
      <c r="H14" s="17"/>
      <c r="I14" s="17"/>
      <c r="J14" s="17"/>
      <c r="K14" s="17"/>
      <c r="L14" s="17"/>
      <c r="M14" s="1"/>
      <c r="N14" s="36"/>
    </row>
    <row r="15" ht="15" customHeight="1">
      <c r="A15" s="1"/>
      <c r="B15" s="41" t="s">
        <v>792</v>
      </c>
      <c r="C15" s="90">
        <v>46295</v>
      </c>
      <c r="D15" s="17"/>
      <c r="E15" s="17"/>
      <c r="F15" s="17"/>
      <c r="G15" s="17"/>
      <c r="H15" s="17"/>
      <c r="I15" s="17"/>
      <c r="J15" s="17"/>
      <c r="K15" s="17"/>
      <c r="L15" s="17"/>
      <c r="M15" s="1"/>
      <c r="N15" s="36"/>
    </row>
    <row r="16" ht="15" customHeight="1">
      <c r="A16" s="1"/>
      <c r="B16" s="41" t="s">
        <v>793</v>
      </c>
      <c r="C16" s="90">
        <v>46313</v>
      </c>
      <c r="D16" s="17"/>
      <c r="E16" s="17"/>
      <c r="F16" s="17"/>
      <c r="G16" s="17"/>
      <c r="H16" s="17"/>
      <c r="I16" s="17"/>
      <c r="J16" s="17"/>
      <c r="K16" s="17"/>
      <c r="L16" s="17"/>
      <c r="M16" s="1"/>
      <c r="N16" s="36"/>
    </row>
    <row r="17" ht="15" customHeight="1">
      <c r="A17" s="1"/>
      <c r="B17" s="41" t="s">
        <v>794</v>
      </c>
      <c r="C17" s="107">
        <v>11</v>
      </c>
      <c r="D17" s="17"/>
      <c r="E17" s="17"/>
      <c r="F17" s="17"/>
      <c r="G17" s="17"/>
      <c r="H17" s="17"/>
      <c r="I17" s="17"/>
      <c r="J17" s="17"/>
      <c r="K17" s="17"/>
      <c r="L17" s="17"/>
      <c r="M17" s="1"/>
      <c r="N17" s="36"/>
    </row>
    <row r="18" ht="15" customHeight="1">
      <c r="A18" s="1"/>
      <c r="B18" s="41" t="s">
        <v>795</v>
      </c>
      <c r="C18" s="107">
        <v>1.83</v>
      </c>
      <c r="D18" s="17"/>
      <c r="E18" s="17"/>
      <c r="F18" s="17"/>
      <c r="G18" s="17"/>
      <c r="H18" s="17"/>
      <c r="I18" s="17"/>
      <c r="J18" s="17"/>
      <c r="K18" s="17"/>
      <c r="L18" s="17"/>
      <c r="M18" s="1"/>
      <c r="N18" s="36"/>
    </row>
    <row r="19" ht="15" customHeight="1">
      <c r="A19" s="1"/>
      <c r="B19" s="41" t="s">
        <v>796</v>
      </c>
      <c r="C19" s="16" t="s">
        <v>797</v>
      </c>
      <c r="D19" s="17"/>
      <c r="E19" s="17"/>
      <c r="F19" s="17"/>
      <c r="G19" s="17"/>
      <c r="H19" s="17"/>
      <c r="I19" s="17"/>
      <c r="J19" s="17"/>
      <c r="K19" s="17"/>
      <c r="L19" s="17"/>
      <c r="M19" s="1"/>
      <c r="N19" s="36" t="s">
        <v>798</v>
      </c>
    </row>
    <row r="20" ht="15" customHeight="1">
      <c r="A20" s="1"/>
      <c r="B20" s="41" t="s">
        <v>799</v>
      </c>
      <c r="C20" s="107">
        <v>10094.87</v>
      </c>
      <c r="D20" s="17"/>
      <c r="E20" s="17"/>
      <c r="F20" s="17"/>
      <c r="G20" s="17"/>
      <c r="H20" s="17"/>
      <c r="I20" s="17"/>
      <c r="J20" s="17"/>
      <c r="K20" s="17"/>
      <c r="L20" s="17"/>
      <c r="M20" s="1"/>
      <c r="N20" s="36"/>
    </row>
    <row r="21" ht="15" customHeight="1">
      <c r="A21" s="1"/>
      <c r="B21" s="41" t="s">
        <v>800</v>
      </c>
      <c r="C21" s="16" t="s">
        <v>801</v>
      </c>
      <c r="D21" s="17"/>
      <c r="E21" s="17"/>
      <c r="F21" s="17"/>
      <c r="G21" s="17"/>
      <c r="H21" s="17"/>
      <c r="I21" s="17"/>
      <c r="J21" s="17"/>
      <c r="K21" s="17"/>
      <c r="L21" s="17"/>
      <c r="M21" s="1"/>
      <c r="N21" s="36"/>
    </row>
    <row r="22" ht="15" customHeight="1">
      <c r="A22" s="1"/>
      <c r="B22" s="41" t="s">
        <v>802</v>
      </c>
      <c r="C22" s="16" t="s">
        <v>803</v>
      </c>
      <c r="D22" s="17"/>
      <c r="E22" s="17"/>
      <c r="F22" s="17"/>
      <c r="G22" s="17"/>
      <c r="H22" s="17"/>
      <c r="I22" s="17"/>
      <c r="J22" s="17"/>
      <c r="K22" s="17"/>
      <c r="L22" s="17"/>
      <c r="M22" s="1"/>
      <c r="N22" s="36"/>
    </row>
    <row r="23" ht="15" customHeight="1">
      <c r="A23" s="1"/>
      <c r="B23" s="41" t="s">
        <v>804</v>
      </c>
      <c r="C23" s="16" t="s">
        <v>805</v>
      </c>
      <c r="D23" s="17"/>
      <c r="E23" s="17"/>
      <c r="F23" s="17"/>
      <c r="G23" s="17"/>
      <c r="H23" s="17"/>
      <c r="I23" s="17"/>
      <c r="J23" s="17"/>
      <c r="K23" s="17"/>
      <c r="L23" s="17"/>
      <c r="M23" s="1"/>
      <c r="N23" s="36"/>
    </row>
    <row r="24" ht="15" customHeight="1">
      <c r="A24" s="1"/>
      <c r="B24" s="41" t="s">
        <v>806</v>
      </c>
      <c r="C24" s="16" t="s">
        <v>807</v>
      </c>
      <c r="D24" s="17"/>
      <c r="E24" s="17"/>
      <c r="F24" s="17"/>
      <c r="G24" s="17"/>
      <c r="H24" s="17"/>
      <c r="I24" s="17"/>
      <c r="J24" s="17"/>
      <c r="K24" s="17"/>
      <c r="L24" s="17"/>
      <c r="M24" s="1"/>
      <c r="N24" s="36"/>
    </row>
    <row r="25" ht="15" customHeight="1">
      <c r="A25" s="1"/>
      <c r="B25" s="41" t="s">
        <v>808</v>
      </c>
      <c r="C25" s="16" t="s">
        <v>801</v>
      </c>
      <c r="D25" s="17"/>
      <c r="E25" s="17"/>
      <c r="F25" s="17"/>
      <c r="G25" s="17"/>
      <c r="H25" s="17"/>
      <c r="I25" s="17"/>
      <c r="J25" s="17"/>
      <c r="K25" s="17"/>
      <c r="L25" s="17"/>
      <c r="M25" s="1"/>
      <c r="N25" s="36"/>
    </row>
    <row r="26" ht="15" customHeight="1">
      <c r="A26" s="1"/>
      <c r="B26" s="41" t="s">
        <v>809</v>
      </c>
      <c r="C26" s="16" t="s">
        <v>810</v>
      </c>
      <c r="D26" s="17"/>
      <c r="E26" s="17"/>
      <c r="F26" s="17"/>
      <c r="G26" s="17"/>
      <c r="H26" s="17"/>
      <c r="I26" s="17"/>
      <c r="J26" s="17"/>
      <c r="K26" s="17"/>
      <c r="L26" s="17"/>
      <c r="M26" s="1"/>
      <c r="N26" s="36"/>
    </row>
    <row r="27" ht="15" customHeight="1">
      <c r="A27" s="1"/>
      <c r="B27" s="41" t="s">
        <v>811</v>
      </c>
      <c r="C27" s="16" t="s">
        <v>801</v>
      </c>
      <c r="D27" s="17"/>
      <c r="E27" s="17"/>
      <c r="F27" s="17"/>
      <c r="G27" s="17"/>
      <c r="H27" s="17"/>
      <c r="I27" s="17"/>
      <c r="J27" s="17"/>
      <c r="K27" s="17"/>
      <c r="L27" s="17"/>
      <c r="M27" s="1"/>
      <c r="N27" s="36"/>
    </row>
    <row r="28" ht="15" customHeight="1">
      <c r="A28" s="1"/>
      <c r="B28" s="41" t="s">
        <v>812</v>
      </c>
      <c r="C28" s="16" t="s">
        <v>813</v>
      </c>
      <c r="D28" s="17"/>
      <c r="E28" s="17"/>
      <c r="F28" s="17"/>
      <c r="G28" s="17"/>
      <c r="H28" s="17"/>
      <c r="I28" s="17"/>
      <c r="J28" s="17"/>
      <c r="K28" s="17"/>
      <c r="L28" s="17"/>
      <c r="M28" s="1"/>
      <c r="N28" s="36"/>
    </row>
    <row r="29" ht="15" customHeight="1">
      <c r="A29" s="1"/>
      <c r="B29" s="108" t="s">
        <v>814</v>
      </c>
      <c r="C29" s="102" t="s">
        <v>815</v>
      </c>
      <c r="D29" s="17"/>
      <c r="E29" s="17"/>
      <c r="F29" s="17"/>
      <c r="G29" s="17"/>
      <c r="H29" s="17"/>
      <c r="I29" s="17"/>
      <c r="J29" s="17"/>
      <c r="K29" s="17"/>
      <c r="L29" s="17"/>
      <c r="M29" s="1"/>
      <c r="N29" s="36"/>
    </row>
    <row r="30" ht="1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6"/>
    </row>
    <row r="31" ht="15" customHeight="1">
      <c r="A31" s="1"/>
      <c r="B31" s="25" t="s">
        <v>816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6"/>
    </row>
    <row r="32" ht="15" customHeight="1">
      <c r="A32" s="1"/>
      <c r="B32" s="41" t="s">
        <v>787</v>
      </c>
      <c r="C32" s="16" t="s">
        <v>788</v>
      </c>
      <c r="D32" s="17"/>
      <c r="E32" s="17"/>
      <c r="F32" s="17"/>
      <c r="G32" s="17"/>
      <c r="H32" s="17"/>
      <c r="I32" s="17"/>
      <c r="J32" s="17"/>
      <c r="K32" s="17"/>
      <c r="L32" s="17"/>
      <c r="M32" s="1"/>
      <c r="N32" s="36"/>
    </row>
    <row r="33" ht="15" customHeight="1">
      <c r="A33" s="1"/>
      <c r="B33" s="41" t="s">
        <v>817</v>
      </c>
      <c r="C33" s="16" t="s">
        <v>15</v>
      </c>
      <c r="D33" s="17"/>
      <c r="E33" s="17"/>
      <c r="F33" s="17"/>
      <c r="G33" s="17"/>
      <c r="H33" s="17"/>
      <c r="I33" s="17"/>
      <c r="J33" s="17"/>
      <c r="K33" s="17"/>
      <c r="L33" s="17"/>
      <c r="M33" s="1"/>
      <c r="N33" s="36"/>
    </row>
    <row r="34" ht="15" customHeight="1">
      <c r="A34" s="1"/>
      <c r="B34" s="41" t="s">
        <v>818</v>
      </c>
      <c r="C34" s="16" t="s">
        <v>819</v>
      </c>
      <c r="D34" s="17"/>
      <c r="E34" s="17"/>
      <c r="F34" s="17"/>
      <c r="G34" s="17"/>
      <c r="H34" s="17"/>
      <c r="I34" s="17"/>
      <c r="J34" s="17"/>
      <c r="K34" s="17"/>
      <c r="L34" s="17"/>
      <c r="M34" s="1"/>
      <c r="N34" s="36"/>
    </row>
    <row r="35" ht="15" customHeight="1">
      <c r="A35" s="1"/>
      <c r="B35" s="41" t="s">
        <v>820</v>
      </c>
      <c r="C35" s="107">
        <v>126475</v>
      </c>
      <c r="D35" s="17"/>
      <c r="E35" s="17"/>
      <c r="F35" s="17"/>
      <c r="G35" s="17"/>
      <c r="H35" s="17"/>
      <c r="I35" s="17"/>
      <c r="J35" s="17"/>
      <c r="K35" s="17"/>
      <c r="L35" s="17"/>
      <c r="M35" s="1"/>
      <c r="N35" s="36"/>
    </row>
    <row r="36" ht="15" customHeight="1">
      <c r="A36" s="1"/>
      <c r="B36" s="41" t="s">
        <v>821</v>
      </c>
      <c r="C36" s="16" t="s">
        <v>807</v>
      </c>
      <c r="D36" s="17"/>
      <c r="E36" s="17"/>
      <c r="F36" s="17"/>
      <c r="G36" s="17"/>
      <c r="H36" s="17"/>
      <c r="I36" s="17"/>
      <c r="J36" s="17"/>
      <c r="K36" s="17"/>
      <c r="L36" s="17"/>
      <c r="M36" s="1"/>
      <c r="N36" s="36"/>
    </row>
    <row r="37" ht="15" customHeight="1">
      <c r="A37" s="1"/>
      <c r="B37" s="41" t="s">
        <v>822</v>
      </c>
      <c r="C37" s="16" t="s">
        <v>823</v>
      </c>
      <c r="D37" s="17"/>
      <c r="E37" s="17"/>
      <c r="F37" s="17"/>
      <c r="G37" s="17"/>
      <c r="H37" s="17"/>
      <c r="I37" s="17"/>
      <c r="J37" s="17"/>
      <c r="K37" s="17"/>
      <c r="L37" s="17"/>
      <c r="M37" s="1"/>
      <c r="N37" s="36"/>
    </row>
    <row r="38" ht="15" customHeight="1">
      <c r="A38" s="1"/>
      <c r="B38" s="41" t="s">
        <v>824</v>
      </c>
      <c r="C38" s="16" t="s">
        <v>791</v>
      </c>
      <c r="D38" s="17"/>
      <c r="E38" s="17"/>
      <c r="F38" s="17"/>
      <c r="G38" s="17"/>
      <c r="H38" s="17"/>
      <c r="I38" s="17"/>
      <c r="J38" s="17"/>
      <c r="K38" s="17"/>
      <c r="L38" s="17"/>
      <c r="M38" s="1"/>
      <c r="N38" s="36"/>
    </row>
    <row r="39" ht="15" customHeight="1">
      <c r="A39" s="1"/>
      <c r="B39" s="41" t="s">
        <v>825</v>
      </c>
      <c r="C39" s="90">
        <v>46295</v>
      </c>
      <c r="D39" s="17"/>
      <c r="E39" s="17"/>
      <c r="F39" s="17"/>
      <c r="G39" s="17"/>
      <c r="H39" s="17"/>
      <c r="I39" s="17"/>
      <c r="J39" s="17"/>
      <c r="K39" s="17"/>
      <c r="L39" s="17"/>
      <c r="M39" s="1"/>
      <c r="N39" s="36"/>
    </row>
    <row r="40" ht="15" customHeight="1">
      <c r="A40" s="1"/>
      <c r="B40" s="41" t="s">
        <v>826</v>
      </c>
      <c r="C40" s="90">
        <v>46316</v>
      </c>
      <c r="D40" s="17"/>
      <c r="E40" s="17"/>
      <c r="F40" s="17"/>
      <c r="G40" s="17"/>
      <c r="H40" s="17"/>
      <c r="I40" s="17"/>
      <c r="J40" s="17"/>
      <c r="K40" s="17"/>
      <c r="L40" s="17"/>
      <c r="M40" s="1"/>
      <c r="N40" s="36"/>
    </row>
    <row r="41" ht="15" customHeight="1">
      <c r="A41" s="1"/>
      <c r="B41" s="41" t="s">
        <v>796</v>
      </c>
      <c r="C41" s="16" t="s">
        <v>827</v>
      </c>
      <c r="D41" s="17"/>
      <c r="E41" s="17"/>
      <c r="F41" s="17"/>
      <c r="G41" s="17"/>
      <c r="H41" s="17"/>
      <c r="I41" s="17"/>
      <c r="J41" s="17"/>
      <c r="K41" s="17"/>
      <c r="L41" s="17"/>
      <c r="M41" s="1"/>
      <c r="N41" s="36"/>
    </row>
    <row r="42" ht="15" customHeight="1">
      <c r="A42" s="1"/>
      <c r="B42" s="41" t="s">
        <v>828</v>
      </c>
      <c r="C42" s="107">
        <v>11</v>
      </c>
      <c r="D42" s="17"/>
      <c r="E42" s="17"/>
      <c r="F42" s="17"/>
      <c r="G42" s="17"/>
      <c r="H42" s="17"/>
      <c r="I42" s="17"/>
      <c r="J42" s="17"/>
      <c r="K42" s="17"/>
      <c r="L42" s="17"/>
      <c r="M42" s="1"/>
      <c r="N42" s="36"/>
    </row>
    <row r="43" ht="15" customHeight="1">
      <c r="A43" s="1"/>
      <c r="B43" s="41" t="s">
        <v>829</v>
      </c>
      <c r="C43" s="107">
        <v>12</v>
      </c>
      <c r="D43" s="17"/>
      <c r="E43" s="17"/>
      <c r="F43" s="17"/>
      <c r="G43" s="17"/>
      <c r="H43" s="17"/>
      <c r="I43" s="17"/>
      <c r="J43" s="17"/>
      <c r="K43" s="17"/>
      <c r="L43" s="17"/>
      <c r="M43" s="1"/>
      <c r="N43" s="36"/>
    </row>
    <row r="44" ht="15" customHeight="1">
      <c r="A44" s="1"/>
      <c r="B44" s="41" t="s">
        <v>830</v>
      </c>
      <c r="C44" s="107">
        <v>29</v>
      </c>
      <c r="D44" s="17"/>
      <c r="E44" s="17"/>
      <c r="F44" s="17"/>
      <c r="G44" s="17"/>
      <c r="H44" s="17"/>
      <c r="I44" s="17"/>
      <c r="J44" s="17"/>
      <c r="K44" s="17"/>
      <c r="L44" s="17"/>
      <c r="M44" s="1"/>
      <c r="N44" s="36"/>
    </row>
    <row r="45" ht="15" customHeight="1">
      <c r="A45" s="1"/>
      <c r="B45" s="41" t="s">
        <v>831</v>
      </c>
      <c r="C45" s="107">
        <v>1.83</v>
      </c>
      <c r="D45" s="17"/>
      <c r="E45" s="17"/>
      <c r="F45" s="17"/>
      <c r="G45" s="17"/>
      <c r="H45" s="17"/>
      <c r="I45" s="17"/>
      <c r="J45" s="17"/>
      <c r="K45" s="17"/>
      <c r="L45" s="17"/>
      <c r="M45" s="1"/>
      <c r="N45" s="36"/>
    </row>
    <row r="46" ht="15" customHeight="1">
      <c r="A46" s="1"/>
      <c r="B46" s="41" t="s">
        <v>832</v>
      </c>
      <c r="C46" s="107">
        <v>1.81</v>
      </c>
      <c r="D46" s="17"/>
      <c r="E46" s="17"/>
      <c r="F46" s="17"/>
      <c r="G46" s="17"/>
      <c r="H46" s="17"/>
      <c r="I46" s="17"/>
      <c r="J46" s="17"/>
      <c r="K46" s="17"/>
      <c r="L46" s="17"/>
      <c r="M46" s="1"/>
      <c r="N46" s="36"/>
    </row>
    <row r="47" ht="15" customHeight="1">
      <c r="A47" s="1"/>
      <c r="B47" s="41" t="s">
        <v>833</v>
      </c>
      <c r="C47" s="107">
        <v>2.12</v>
      </c>
      <c r="D47" s="17"/>
      <c r="E47" s="17"/>
      <c r="F47" s="17"/>
      <c r="G47" s="17"/>
      <c r="H47" s="17"/>
      <c r="I47" s="17"/>
      <c r="J47" s="17"/>
      <c r="K47" s="17"/>
      <c r="L47" s="17"/>
      <c r="M47" s="1"/>
      <c r="N47" s="36"/>
    </row>
    <row r="48" ht="15" customHeight="1">
      <c r="A48" s="1"/>
      <c r="B48" s="41" t="s">
        <v>834</v>
      </c>
      <c r="C48" s="107">
        <v>1.71</v>
      </c>
      <c r="D48" s="17"/>
      <c r="E48" s="17"/>
      <c r="F48" s="17"/>
      <c r="G48" s="17"/>
      <c r="H48" s="17"/>
      <c r="I48" s="17"/>
      <c r="J48" s="17"/>
      <c r="K48" s="17"/>
      <c r="L48" s="17"/>
      <c r="M48" s="1"/>
      <c r="N48" s="36"/>
    </row>
    <row r="49" ht="15" customHeight="1">
      <c r="A49" s="1"/>
      <c r="B49" s="41" t="s">
        <v>835</v>
      </c>
      <c r="C49" s="107">
        <v>0.1</v>
      </c>
      <c r="D49" s="17"/>
      <c r="E49" s="17"/>
      <c r="F49" s="17"/>
      <c r="G49" s="17"/>
      <c r="H49" s="17"/>
      <c r="I49" s="17"/>
      <c r="J49" s="17"/>
      <c r="K49" s="17"/>
      <c r="L49" s="17"/>
      <c r="M49" s="1"/>
      <c r="N49" s="36"/>
    </row>
    <row r="50" ht="15" customHeight="1">
      <c r="A50" s="1"/>
      <c r="B50" s="41" t="s">
        <v>836</v>
      </c>
      <c r="C50" s="107">
        <v>11</v>
      </c>
      <c r="D50" s="17"/>
      <c r="E50" s="17"/>
      <c r="F50" s="17"/>
      <c r="G50" s="17"/>
      <c r="H50" s="17"/>
      <c r="I50" s="17"/>
      <c r="J50" s="17"/>
      <c r="K50" s="17"/>
      <c r="L50" s="17"/>
      <c r="M50" s="1"/>
      <c r="N50" s="36"/>
    </row>
    <row r="51" ht="15" customHeight="1">
      <c r="A51" s="1"/>
      <c r="B51" s="41" t="s">
        <v>837</v>
      </c>
      <c r="C51" s="17"/>
      <c r="D51" s="17" t="s">
        <v>838</v>
      </c>
      <c r="E51" s="17"/>
      <c r="F51" s="17"/>
      <c r="G51" s="17"/>
      <c r="H51" s="17"/>
      <c r="I51" s="17"/>
      <c r="J51" s="17"/>
      <c r="K51" s="17"/>
      <c r="L51" s="17"/>
      <c r="M51" s="1"/>
      <c r="N51" s="36"/>
    </row>
    <row r="52" ht="15" customHeight="1">
      <c r="A52" s="1"/>
      <c r="B52" s="41" t="s">
        <v>839</v>
      </c>
      <c r="C52" s="17"/>
      <c r="D52" s="17" t="s">
        <v>838</v>
      </c>
      <c r="E52" s="17"/>
      <c r="F52" s="17"/>
      <c r="G52" s="17"/>
      <c r="H52" s="17"/>
      <c r="I52" s="17"/>
      <c r="J52" s="17"/>
      <c r="K52" s="17"/>
      <c r="L52" s="17"/>
      <c r="M52" s="1"/>
      <c r="N52" s="36"/>
    </row>
    <row r="53" ht="15" customHeight="1">
      <c r="A53" s="1"/>
      <c r="B53" s="41" t="s">
        <v>840</v>
      </c>
      <c r="C53" s="17"/>
      <c r="D53" s="17" t="s">
        <v>838</v>
      </c>
      <c r="E53" s="17"/>
      <c r="F53" s="17"/>
      <c r="G53" s="17"/>
      <c r="H53" s="17"/>
      <c r="I53" s="17"/>
      <c r="J53" s="17"/>
      <c r="K53" s="17"/>
      <c r="L53" s="17"/>
      <c r="M53" s="1"/>
      <c r="N53" s="36"/>
    </row>
    <row r="54" ht="15" customHeight="1">
      <c r="A54" s="1"/>
      <c r="B54" s="41" t="s">
        <v>841</v>
      </c>
      <c r="C54" s="107">
        <v>1.75</v>
      </c>
      <c r="D54" s="17"/>
      <c r="E54" s="17"/>
      <c r="F54" s="17"/>
      <c r="G54" s="17"/>
      <c r="H54" s="17"/>
      <c r="I54" s="17"/>
      <c r="J54" s="17"/>
      <c r="K54" s="17"/>
      <c r="L54" s="17"/>
      <c r="M54" s="1"/>
      <c r="N54" s="36"/>
    </row>
    <row r="55" ht="15" customHeight="1">
      <c r="A55" s="1"/>
      <c r="B55" s="41" t="s">
        <v>842</v>
      </c>
      <c r="C55" s="107">
        <v>1.75</v>
      </c>
      <c r="D55" s="17"/>
      <c r="E55" s="17"/>
      <c r="F55" s="17"/>
      <c r="G55" s="17"/>
      <c r="H55" s="17"/>
      <c r="I55" s="17"/>
      <c r="J55" s="17"/>
      <c r="K55" s="17"/>
      <c r="L55" s="17"/>
      <c r="M55" s="1"/>
      <c r="N55" s="36"/>
    </row>
    <row r="56" ht="15" customHeight="1">
      <c r="A56" s="1"/>
      <c r="B56" s="41" t="s">
        <v>843</v>
      </c>
      <c r="C56" s="107">
        <v>1.87</v>
      </c>
      <c r="D56" s="17"/>
      <c r="E56" s="17"/>
      <c r="F56" s="17"/>
      <c r="G56" s="17"/>
      <c r="H56" s="17"/>
      <c r="I56" s="17"/>
      <c r="J56" s="17"/>
      <c r="K56" s="17"/>
      <c r="L56" s="17"/>
      <c r="M56" s="1"/>
      <c r="N56" s="36"/>
    </row>
    <row r="57" ht="15" customHeight="1">
      <c r="A57" s="1"/>
      <c r="B57" s="41" t="s">
        <v>844</v>
      </c>
      <c r="C57" s="107">
        <v>1.63</v>
      </c>
      <c r="D57" s="17"/>
      <c r="E57" s="17"/>
      <c r="F57" s="17"/>
      <c r="G57" s="17"/>
      <c r="H57" s="17"/>
      <c r="I57" s="17"/>
      <c r="J57" s="17"/>
      <c r="K57" s="17"/>
      <c r="L57" s="17"/>
      <c r="M57" s="1"/>
      <c r="N57" s="36"/>
    </row>
    <row r="58" ht="15" customHeight="1">
      <c r="A58" s="1"/>
      <c r="B58" s="41" t="s">
        <v>845</v>
      </c>
      <c r="C58" s="107">
        <v>0.07</v>
      </c>
      <c r="D58" s="17"/>
      <c r="E58" s="17"/>
      <c r="F58" s="17"/>
      <c r="G58" s="17"/>
      <c r="H58" s="17"/>
      <c r="I58" s="17"/>
      <c r="J58" s="17"/>
      <c r="K58" s="17"/>
      <c r="L58" s="17"/>
      <c r="M58" s="1"/>
      <c r="N58" s="36"/>
    </row>
    <row r="59" ht="15" customHeight="1">
      <c r="A59" s="1"/>
      <c r="B59" s="41" t="s">
        <v>846</v>
      </c>
      <c r="C59" s="107">
        <v>7</v>
      </c>
      <c r="D59" s="17"/>
      <c r="E59" s="17"/>
      <c r="F59" s="17"/>
      <c r="G59" s="17"/>
      <c r="H59" s="17"/>
      <c r="I59" s="17"/>
      <c r="J59" s="17"/>
      <c r="K59" s="17"/>
      <c r="L59" s="17"/>
      <c r="M59" s="1"/>
      <c r="N59" s="36"/>
    </row>
    <row r="60" ht="15" customHeight="1">
      <c r="A60" s="1"/>
      <c r="B60" s="41" t="s">
        <v>847</v>
      </c>
      <c r="C60" s="17"/>
      <c r="D60" s="17" t="s">
        <v>838</v>
      </c>
      <c r="E60" s="17"/>
      <c r="F60" s="17"/>
      <c r="G60" s="17"/>
      <c r="H60" s="17"/>
      <c r="I60" s="17"/>
      <c r="J60" s="17"/>
      <c r="K60" s="17"/>
      <c r="L60" s="17"/>
      <c r="M60" s="1"/>
      <c r="N60" s="36"/>
    </row>
    <row r="61" ht="15" customHeight="1">
      <c r="A61" s="1"/>
      <c r="B61" s="41" t="s">
        <v>848</v>
      </c>
      <c r="C61" s="17"/>
      <c r="D61" s="17" t="s">
        <v>838</v>
      </c>
      <c r="E61" s="17"/>
      <c r="F61" s="17"/>
      <c r="G61" s="17"/>
      <c r="H61" s="17"/>
      <c r="I61" s="17"/>
      <c r="J61" s="17"/>
      <c r="K61" s="17"/>
      <c r="L61" s="17"/>
      <c r="M61" s="1"/>
      <c r="N61" s="36"/>
    </row>
    <row r="62" ht="15" customHeight="1">
      <c r="A62" s="1"/>
      <c r="B62" s="41" t="s">
        <v>849</v>
      </c>
      <c r="C62" s="17"/>
      <c r="D62" s="17" t="s">
        <v>838</v>
      </c>
      <c r="E62" s="17"/>
      <c r="F62" s="17"/>
      <c r="G62" s="17"/>
      <c r="H62" s="17"/>
      <c r="I62" s="17"/>
      <c r="J62" s="17"/>
      <c r="K62" s="17"/>
      <c r="L62" s="17"/>
      <c r="M62" s="1"/>
      <c r="N62" s="36"/>
    </row>
    <row r="63" ht="15" customHeight="1">
      <c r="A63" s="1"/>
      <c r="B63" s="41" t="s">
        <v>850</v>
      </c>
      <c r="C63" s="107">
        <v>10094.87</v>
      </c>
      <c r="D63" s="17"/>
      <c r="E63" s="17"/>
      <c r="F63" s="17"/>
      <c r="G63" s="17"/>
      <c r="H63" s="17"/>
      <c r="I63" s="17"/>
      <c r="J63" s="17"/>
      <c r="K63" s="17"/>
      <c r="L63" s="17"/>
      <c r="M63" s="1"/>
      <c r="N63" s="36"/>
    </row>
    <row r="64" ht="15" customHeight="1">
      <c r="A64" s="1"/>
      <c r="B64" s="41" t="s">
        <v>851</v>
      </c>
      <c r="C64" s="107">
        <v>10100</v>
      </c>
      <c r="D64" s="17"/>
      <c r="E64" s="17"/>
      <c r="F64" s="17"/>
      <c r="G64" s="17"/>
      <c r="H64" s="17"/>
      <c r="I64" s="17"/>
      <c r="J64" s="17"/>
      <c r="K64" s="17"/>
      <c r="L64" s="17"/>
      <c r="M64" s="1"/>
      <c r="N64" s="36"/>
    </row>
    <row r="65" ht="15" customHeight="1">
      <c r="A65" s="1"/>
      <c r="B65" s="41" t="s">
        <v>852</v>
      </c>
      <c r="C65" s="107">
        <v>10211</v>
      </c>
      <c r="D65" s="17"/>
      <c r="E65" s="17"/>
      <c r="F65" s="17"/>
      <c r="G65" s="17"/>
      <c r="H65" s="17"/>
      <c r="I65" s="17"/>
      <c r="J65" s="17"/>
      <c r="K65" s="17"/>
      <c r="L65" s="17"/>
      <c r="M65" s="1"/>
      <c r="N65" s="36"/>
    </row>
    <row r="66" ht="15" customHeight="1">
      <c r="A66" s="1"/>
      <c r="B66" s="41" t="s">
        <v>853</v>
      </c>
      <c r="C66" s="107">
        <v>9966</v>
      </c>
      <c r="D66" s="17"/>
      <c r="E66" s="17"/>
      <c r="F66" s="17"/>
      <c r="G66" s="17"/>
      <c r="H66" s="17"/>
      <c r="I66" s="17"/>
      <c r="J66" s="17"/>
      <c r="K66" s="17"/>
      <c r="L66" s="17"/>
      <c r="M66" s="1"/>
      <c r="N66" s="36"/>
    </row>
    <row r="67" ht="15" customHeight="1">
      <c r="A67" s="1"/>
      <c r="B67" s="41" t="s">
        <v>854</v>
      </c>
      <c r="C67" s="107">
        <v>64.59</v>
      </c>
      <c r="D67" s="17"/>
      <c r="E67" s="17"/>
      <c r="F67" s="17"/>
      <c r="G67" s="17"/>
      <c r="H67" s="17"/>
      <c r="I67" s="17"/>
      <c r="J67" s="17"/>
      <c r="K67" s="17"/>
      <c r="L67" s="17"/>
      <c r="M67" s="1"/>
      <c r="N67" s="36"/>
    </row>
    <row r="68" ht="15" customHeight="1">
      <c r="A68" s="1"/>
      <c r="B68" s="41" t="s">
        <v>855</v>
      </c>
      <c r="C68" s="107">
        <v>17</v>
      </c>
      <c r="D68" s="17"/>
      <c r="E68" s="17"/>
      <c r="F68" s="17"/>
      <c r="G68" s="17"/>
      <c r="H68" s="17"/>
      <c r="I68" s="17"/>
      <c r="J68" s="17"/>
      <c r="K68" s="17"/>
      <c r="L68" s="17"/>
      <c r="M68" s="1"/>
      <c r="N68" s="36"/>
    </row>
    <row r="69" ht="15" customHeight="1">
      <c r="A69" s="1"/>
      <c r="B69" s="41" t="s">
        <v>856</v>
      </c>
      <c r="C69" s="17"/>
      <c r="D69" s="17" t="s">
        <v>838</v>
      </c>
      <c r="E69" s="17"/>
      <c r="F69" s="17"/>
      <c r="G69" s="17"/>
      <c r="H69" s="17"/>
      <c r="I69" s="17"/>
      <c r="J69" s="17"/>
      <c r="K69" s="17"/>
      <c r="L69" s="17"/>
      <c r="M69" s="1"/>
      <c r="N69" s="36"/>
    </row>
    <row r="70" ht="15" customHeight="1">
      <c r="A70" s="1"/>
      <c r="B70" s="41" t="s">
        <v>857</v>
      </c>
      <c r="C70" s="17"/>
      <c r="D70" s="17" t="s">
        <v>838</v>
      </c>
      <c r="E70" s="17"/>
      <c r="F70" s="17"/>
      <c r="G70" s="17"/>
      <c r="H70" s="17"/>
      <c r="I70" s="17"/>
      <c r="J70" s="17"/>
      <c r="K70" s="17"/>
      <c r="L70" s="17"/>
      <c r="M70" s="1"/>
      <c r="N70" s="36"/>
    </row>
    <row r="71" ht="15" customHeight="1">
      <c r="A71" s="1"/>
      <c r="B71" s="41" t="s">
        <v>858</v>
      </c>
      <c r="C71" s="17"/>
      <c r="D71" s="17" t="s">
        <v>838</v>
      </c>
      <c r="E71" s="17"/>
      <c r="F71" s="17"/>
      <c r="G71" s="17"/>
      <c r="H71" s="17"/>
      <c r="I71" s="17"/>
      <c r="J71" s="17"/>
      <c r="K71" s="17"/>
      <c r="L71" s="17"/>
      <c r="M71" s="1"/>
      <c r="N71" s="36"/>
    </row>
    <row r="72" ht="15" customHeight="1">
      <c r="A72" s="1"/>
      <c r="B72" s="41" t="s">
        <v>859</v>
      </c>
      <c r="C72" s="107">
        <v>3243.69</v>
      </c>
      <c r="D72" s="17"/>
      <c r="E72" s="17"/>
      <c r="F72" s="17"/>
      <c r="G72" s="17"/>
      <c r="H72" s="17"/>
      <c r="I72" s="17"/>
      <c r="J72" s="17"/>
      <c r="K72" s="17"/>
      <c r="L72" s="17"/>
      <c r="M72" s="1"/>
      <c r="N72" s="36" t="s">
        <v>860</v>
      </c>
    </row>
    <row r="73" ht="15" customHeight="1">
      <c r="A73" s="1"/>
      <c r="B73" s="41" t="s">
        <v>861</v>
      </c>
      <c r="C73" s="107">
        <v>2956.11</v>
      </c>
      <c r="D73" s="17"/>
      <c r="E73" s="17"/>
      <c r="F73" s="17"/>
      <c r="G73" s="17"/>
      <c r="H73" s="17"/>
      <c r="I73" s="17"/>
      <c r="J73" s="17"/>
      <c r="K73" s="17"/>
      <c r="L73" s="17"/>
      <c r="M73" s="1"/>
      <c r="N73" s="36"/>
    </row>
    <row r="74" ht="15" customHeight="1">
      <c r="A74" s="1"/>
      <c r="B74" s="41" t="s">
        <v>862</v>
      </c>
      <c r="C74" s="107">
        <v>2981.89</v>
      </c>
      <c r="D74" s="17"/>
      <c r="E74" s="17"/>
      <c r="F74" s="17"/>
      <c r="G74" s="17"/>
      <c r="H74" s="17"/>
      <c r="I74" s="17"/>
      <c r="J74" s="17"/>
      <c r="K74" s="17"/>
      <c r="L74" s="17"/>
      <c r="M74" s="1"/>
      <c r="N74" s="36"/>
    </row>
    <row r="75" ht="15" customHeight="1">
      <c r="A75" s="1"/>
      <c r="B75" s="41" t="s">
        <v>863</v>
      </c>
      <c r="C75" s="107">
        <v>2850</v>
      </c>
      <c r="D75" s="17"/>
      <c r="E75" s="17"/>
      <c r="F75" s="17"/>
      <c r="G75" s="17"/>
      <c r="H75" s="17"/>
      <c r="I75" s="17"/>
      <c r="J75" s="17"/>
      <c r="K75" s="17"/>
      <c r="L75" s="17"/>
      <c r="M75" s="1"/>
      <c r="N75" s="36"/>
    </row>
    <row r="76" ht="15" customHeight="1">
      <c r="A76" s="1"/>
      <c r="B76" s="41" t="s">
        <v>864</v>
      </c>
      <c r="C76" s="107">
        <v>2099.86</v>
      </c>
      <c r="D76" s="17"/>
      <c r="E76" s="17"/>
      <c r="F76" s="17"/>
      <c r="G76" s="17"/>
      <c r="H76" s="17"/>
      <c r="I76" s="17"/>
      <c r="J76" s="17"/>
      <c r="K76" s="17"/>
      <c r="L76" s="17"/>
      <c r="M76" s="1"/>
      <c r="N76" s="36"/>
    </row>
    <row r="77" ht="15" customHeight="1">
      <c r="A77" s="1"/>
      <c r="B77" s="41" t="s">
        <v>865</v>
      </c>
      <c r="C77" s="107">
        <v>2054.35</v>
      </c>
      <c r="D77" s="17"/>
      <c r="E77" s="17"/>
      <c r="F77" s="17"/>
      <c r="G77" s="17"/>
      <c r="H77" s="17"/>
      <c r="I77" s="17"/>
      <c r="J77" s="17"/>
      <c r="K77" s="17"/>
      <c r="L77" s="17"/>
      <c r="M77" s="1"/>
      <c r="N77" s="36"/>
    </row>
    <row r="78" ht="15" customHeight="1">
      <c r="A78" s="1"/>
      <c r="B78" s="41" t="s">
        <v>866</v>
      </c>
      <c r="C78" s="17"/>
      <c r="D78" s="17" t="s">
        <v>838</v>
      </c>
      <c r="E78" s="17"/>
      <c r="F78" s="17"/>
      <c r="G78" s="17"/>
      <c r="H78" s="17"/>
      <c r="I78" s="17"/>
      <c r="J78" s="17"/>
      <c r="K78" s="17"/>
      <c r="L78" s="17"/>
      <c r="M78" s="1"/>
      <c r="N78" s="36"/>
    </row>
    <row r="79" ht="15" customHeight="1">
      <c r="A79" s="1"/>
      <c r="B79" s="41" t="s">
        <v>867</v>
      </c>
      <c r="C79" s="17"/>
      <c r="D79" s="17" t="s">
        <v>838</v>
      </c>
      <c r="E79" s="17"/>
      <c r="F79" s="17"/>
      <c r="G79" s="17"/>
      <c r="H79" s="17"/>
      <c r="I79" s="17"/>
      <c r="J79" s="17"/>
      <c r="K79" s="17"/>
      <c r="L79" s="17"/>
      <c r="M79" s="1"/>
      <c r="N79" s="36"/>
    </row>
    <row r="80" ht="15" customHeight="1">
      <c r="A80" s="1"/>
      <c r="B80" s="41" t="s">
        <v>868</v>
      </c>
      <c r="C80" s="107">
        <v>314.2</v>
      </c>
      <c r="D80" s="17"/>
      <c r="E80" s="17"/>
      <c r="F80" s="17"/>
      <c r="G80" s="17"/>
      <c r="H80" s="17"/>
      <c r="I80" s="17"/>
      <c r="J80" s="17"/>
      <c r="K80" s="17"/>
      <c r="L80" s="17"/>
      <c r="M80" s="1"/>
      <c r="N80" s="36"/>
    </row>
    <row r="81" ht="15" customHeight="1">
      <c r="A81" s="1"/>
      <c r="B81" s="41" t="s">
        <v>869</v>
      </c>
      <c r="C81" s="17"/>
      <c r="D81" s="17" t="s">
        <v>838</v>
      </c>
      <c r="E81" s="17"/>
      <c r="F81" s="17"/>
      <c r="G81" s="17"/>
      <c r="H81" s="17"/>
      <c r="I81" s="17"/>
      <c r="J81" s="17"/>
      <c r="K81" s="17"/>
      <c r="L81" s="17"/>
      <c r="M81" s="1"/>
      <c r="N81" s="36"/>
    </row>
    <row r="82" ht="15" customHeight="1">
      <c r="A82" s="1"/>
      <c r="B82" s="41" t="s">
        <v>870</v>
      </c>
      <c r="C82" s="17"/>
      <c r="D82" s="17" t="s">
        <v>838</v>
      </c>
      <c r="E82" s="17"/>
      <c r="F82" s="17"/>
      <c r="G82" s="17"/>
      <c r="H82" s="17"/>
      <c r="I82" s="17"/>
      <c r="J82" s="17"/>
      <c r="K82" s="17"/>
      <c r="L82" s="17"/>
      <c r="M82" s="1"/>
      <c r="N82" s="36"/>
    </row>
    <row r="83" ht="15" customHeight="1">
      <c r="A83" s="1"/>
      <c r="B83" s="41" t="s">
        <v>871</v>
      </c>
      <c r="C83" s="17"/>
      <c r="D83" s="17" t="s">
        <v>838</v>
      </c>
      <c r="E83" s="17"/>
      <c r="F83" s="17"/>
      <c r="G83" s="17"/>
      <c r="H83" s="17"/>
      <c r="I83" s="17"/>
      <c r="J83" s="17"/>
      <c r="K83" s="17"/>
      <c r="L83" s="17"/>
      <c r="M83" s="1"/>
      <c r="N83" s="36"/>
    </row>
    <row r="84" ht="15" customHeight="1">
      <c r="A84" s="1"/>
      <c r="B84" s="41" t="s">
        <v>872</v>
      </c>
      <c r="C84" s="107">
        <v>-32</v>
      </c>
      <c r="D84" s="17"/>
      <c r="E84" s="17"/>
      <c r="F84" s="17"/>
      <c r="G84" s="17"/>
      <c r="H84" s="17"/>
      <c r="I84" s="17"/>
      <c r="J84" s="17"/>
      <c r="K84" s="17"/>
      <c r="L84" s="17"/>
      <c r="M84" s="1"/>
      <c r="N84" s="36"/>
    </row>
    <row r="85" ht="15" customHeight="1">
      <c r="A85" s="1"/>
      <c r="B85" s="41" t="s">
        <v>873</v>
      </c>
      <c r="C85" s="107">
        <v>-1236.49</v>
      </c>
      <c r="D85" s="17"/>
      <c r="E85" s="17"/>
      <c r="F85" s="17"/>
      <c r="G85" s="17"/>
      <c r="H85" s="17"/>
      <c r="I85" s="17"/>
      <c r="J85" s="17"/>
      <c r="K85" s="17"/>
      <c r="L85" s="17"/>
      <c r="M85" s="1"/>
      <c r="N85" s="36"/>
    </row>
    <row r="86" ht="15" customHeight="1">
      <c r="A86" s="1"/>
      <c r="B86" s="41" t="s">
        <v>874</v>
      </c>
      <c r="C86" s="17"/>
      <c r="D86" s="17" t="s">
        <v>838</v>
      </c>
      <c r="E86" s="17"/>
      <c r="F86" s="17"/>
      <c r="G86" s="17"/>
      <c r="H86" s="17"/>
      <c r="I86" s="17"/>
      <c r="J86" s="17"/>
      <c r="K86" s="17"/>
      <c r="L86" s="17"/>
      <c r="M86" s="1"/>
      <c r="N86" s="36"/>
    </row>
    <row r="87" ht="15" customHeight="1">
      <c r="A87" s="1"/>
      <c r="B87" s="41" t="s">
        <v>875</v>
      </c>
      <c r="C87" s="17"/>
      <c r="D87" s="17" t="s">
        <v>838</v>
      </c>
      <c r="E87" s="17"/>
      <c r="F87" s="17"/>
      <c r="G87" s="17"/>
      <c r="H87" s="17"/>
      <c r="I87" s="17"/>
      <c r="J87" s="17"/>
      <c r="K87" s="17"/>
      <c r="L87" s="17"/>
      <c r="M87" s="1"/>
      <c r="N87" s="36"/>
    </row>
    <row r="88" ht="15" customHeight="1">
      <c r="A88" s="1"/>
      <c r="B88" s="41" t="s">
        <v>876</v>
      </c>
      <c r="C88" s="107">
        <v>213.62</v>
      </c>
      <c r="D88" s="17"/>
      <c r="E88" s="17"/>
      <c r="F88" s="17"/>
      <c r="G88" s="17"/>
      <c r="H88" s="17"/>
      <c r="I88" s="17"/>
      <c r="J88" s="17"/>
      <c r="K88" s="17"/>
      <c r="L88" s="17"/>
      <c r="M88" s="1"/>
      <c r="N88" s="36"/>
    </row>
    <row r="89" ht="15" customHeight="1">
      <c r="A89" s="1"/>
      <c r="B89" s="41" t="s">
        <v>877</v>
      </c>
      <c r="C89" s="107">
        <v>212.5</v>
      </c>
      <c r="D89" s="17"/>
      <c r="E89" s="17"/>
      <c r="F89" s="17"/>
      <c r="G89" s="17"/>
      <c r="H89" s="17"/>
      <c r="I89" s="17"/>
      <c r="J89" s="17"/>
      <c r="K89" s="17"/>
      <c r="L89" s="17"/>
      <c r="M89" s="1"/>
      <c r="N89" s="36"/>
    </row>
    <row r="90" ht="15" customHeight="1">
      <c r="A90" s="1"/>
      <c r="B90" s="41" t="s">
        <v>878</v>
      </c>
      <c r="C90" s="107">
        <v>290</v>
      </c>
      <c r="D90" s="17"/>
      <c r="E90" s="17"/>
      <c r="F90" s="17"/>
      <c r="G90" s="17"/>
      <c r="H90" s="17"/>
      <c r="I90" s="17"/>
      <c r="J90" s="17"/>
      <c r="K90" s="17"/>
      <c r="L90" s="17"/>
      <c r="M90" s="1"/>
      <c r="N90" s="36"/>
    </row>
    <row r="91" ht="15" customHeight="1">
      <c r="A91" s="1"/>
      <c r="B91" s="41" t="s">
        <v>879</v>
      </c>
      <c r="C91" s="107">
        <v>160</v>
      </c>
      <c r="D91" s="17"/>
      <c r="E91" s="17"/>
      <c r="F91" s="17"/>
      <c r="G91" s="17"/>
      <c r="H91" s="17"/>
      <c r="I91" s="17"/>
      <c r="J91" s="17"/>
      <c r="K91" s="17"/>
      <c r="L91" s="17"/>
      <c r="M91" s="1"/>
      <c r="N91" s="36"/>
    </row>
    <row r="92" ht="15" customHeight="1">
      <c r="A92" s="1"/>
      <c r="B92" s="41" t="s">
        <v>880</v>
      </c>
      <c r="C92" s="107">
        <v>29.43</v>
      </c>
      <c r="D92" s="17"/>
      <c r="E92" s="17"/>
      <c r="F92" s="17"/>
      <c r="G92" s="17"/>
      <c r="H92" s="17"/>
      <c r="I92" s="17"/>
      <c r="J92" s="17"/>
      <c r="K92" s="17"/>
      <c r="L92" s="17"/>
      <c r="M92" s="1"/>
      <c r="N92" s="36"/>
    </row>
    <row r="93" ht="15" customHeight="1">
      <c r="A93" s="1"/>
      <c r="B93" s="41" t="s">
        <v>881</v>
      </c>
      <c r="C93" s="107">
        <v>26</v>
      </c>
      <c r="D93" s="17"/>
      <c r="E93" s="17"/>
      <c r="F93" s="17"/>
      <c r="G93" s="17"/>
      <c r="H93" s="17"/>
      <c r="I93" s="17"/>
      <c r="J93" s="17"/>
      <c r="K93" s="17"/>
      <c r="L93" s="17"/>
      <c r="M93" s="1"/>
      <c r="N93" s="36"/>
    </row>
    <row r="94" ht="15" customHeight="1">
      <c r="A94" s="1"/>
      <c r="B94" s="41" t="s">
        <v>882</v>
      </c>
      <c r="C94" s="16" t="s">
        <v>883</v>
      </c>
      <c r="D94" s="17"/>
      <c r="E94" s="17"/>
      <c r="F94" s="17"/>
      <c r="G94" s="17"/>
      <c r="H94" s="17"/>
      <c r="I94" s="17"/>
      <c r="J94" s="17"/>
      <c r="K94" s="17"/>
      <c r="L94" s="17"/>
      <c r="M94" s="1"/>
      <c r="N94" s="36"/>
    </row>
    <row r="95" ht="15" customHeight="1">
      <c r="A95" s="1"/>
      <c r="B95" s="41" t="s">
        <v>884</v>
      </c>
      <c r="C95" s="107">
        <v>1.39</v>
      </c>
      <c r="D95" s="17"/>
      <c r="E95" s="17"/>
      <c r="F95" s="17"/>
      <c r="G95" s="17"/>
      <c r="H95" s="17"/>
      <c r="I95" s="17"/>
      <c r="J95" s="17"/>
      <c r="K95" s="17"/>
      <c r="L95" s="17"/>
      <c r="M95" s="1"/>
      <c r="N95" s="36"/>
    </row>
    <row r="96" ht="15" customHeight="1">
      <c r="A96" s="1"/>
      <c r="B96" s="41" t="s">
        <v>885</v>
      </c>
      <c r="C96" s="107">
        <v>199.22</v>
      </c>
      <c r="D96" s="17"/>
      <c r="E96" s="17"/>
      <c r="F96" s="17"/>
      <c r="G96" s="17"/>
      <c r="H96" s="17"/>
      <c r="I96" s="17"/>
      <c r="J96" s="17"/>
      <c r="K96" s="17"/>
      <c r="L96" s="17"/>
      <c r="M96" s="1"/>
      <c r="N96" s="36"/>
    </row>
    <row r="97" ht="15" customHeight="1">
      <c r="A97" s="1"/>
      <c r="B97" s="41" t="s">
        <v>886</v>
      </c>
      <c r="C97" s="16" t="s">
        <v>887</v>
      </c>
      <c r="D97" s="17"/>
      <c r="E97" s="17"/>
      <c r="F97" s="17"/>
      <c r="G97" s="17"/>
      <c r="H97" s="17"/>
      <c r="I97" s="17"/>
      <c r="J97" s="17"/>
      <c r="K97" s="17"/>
      <c r="L97" s="17"/>
      <c r="M97" s="1"/>
      <c r="N97" s="36"/>
    </row>
    <row r="98" ht="15" customHeight="1">
      <c r="A98" s="1"/>
      <c r="B98" s="41" t="s">
        <v>888</v>
      </c>
      <c r="C98" s="90">
        <v>46313</v>
      </c>
      <c r="D98" s="17"/>
      <c r="E98" s="17"/>
      <c r="F98" s="17"/>
      <c r="G98" s="17"/>
      <c r="H98" s="17"/>
      <c r="I98" s="17"/>
      <c r="J98" s="17"/>
      <c r="K98" s="17"/>
      <c r="L98" s="17"/>
      <c r="M98" s="1"/>
      <c r="N98" s="36"/>
    </row>
    <row r="99" ht="15" customHeight="1">
      <c r="A99" s="1"/>
      <c r="B99" s="108" t="s">
        <v>889</v>
      </c>
      <c r="C99" s="102" t="s">
        <v>890</v>
      </c>
      <c r="D99" s="17"/>
      <c r="E99" s="17"/>
      <c r="F99" s="17"/>
      <c r="G99" s="17"/>
      <c r="H99" s="17"/>
      <c r="I99" s="17"/>
      <c r="J99" s="17"/>
      <c r="K99" s="17"/>
      <c r="L99" s="17"/>
      <c r="M99" s="1"/>
      <c r="N99" s="36"/>
    </row>
    <row r="100" ht="1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6"/>
    </row>
    <row r="101" ht="15" customHeight="1">
      <c r="A101" s="1"/>
      <c r="B101" s="25" t="s">
        <v>891</v>
      </c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6"/>
    </row>
    <row r="102" ht="15" customHeight="1">
      <c r="A102" s="1"/>
      <c r="B102" s="18" t="s">
        <v>792</v>
      </c>
      <c r="C102" s="19" t="s">
        <v>892</v>
      </c>
      <c r="D102" s="19" t="s">
        <v>893</v>
      </c>
      <c r="E102" s="19" t="s">
        <v>894</v>
      </c>
      <c r="F102" s="19" t="s">
        <v>895</v>
      </c>
      <c r="G102" s="19" t="s">
        <v>896</v>
      </c>
      <c r="H102" s="19" t="s">
        <v>897</v>
      </c>
      <c r="I102" s="19" t="s">
        <v>898</v>
      </c>
      <c r="J102" s="19" t="s">
        <v>899</v>
      </c>
      <c r="K102" s="19" t="s">
        <v>900</v>
      </c>
      <c r="L102" s="19" t="s">
        <v>901</v>
      </c>
      <c r="M102" s="1"/>
      <c r="N102" s="36"/>
    </row>
    <row r="103" ht="15" customHeight="1">
      <c r="A103" s="1"/>
      <c r="B103" s="109">
        <v>45747</v>
      </c>
      <c r="C103" s="90">
        <v>45769</v>
      </c>
      <c r="D103" s="73">
        <v>1.29</v>
      </c>
      <c r="E103" s="73">
        <v>1.44</v>
      </c>
      <c r="F103" s="73">
        <v>1.19</v>
      </c>
      <c r="G103" s="73">
        <v>1.52</v>
      </c>
      <c r="H103" s="73">
        <v>9073.72</v>
      </c>
      <c r="I103" s="73">
        <v>9013</v>
      </c>
      <c r="J103" s="24" t="b">
        <f t="shared" si="0" ref="J103:J108">E103&gt;D103</f>
        <v>1</v>
      </c>
      <c r="K103" s="24">
        <f t="shared" si="1" ref="K103:K108">E103-D103</f>
        <v>0.1499999999999999</v>
      </c>
      <c r="L103" s="24" t="s">
        <v>902</v>
      </c>
      <c r="M103" s="1"/>
      <c r="N103" s="36"/>
    </row>
    <row r="104" ht="15" customHeight="1">
      <c r="A104" s="1"/>
      <c r="B104" s="109">
        <v>45838</v>
      </c>
      <c r="C104" s="90">
        <v>45860</v>
      </c>
      <c r="D104" s="73">
        <v>1.45</v>
      </c>
      <c r="E104" s="73">
        <v>1.5</v>
      </c>
      <c r="F104" s="73">
        <v>1.38</v>
      </c>
      <c r="G104" s="73">
        <v>1.45</v>
      </c>
      <c r="H104" s="73">
        <v>9085.05</v>
      </c>
      <c r="I104" s="73">
        <v>9027</v>
      </c>
      <c r="J104" s="24" t="b">
        <f t="shared" si="0"/>
        <v>1</v>
      </c>
      <c r="K104" s="24">
        <f t="shared" si="1"/>
        <v>0.050000000000000044</v>
      </c>
      <c r="L104" s="24" t="s">
        <v>903</v>
      </c>
      <c r="M104" s="1"/>
      <c r="N104" s="36"/>
    </row>
    <row r="105" ht="15" customHeight="1">
      <c r="A105" s="1"/>
      <c r="B105" s="109">
        <v>45930</v>
      </c>
      <c r="C105" s="90">
        <v>45952</v>
      </c>
      <c r="D105" s="73">
        <v>1.5</v>
      </c>
      <c r="E105" s="73">
        <v>1.59</v>
      </c>
      <c r="F105" s="73">
        <v>1.4</v>
      </c>
      <c r="G105" s="73">
        <v>1.72</v>
      </c>
      <c r="H105" s="73">
        <v>9086.54</v>
      </c>
      <c r="I105" s="73">
        <v>9076</v>
      </c>
      <c r="J105" s="24" t="b">
        <f t="shared" si="0"/>
        <v>1</v>
      </c>
      <c r="K105" s="24">
        <f t="shared" si="1"/>
        <v>0.09000000000000008</v>
      </c>
      <c r="L105" s="24" t="s">
        <v>4</v>
      </c>
      <c r="M105" s="1"/>
      <c r="N105" s="36"/>
    </row>
    <row r="106" ht="15" customHeight="1">
      <c r="A106" s="1"/>
      <c r="B106" s="109">
        <v>46022</v>
      </c>
      <c r="C106" s="90">
        <v>46051</v>
      </c>
      <c r="D106" s="73">
        <v>1.51</v>
      </c>
      <c r="E106" s="73">
        <v>1.62</v>
      </c>
      <c r="F106" s="73">
        <v>1.4</v>
      </c>
      <c r="G106" s="73">
        <v>1.58</v>
      </c>
      <c r="H106" s="73">
        <v>9755.65</v>
      </c>
      <c r="I106" s="73">
        <v>9684</v>
      </c>
      <c r="J106" s="24" t="b">
        <f t="shared" si="0"/>
        <v>1</v>
      </c>
      <c r="K106" s="24">
        <f t="shared" si="1"/>
        <v>0.1100000000000001</v>
      </c>
      <c r="L106" s="24" t="s">
        <v>5</v>
      </c>
      <c r="M106" s="1"/>
      <c r="N106" s="36"/>
    </row>
    <row r="107" ht="15" customHeight="1">
      <c r="A107" s="1"/>
      <c r="B107" s="109">
        <v>46112</v>
      </c>
      <c r="C107" s="90">
        <v>46135</v>
      </c>
      <c r="D107" s="73">
        <v>1.66</v>
      </c>
      <c r="E107" s="73">
        <v>1.72</v>
      </c>
      <c r="F107" s="73">
        <v>1.55</v>
      </c>
      <c r="G107" s="73">
        <v>1.66</v>
      </c>
      <c r="H107" s="73">
        <v>9554.56</v>
      </c>
      <c r="I107" s="73">
        <v>9555</v>
      </c>
      <c r="J107" s="24" t="b">
        <f t="shared" si="0"/>
        <v>1</v>
      </c>
      <c r="K107" s="24">
        <f t="shared" si="1"/>
        <v>0.06000000000000005</v>
      </c>
      <c r="L107" s="24" t="s">
        <v>6</v>
      </c>
      <c r="M107" s="1"/>
      <c r="N107" s="36"/>
    </row>
    <row r="108" ht="15" customHeight="1">
      <c r="A108" s="1"/>
      <c r="B108" s="109">
        <v>46203</v>
      </c>
      <c r="C108" s="90">
        <v>46226</v>
      </c>
      <c r="D108" s="73">
        <v>1.75</v>
      </c>
      <c r="E108" s="73">
        <v>1.59</v>
      </c>
      <c r="F108" s="73">
        <v>1.67</v>
      </c>
      <c r="G108" s="73">
        <v>1.89</v>
      </c>
      <c r="H108" s="73">
        <v>9879.4</v>
      </c>
      <c r="I108" s="73">
        <v>9877</v>
      </c>
      <c r="J108" s="24" t="b">
        <f t="shared" si="0"/>
        <v>0</v>
      </c>
      <c r="K108" s="24">
        <f t="shared" si="1"/>
        <v>-0.15999999999999992</v>
      </c>
      <c r="L108" s="24" t="s">
        <v>7</v>
      </c>
      <c r="M108" s="1"/>
      <c r="N108" s="36" t="s">
        <v>904</v>
      </c>
    </row>
    <row r="109" ht="15" customHeight="1">
      <c r="A109" s="1"/>
      <c r="B109" s="41" t="s">
        <v>905</v>
      </c>
      <c r="C109" s="24"/>
      <c r="D109" s="24"/>
      <c r="E109" s="24"/>
      <c r="F109" s="24"/>
      <c r="G109" s="24"/>
      <c r="H109" s="24"/>
      <c r="I109" s="24"/>
      <c r="J109" s="24"/>
      <c r="K109" s="24">
        <f>AVERAGE(K103:K108)</f>
        <v>0.050000000000000044</v>
      </c>
      <c r="L109" s="24"/>
      <c r="M109" s="1"/>
      <c r="N109" s="36" t="s">
        <v>906</v>
      </c>
    </row>
    <row r="110" ht="15" customHeight="1">
      <c r="A110" s="1"/>
      <c r="B110" s="41" t="s">
        <v>907</v>
      </c>
      <c r="C110" s="24"/>
      <c r="D110" s="24"/>
      <c r="E110" s="24"/>
      <c r="F110" s="24"/>
      <c r="G110" s="24"/>
      <c r="H110" s="24"/>
      <c r="I110" s="24"/>
      <c r="J110" s="24"/>
      <c r="K110" s="24">
        <f>STDEV(K103:K108)</f>
        <v>0.10899541274750967</v>
      </c>
      <c r="L110" s="24"/>
      <c r="M110" s="1"/>
      <c r="N110" s="36"/>
    </row>
    <row r="111" ht="1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6"/>
    </row>
    <row r="112" ht="15" customHeight="1">
      <c r="A112" s="1"/>
      <c r="B112" s="25" t="s">
        <v>908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6"/>
    </row>
    <row r="113" ht="15" customHeight="1">
      <c r="A113" s="1"/>
      <c r="B113" s="41" t="s">
        <v>909</v>
      </c>
      <c r="C113" s="61">
        <v>258.88</v>
      </c>
      <c r="D113" s="21"/>
      <c r="E113" s="21"/>
      <c r="F113" s="21"/>
      <c r="G113" s="21"/>
      <c r="H113" s="21"/>
      <c r="I113" s="21"/>
      <c r="J113" s="21"/>
      <c r="K113" s="21"/>
      <c r="L113" s="21"/>
      <c r="M113" s="1"/>
      <c r="N113" s="36" t="s">
        <v>910</v>
      </c>
    </row>
    <row r="114" ht="15" customHeight="1">
      <c r="A114" s="1"/>
      <c r="B114" s="41" t="s">
        <v>911</v>
      </c>
      <c r="C114" s="17" t="str">
        <f>IF(C113&gt;10,"large",IF(C113&gt;2,"mid","small"))</f>
        <v>large</v>
      </c>
      <c r="D114" s="17"/>
      <c r="E114" s="17"/>
      <c r="F114" s="17"/>
      <c r="G114" s="17"/>
      <c r="H114" s="17"/>
      <c r="I114" s="17"/>
      <c r="J114" s="17"/>
      <c r="K114" s="17"/>
      <c r="L114" s="17"/>
      <c r="M114" s="1"/>
      <c r="N114" s="36"/>
    </row>
    <row r="115" ht="15" customHeight="1">
      <c r="A115" s="1"/>
      <c r="B115" s="41" t="s">
        <v>913</v>
      </c>
      <c r="C115" s="17" t="s">
        <v>914</v>
      </c>
      <c r="D115" s="17"/>
      <c r="E115" s="17"/>
      <c r="F115" s="17"/>
      <c r="G115" s="17"/>
      <c r="H115" s="17"/>
      <c r="I115" s="17"/>
      <c r="J115" s="17"/>
      <c r="K115" s="17"/>
      <c r="L115" s="17"/>
      <c r="M115" s="1"/>
      <c r="N115" s="36" t="s">
        <v>915</v>
      </c>
    </row>
    <row r="116" ht="15" customHeight="1">
      <c r="A116" s="1"/>
      <c r="B116" s="58" t="s">
        <v>916</v>
      </c>
      <c r="C116" s="35">
        <f>IF(OR(C114="large",C115="Yes"),0.78,IF(C114="mid",0.7,0.6))</f>
        <v>0.78</v>
      </c>
      <c r="D116" s="35"/>
      <c r="E116" s="35"/>
      <c r="F116" s="35"/>
      <c r="G116" s="35"/>
      <c r="H116" s="35"/>
      <c r="I116" s="35"/>
      <c r="J116" s="35"/>
      <c r="K116" s="35"/>
      <c r="L116" s="35"/>
      <c r="M116" s="1"/>
      <c r="N116" s="36" t="s">
        <v>917</v>
      </c>
    </row>
    <row r="117" ht="15" customHeight="1">
      <c r="A117" s="1"/>
      <c r="B117" s="41" t="s">
        <v>918</v>
      </c>
      <c r="C117" s="66">
        <f>SUM(IF(E103&gt;D103,1,0),IF(E104&gt;D104,1,0),IF(E105&gt;D105,1,0),IF(E106&gt;D106,1,0),IF(E107&gt;D107,1,0),IF(E108&gt;D108,1,0))</f>
        <v>5</v>
      </c>
      <c r="D117" s="66"/>
      <c r="E117" s="66"/>
      <c r="F117" s="66"/>
      <c r="G117" s="66"/>
      <c r="H117" s="66"/>
      <c r="I117" s="66"/>
      <c r="J117" s="66"/>
      <c r="K117" s="66"/>
      <c r="L117" s="66"/>
      <c r="M117" s="1"/>
      <c r="N117" s="36"/>
    </row>
    <row r="118" ht="15" customHeight="1">
      <c r="A118" s="1"/>
      <c r="B118" s="41" t="s">
        <v>919</v>
      </c>
      <c r="C118" s="66">
        <f>COUNT(E103:E108)</f>
        <v>6</v>
      </c>
      <c r="D118" s="66"/>
      <c r="E118" s="66"/>
      <c r="F118" s="66"/>
      <c r="G118" s="66"/>
      <c r="H118" s="66"/>
      <c r="I118" s="66"/>
      <c r="J118" s="66"/>
      <c r="K118" s="66"/>
      <c r="L118" s="66"/>
      <c r="M118" s="1"/>
      <c r="N118" s="36"/>
    </row>
    <row r="119" ht="15" customHeight="1">
      <c r="A119" s="1"/>
      <c r="B119" s="41" t="s">
        <v>920</v>
      </c>
      <c r="C119" s="84">
        <v>8</v>
      </c>
      <c r="D119" s="66"/>
      <c r="E119" s="66"/>
      <c r="F119" s="66"/>
      <c r="G119" s="66"/>
      <c r="H119" s="66"/>
      <c r="I119" s="66"/>
      <c r="J119" s="66"/>
      <c r="K119" s="66"/>
      <c r="L119" s="66"/>
      <c r="M119" s="1"/>
      <c r="N119" s="36" t="s">
        <v>921</v>
      </c>
    </row>
    <row r="120" ht="15" customHeight="1">
      <c r="A120" s="1"/>
      <c r="B120" s="110" t="s">
        <v>922</v>
      </c>
      <c r="C120" s="31">
        <f>(C119*C116+C117)/(C119+C118)</f>
        <v>0.8028571428571428</v>
      </c>
      <c r="D120" s="31"/>
      <c r="E120" s="31"/>
      <c r="F120" s="31"/>
      <c r="G120" s="31"/>
      <c r="H120" s="31"/>
      <c r="I120" s="31"/>
      <c r="J120" s="31"/>
      <c r="K120" s="31"/>
      <c r="L120" s="31"/>
      <c r="M120" s="1"/>
      <c r="N120" s="36" t="s">
        <v>923</v>
      </c>
    </row>
    <row r="121" ht="15" customHeight="1">
      <c r="A121" s="1"/>
      <c r="B121" s="43" t="s">
        <v>924</v>
      </c>
      <c r="C121" s="56">
        <v>-0.38</v>
      </c>
      <c r="D121" s="35"/>
      <c r="E121" s="35"/>
      <c r="F121" s="35"/>
      <c r="G121" s="35"/>
      <c r="H121" s="35"/>
      <c r="I121" s="35"/>
      <c r="J121" s="35"/>
      <c r="K121" s="35"/>
      <c r="L121" s="35"/>
      <c r="M121" s="1"/>
      <c r="N121" s="36" t="s">
        <v>925</v>
      </c>
    </row>
    <row r="122" ht="15" customHeight="1">
      <c r="A122" s="1"/>
      <c r="B122" s="43" t="s">
        <v>926</v>
      </c>
      <c r="C122" s="56">
        <v>-0.06</v>
      </c>
      <c r="D122" s="35"/>
      <c r="E122" s="35"/>
      <c r="F122" s="35"/>
      <c r="G122" s="35"/>
      <c r="H122" s="35"/>
      <c r="I122" s="35"/>
      <c r="J122" s="35"/>
      <c r="K122" s="35"/>
      <c r="L122" s="35"/>
      <c r="M122" s="1"/>
      <c r="N122" s="36" t="s">
        <v>927</v>
      </c>
    </row>
    <row r="123" ht="15" customHeight="1">
      <c r="A123" s="1"/>
      <c r="B123" s="43" t="s">
        <v>928</v>
      </c>
      <c r="C123" s="56">
        <v>-0.04</v>
      </c>
      <c r="D123" s="35"/>
      <c r="E123" s="35"/>
      <c r="F123" s="35"/>
      <c r="G123" s="35"/>
      <c r="H123" s="35"/>
      <c r="I123" s="35"/>
      <c r="J123" s="35"/>
      <c r="K123" s="35"/>
      <c r="L123" s="35"/>
      <c r="M123" s="1"/>
      <c r="N123" s="36" t="s">
        <v>929</v>
      </c>
    </row>
    <row r="124" ht="15" customHeight="1">
      <c r="A124" s="1"/>
      <c r="B124" s="43" t="s">
        <v>930</v>
      </c>
      <c r="C124" s="56">
        <v>0.04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1"/>
      <c r="N124" s="36" t="s">
        <v>931</v>
      </c>
    </row>
    <row r="125" ht="15" customHeight="1">
      <c r="A125" s="1"/>
      <c r="B125" s="43" t="s">
        <v>932</v>
      </c>
      <c r="C125" s="56">
        <v>0.02</v>
      </c>
      <c r="D125" s="35"/>
      <c r="E125" s="35"/>
      <c r="F125" s="35"/>
      <c r="G125" s="35"/>
      <c r="H125" s="35"/>
      <c r="I125" s="35"/>
      <c r="J125" s="35"/>
      <c r="K125" s="35"/>
      <c r="L125" s="35"/>
      <c r="M125" s="1"/>
      <c r="N125" s="36" t="s">
        <v>933</v>
      </c>
    </row>
    <row r="126" ht="15" customHeight="1">
      <c r="A126" s="1"/>
      <c r="B126" s="110" t="s">
        <v>934</v>
      </c>
      <c r="C126" s="31">
        <f>C120+SUM(C121:C125)</f>
        <v>0.38285714285714284</v>
      </c>
      <c r="D126" s="31"/>
      <c r="E126" s="31"/>
      <c r="F126" s="31"/>
      <c r="G126" s="31"/>
      <c r="H126" s="31"/>
      <c r="I126" s="31"/>
      <c r="J126" s="31"/>
      <c r="K126" s="31"/>
      <c r="L126" s="31"/>
      <c r="M126" s="1"/>
      <c r="N126" s="36"/>
    </row>
    <row r="127" ht="15" customHeight="1">
      <c r="A127" s="1"/>
      <c r="B127" s="41" t="s">
        <v>46</v>
      </c>
      <c r="C127" s="17" t="s">
        <v>47</v>
      </c>
      <c r="D127" s="17"/>
      <c r="E127" s="17"/>
      <c r="F127" s="17"/>
      <c r="G127" s="17"/>
      <c r="H127" s="17"/>
      <c r="I127" s="17"/>
      <c r="J127" s="17"/>
      <c r="K127" s="17"/>
      <c r="L127" s="17"/>
      <c r="M127" s="1"/>
      <c r="N127" s="36"/>
    </row>
    <row r="128" ht="1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6"/>
    </row>
    <row r="129" ht="15" customHeight="1">
      <c r="A129" s="1"/>
      <c r="B129" s="25" t="s">
        <v>935</v>
      </c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6"/>
    </row>
    <row r="130" ht="15" customHeight="1">
      <c r="A130" s="1"/>
      <c r="B130" s="41" t="s">
        <v>936</v>
      </c>
      <c r="C130" s="80">
        <v>1.1239</v>
      </c>
      <c r="D130" s="79"/>
      <c r="E130" s="79"/>
      <c r="F130" s="79"/>
      <c r="G130" s="79"/>
      <c r="H130" s="79"/>
      <c r="I130" s="79"/>
      <c r="J130" s="79"/>
      <c r="K130" s="79"/>
      <c r="L130" s="79"/>
      <c r="M130" s="1"/>
      <c r="N130" s="36" t="s">
        <v>937</v>
      </c>
    </row>
    <row r="131" ht="15" customHeight="1">
      <c r="A131" s="1"/>
      <c r="B131" s="41" t="s">
        <v>938</v>
      </c>
      <c r="C131" s="84">
        <v>1</v>
      </c>
      <c r="D131" s="66"/>
      <c r="E131" s="66"/>
      <c r="F131" s="66"/>
      <c r="G131" s="66"/>
      <c r="H131" s="66"/>
      <c r="I131" s="66"/>
      <c r="J131" s="66"/>
      <c r="K131" s="66"/>
      <c r="L131" s="66"/>
      <c r="M131" s="1"/>
      <c r="N131" s="36"/>
    </row>
    <row r="132" ht="15" customHeight="1">
      <c r="A132" s="1"/>
      <c r="B132" s="41" t="s">
        <v>939</v>
      </c>
      <c r="C132" s="61">
        <v>10119</v>
      </c>
      <c r="D132" s="21"/>
      <c r="E132" s="21"/>
      <c r="F132" s="21"/>
      <c r="G132" s="21"/>
      <c r="H132" s="21"/>
      <c r="I132" s="21"/>
      <c r="J132" s="21"/>
      <c r="K132" s="21"/>
      <c r="L132" s="21"/>
      <c r="M132" s="1"/>
      <c r="N132" s="36" t="s">
        <v>940</v>
      </c>
    </row>
    <row r="133" ht="15" customHeight="1">
      <c r="A133" s="1"/>
      <c r="B133" s="41" t="s">
        <v>941</v>
      </c>
      <c r="C133" s="61">
        <v>2942</v>
      </c>
      <c r="D133" s="21"/>
      <c r="E133" s="21"/>
      <c r="F133" s="21"/>
      <c r="G133" s="21"/>
      <c r="H133" s="21"/>
      <c r="I133" s="21"/>
      <c r="J133" s="21"/>
      <c r="K133" s="21"/>
      <c r="L133" s="21"/>
      <c r="M133" s="1"/>
      <c r="N133" s="36" t="s">
        <v>942</v>
      </c>
    </row>
    <row r="134" ht="15" customHeight="1">
      <c r="A134" s="1"/>
      <c r="B134" s="41" t="s">
        <v>943</v>
      </c>
      <c r="C134" s="73">
        <v>1.8</v>
      </c>
      <c r="D134" s="24"/>
      <c r="E134" s="24"/>
      <c r="F134" s="24"/>
      <c r="G134" s="24"/>
      <c r="H134" s="24"/>
      <c r="I134" s="24"/>
      <c r="J134" s="24"/>
      <c r="K134" s="24"/>
      <c r="L134" s="24"/>
      <c r="M134" s="1"/>
      <c r="N134" s="36" t="s">
        <v>944</v>
      </c>
    </row>
    <row r="135" ht="15" customHeight="1">
      <c r="A135" s="1"/>
      <c r="B135" s="41" t="s">
        <v>945</v>
      </c>
      <c r="C135" s="61">
        <v>6594</v>
      </c>
      <c r="D135" s="21"/>
      <c r="E135" s="21"/>
      <c r="F135" s="21"/>
      <c r="G135" s="21"/>
      <c r="H135" s="21"/>
      <c r="I135" s="21"/>
      <c r="J135" s="21"/>
      <c r="K135" s="21"/>
      <c r="L135" s="21"/>
      <c r="M135" s="1"/>
      <c r="N135" s="36" t="s">
        <v>946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2026-10-20T01:20:31Z</dcterms:created>
</cp:coreProperties>
</file>