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comments13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r:id="rId1" name="Cover" sheetId="1"/>
    <sheet r:id="rId2" name="Revenue summary" sheetId="2"/>
    <sheet r:id="rId3" name="Segment - Collins Aerospace" sheetId="3"/>
    <sheet r:id="rId4" name="Segment - Pratt &amp; Whitney" sheetId="4"/>
    <sheet r:id="rId5" name="Segment - Raytheon" sheetId="5"/>
    <sheet r:id="rId6" name="Income Statement" sheetId="6"/>
    <sheet r:id="rId7" name="Balance Sheet" sheetId="7"/>
    <sheet r:id="rId8" name="Cash Flow Statement" sheetId="8"/>
    <sheet r:id="rId9" name="Geo" sheetId="9"/>
    <sheet r:id="rId10" name="Share Count" sheetId="10"/>
    <sheet r:id="rId11" name="Guidance" sheetId="11"/>
    <sheet r:id="rId12" name="Sources" sheetId="12"/>
    <sheet r:id="rId13" name="Inputs" sheetId="13"/>
  </sheets>
  <calcPr calcId="0" iterateCount="100" iterateDelta="0.001"/>
</workbook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36" authorId="0">
      <text>
        <r>
          <rPr>
            <sz val="9"/>
            <color rgb="FF000000"/>
            <rFont val="Arial"/>
            <family val="2"/>
          </rPr>
          <t>RTX_consensus.json | summary_row.ticker | RTX</t>
        </r>
      </text>
    </comment>
    <comment ref="C37" authorId="0">
      <text>
        <r>
          <rPr>
            <sz val="9"/>
            <color rgb="FF000000"/>
            <rFont val="Arial"/>
            <family val="2"/>
          </rPr>
          <t>RTX_consensus.json | summary_row.company_name | RTX Corporation</t>
        </r>
      </text>
    </comment>
    <comment ref="C38" authorId="0">
      <text>
        <r>
          <rPr>
            <sz val="9"/>
            <color rgb="FF000000"/>
            <rFont val="Arial"/>
            <family val="2"/>
          </rPr>
          <t>RTX_consensus.json | summary_row.exchange_ticker | NYSE:RTX</t>
        </r>
      </text>
    </comment>
    <comment ref="C39" authorId="0">
      <text>
        <r>
          <rPr>
            <sz val="9"/>
            <color rgb="FF000000"/>
            <rFont val="Arial"/>
            <family val="2"/>
          </rPr>
          <t>RTX_consensus.json | summary_row.capiq_company_id | 159230</t>
        </r>
      </text>
    </comment>
    <comment ref="C40" authorId="0">
      <text>
        <r>
          <rPr>
            <sz val="9"/>
            <color rgb="FF000000"/>
            <rFont val="Arial"/>
            <family val="2"/>
          </rPr>
          <t>RTX_consensus.json | summary_row.currency_basis | USD</t>
        </r>
      </text>
    </comment>
    <comment ref="C41" authorId="0">
      <text>
        <r>
          <rPr>
            <sz val="9"/>
            <color rgb="FF000000"/>
            <rFont val="Arial"/>
            <family val="2"/>
          </rPr>
          <t>RTX_consensus.json | summary_row.fiscal_year_end | Dec-31</t>
        </r>
      </text>
    </comment>
    <comment ref="C42" authorId="0">
      <text>
        <r>
          <rPr>
            <sz val="9"/>
            <color rgb="FF000000"/>
            <rFont val="Arial"/>
            <family val="2"/>
          </rPr>
          <t>RTX_consensus.json | summary_row.fiscal_quarter | FQ3 2026 - Sep 2026</t>
        </r>
      </text>
    </comment>
    <comment ref="C43" authorId="0">
      <text>
        <r>
          <rPr>
            <sz val="9"/>
            <color rgb="FF000000"/>
            <rFont val="Arial"/>
            <family val="2"/>
          </rPr>
          <t>RTX_consensus.json | summary_row.quarter_end_date | 2026-09-30</t>
        </r>
      </text>
    </comment>
    <comment ref="C44" authorId="0">
      <text>
        <r>
          <rPr>
            <sz val="9"/>
            <color rgb="FF000000"/>
            <rFont val="Arial"/>
            <family val="2"/>
          </rPr>
          <t>RTX_consensus.json | summary_row.expected_report_date | 2026-10-20</t>
        </r>
      </text>
    </comment>
    <comment ref="C45" authorId="0">
      <text>
        <r>
          <rPr>
            <sz val="9"/>
            <color rgb="FF000000"/>
            <rFont val="Arial"/>
            <family val="2"/>
          </rPr>
          <t>RTX_consensus.json | summary_row.eps_basis | normalized diluted and GAAP diluted, as labelled</t>
        </r>
      </text>
    </comment>
    <comment ref="C46" authorId="0">
      <text>
        <r>
          <rPr>
            <sz val="9"/>
            <color rgb="FF000000"/>
            <rFont val="Arial"/>
            <family val="2"/>
          </rPr>
          <t>RTX_consensus.json | summary_row.eps_normalized_estimates | 19</t>
        </r>
      </text>
    </comment>
    <comment ref="C47" authorId="0">
      <text>
        <r>
          <rPr>
            <sz val="9"/>
            <color rgb="FF000000"/>
            <rFont val="Arial"/>
            <family val="2"/>
          </rPr>
          <t>RTX_consensus.json | summary_row.eps_normalized_contributors | 19</t>
        </r>
      </text>
    </comment>
    <comment ref="C49" authorId="0">
      <text>
        <r>
          <rPr>
            <sz val="9"/>
            <color rgb="FF000000"/>
            <rFont val="Arial"/>
            <family val="2"/>
          </rPr>
          <t>RTX_consensus.json | summary_row.eps_normalized_mean | 1.78</t>
        </r>
      </text>
    </comment>
    <comment ref="C50" authorId="0">
      <text>
        <r>
          <rPr>
            <sz val="9"/>
            <color rgb="FF000000"/>
            <rFont val="Arial"/>
            <family val="2"/>
          </rPr>
          <t>RTX_consensus.json | summary_row.eps_normalized_median | 1.78</t>
        </r>
      </text>
    </comment>
    <comment ref="C51" authorId="0">
      <text>
        <r>
          <rPr>
            <sz val="9"/>
            <color rgb="FF000000"/>
            <rFont val="Arial"/>
            <family val="2"/>
          </rPr>
          <t>RTX_consensus.json | summary_row.eps_normalized_high | 1.84</t>
        </r>
      </text>
    </comment>
    <comment ref="C52" authorId="0">
      <text>
        <r>
          <rPr>
            <sz val="9"/>
            <color rgb="FF000000"/>
            <rFont val="Arial"/>
            <family val="2"/>
          </rPr>
          <t>RTX_consensus.json | summary_row.eps_normalized_low | 1.72</t>
        </r>
      </text>
    </comment>
    <comment ref="C53" authorId="0">
      <text>
        <r>
          <rPr>
            <sz val="9"/>
            <color rgb="FF000000"/>
            <rFont val="Arial"/>
            <family val="2"/>
          </rPr>
          <t>RTX_consensus.json | summary_row.eps_normalized_std_dev | 0.03</t>
        </r>
      </text>
    </comment>
    <comment ref="C54" authorId="0">
      <text>
        <r>
          <rPr>
            <sz val="9"/>
            <color rgb="FF000000"/>
            <rFont val="Arial"/>
            <family val="2"/>
          </rPr>
          <t>RTX_consensus.json | summary_row.eps_normalized_n_est | 19</t>
        </r>
      </text>
    </comment>
    <comment ref="C58" authorId="0">
      <text>
        <r>
          <rPr>
            <sz val="9"/>
            <color rgb="FF000000"/>
            <rFont val="Arial"/>
            <family val="2"/>
          </rPr>
          <t>RTX_consensus.json | summary_row.eps_gaap_mean | 1.52</t>
        </r>
      </text>
    </comment>
    <comment ref="C59" authorId="0">
      <text>
        <r>
          <rPr>
            <sz val="9"/>
            <color rgb="FF000000"/>
            <rFont val="Arial"/>
            <family val="2"/>
          </rPr>
          <t>RTX_consensus.json | summary_row.eps_gaap_median | 1.49</t>
        </r>
      </text>
    </comment>
    <comment ref="C60" authorId="0">
      <text>
        <r>
          <rPr>
            <sz val="9"/>
            <color rgb="FF000000"/>
            <rFont val="Arial"/>
            <family val="2"/>
          </rPr>
          <t>RTX_consensus.json | summary_row.eps_gaap_high | 1.81</t>
        </r>
      </text>
    </comment>
    <comment ref="C61" authorId="0">
      <text>
        <r>
          <rPr>
            <sz val="9"/>
            <color rgb="FF000000"/>
            <rFont val="Arial"/>
            <family val="2"/>
          </rPr>
          <t>RTX_consensus.json | summary_row.eps_gaap_low | 1.44</t>
        </r>
      </text>
    </comment>
    <comment ref="C62" authorId="0">
      <text>
        <r>
          <rPr>
            <sz val="9"/>
            <color rgb="FF000000"/>
            <rFont val="Arial"/>
            <family val="2"/>
          </rPr>
          <t>RTX_consensus.json | summary_row.eps_gaap_std_dev | 0.1</t>
        </r>
      </text>
    </comment>
    <comment ref="C63" authorId="0">
      <text>
        <r>
          <rPr>
            <sz val="9"/>
            <color rgb="FF000000"/>
            <rFont val="Arial"/>
            <family val="2"/>
          </rPr>
          <t>RTX_consensus.json | summary_row.eps_gaap_n_est | 11</t>
        </r>
      </text>
    </comment>
    <comment ref="C67" authorId="0">
      <text>
        <r>
          <rPr>
            <sz val="9"/>
            <color rgb="FF000000"/>
            <rFont val="Arial"/>
            <family val="2"/>
          </rPr>
          <t>RTX_consensus.json | summary_row.revenue_mean | 24105.4</t>
        </r>
      </text>
    </comment>
    <comment ref="C68" authorId="0">
      <text>
        <r>
          <rPr>
            <sz val="9"/>
            <color rgb="FF000000"/>
            <rFont val="Arial"/>
            <family val="2"/>
          </rPr>
          <t>RTX_consensus.json | summary_row.revenue_median | 24129.95</t>
        </r>
      </text>
    </comment>
    <comment ref="C69" authorId="0">
      <text>
        <r>
          <rPr>
            <sz val="9"/>
            <color rgb="FF000000"/>
            <rFont val="Arial"/>
            <family val="2"/>
          </rPr>
          <t>RTX_consensus.json | summary_row.revenue_high | 24556.36</t>
        </r>
      </text>
    </comment>
    <comment ref="C70" authorId="0">
      <text>
        <r>
          <rPr>
            <sz val="9"/>
            <color rgb="FF000000"/>
            <rFont val="Arial"/>
            <family val="2"/>
          </rPr>
          <t>RTX_consensus.json | summary_row.revenue_low | 23493.0</t>
        </r>
      </text>
    </comment>
    <comment ref="C71" authorId="0">
      <text>
        <r>
          <rPr>
            <sz val="9"/>
            <color rgb="FF000000"/>
            <rFont val="Arial"/>
            <family val="2"/>
          </rPr>
          <t>RTX_consensus.json | summary_row.revenue_std_dev | 268.35</t>
        </r>
      </text>
    </comment>
    <comment ref="C72" authorId="0">
      <text>
        <r>
          <rPr>
            <sz val="9"/>
            <color rgb="FF000000"/>
            <rFont val="Arial"/>
            <family val="2"/>
          </rPr>
          <t>RTX_consensus.json | summary_row.revenue_n_est | 18</t>
        </r>
      </text>
    </comment>
    <comment ref="C76" authorId="0">
      <text>
        <r>
          <rPr>
            <sz val="9"/>
            <color rgb="FF000000"/>
            <rFont val="Arial"/>
            <family val="2"/>
          </rPr>
          <t>RTX_consensus.json | summary_row.ebitda | 3974.67</t>
        </r>
      </text>
    </comment>
    <comment ref="C77" authorId="0">
      <text>
        <r>
          <rPr>
            <sz val="9"/>
            <color rgb="FF000000"/>
            <rFont val="Arial"/>
            <family val="2"/>
          </rPr>
          <t>RTX_consensus.json | summary_row.ebit | 3204.22</t>
        </r>
      </text>
    </comment>
    <comment ref="C78" authorId="0">
      <text>
        <r>
          <rPr>
            <sz val="9"/>
            <color rgb="FF000000"/>
            <rFont val="Arial"/>
            <family val="2"/>
          </rPr>
          <t>RTX_consensus.json | summary_row.ebt_excl_excep | 3159.12</t>
        </r>
      </text>
    </comment>
    <comment ref="C79" authorId="0">
      <text>
        <r>
          <rPr>
            <sz val="9"/>
            <color rgb="FF000000"/>
            <rFont val="Arial"/>
            <family val="2"/>
          </rPr>
          <t>RTX_consensus.json | summary_row.ebt_gaap | 2711.3</t>
        </r>
      </text>
    </comment>
    <comment ref="C80" authorId="0">
      <text>
        <r>
          <rPr>
            <sz val="9"/>
            <color rgb="FF000000"/>
            <rFont val="Arial"/>
            <family val="2"/>
          </rPr>
          <t>RTX_consensus.json | summary_row.net_income_excl_excep | 2438.37</t>
        </r>
      </text>
    </comment>
    <comment ref="C81" authorId="0">
      <text>
        <r>
          <rPr>
            <sz val="9"/>
            <color rgb="FF000000"/>
            <rFont val="Arial"/>
            <family val="2"/>
          </rPr>
          <t>RTX_consensus.json | summary_row.net_income_gaap | 2081.12</t>
        </r>
      </text>
    </comment>
    <comment ref="C84" authorId="0">
      <text>
        <r>
          <rPr>
            <sz val="9"/>
            <color rgb="FF000000"/>
            <rFont val="Arial"/>
            <family val="2"/>
          </rPr>
          <t>RTX_consensus.json | summary_row.d_and_a | 1140.75</t>
        </r>
      </text>
    </comment>
    <comment ref="C88" authorId="0">
      <text>
        <r>
          <rPr>
            <sz val="9"/>
            <color rgb="FF000000"/>
            <rFont val="Arial"/>
            <family val="2"/>
          </rPr>
          <t>RTX_consensus.json | summary_row.interest_expense | -414.11</t>
        </r>
      </text>
    </comment>
    <comment ref="C89" authorId="0">
      <text>
        <r>
          <rPr>
            <sz val="9"/>
            <color rgb="FF000000"/>
            <rFont val="Arial"/>
            <family val="2"/>
          </rPr>
          <t>RTX_consensus.json | summary_row.net_debt | 28242.23</t>
        </r>
      </text>
    </comment>
    <comment ref="C92" authorId="0">
      <text>
        <r>
          <rPr>
            <sz val="9"/>
            <color rgb="FF000000"/>
            <rFont val="Arial"/>
            <family val="2"/>
          </rPr>
          <t>RTX_consensus.json | summary_row.target_price_mean | 227.78</t>
        </r>
      </text>
    </comment>
    <comment ref="C93" authorId="0">
      <text>
        <r>
          <rPr>
            <sz val="9"/>
            <color rgb="FF000000"/>
            <rFont val="Arial"/>
            <family val="2"/>
          </rPr>
          <t>RTX_consensus.json | summary_row.target_price_median | 235.0</t>
        </r>
      </text>
    </comment>
    <comment ref="C94" authorId="0">
      <text>
        <r>
          <rPr>
            <sz val="9"/>
            <color rgb="FF000000"/>
            <rFont val="Arial"/>
            <family val="2"/>
          </rPr>
          <t>RTX_consensus.json | summary_row.target_price_high | 250.0</t>
        </r>
      </text>
    </comment>
    <comment ref="C95" authorId="0">
      <text>
        <r>
          <rPr>
            <sz val="9"/>
            <color rgb="FF000000"/>
            <rFont val="Arial"/>
            <family val="2"/>
          </rPr>
          <t>RTX_consensus.json | summary_row.target_price_low | 200.0</t>
        </r>
      </text>
    </comment>
    <comment ref="C96" authorId="0">
      <text>
        <r>
          <rPr>
            <sz val="9"/>
            <color rgb="FF000000"/>
            <rFont val="Arial"/>
            <family val="2"/>
          </rPr>
          <t>RTX_consensus.json | summary_row.target_price_std_dev | 14.31</t>
        </r>
      </text>
    </comment>
    <comment ref="C97" authorId="0">
      <text>
        <r>
          <rPr>
            <sz val="9"/>
            <color rgb="FF000000"/>
            <rFont val="Arial"/>
            <family val="2"/>
          </rPr>
          <t>RTX_consensus.json | summary_row.target_price_n_est | 23</t>
        </r>
      </text>
    </comment>
    <comment ref="C98" authorId="0">
      <text>
        <r>
          <rPr>
            <sz val="9"/>
            <color rgb="FF000000"/>
            <rFont val="Arial"/>
            <family val="2"/>
          </rPr>
          <t>RTX_consensus.json | summary_row.recommendation | Outperform</t>
        </r>
      </text>
    </comment>
    <comment ref="C99" authorId="0">
      <text>
        <r>
          <rPr>
            <sz val="9"/>
            <color rgb="FF000000"/>
            <rFont val="Arial"/>
            <family val="2"/>
          </rPr>
          <t>RTX_consensus.json | summary_row.recommendation_score | 1.92</t>
        </r>
      </text>
    </comment>
    <comment ref="C100" authorId="0">
      <text>
        <r>
          <rPr>
            <sz val="9"/>
            <color rgb="FF000000"/>
            <rFont val="Arial"/>
            <family val="2"/>
          </rPr>
          <t>RTX_consensus.json | summary_row.last_close_price | 193.92</t>
        </r>
      </text>
    </comment>
    <comment ref="C101" authorId="0">
      <text>
        <r>
          <rPr>
            <sz val="9"/>
            <color rgb="FF000000"/>
            <rFont val="Arial"/>
            <family val="2"/>
          </rPr>
          <t>RTX_consensus.json | summary_row.wk52_high_low | 226.88/156.10</t>
        </r>
      </text>
    </comment>
    <comment ref="C102" authorId="0">
      <text>
        <r>
          <rPr>
            <sz val="9"/>
            <color rgb="FF000000"/>
            <rFont val="Arial"/>
            <family val="2"/>
          </rPr>
          <t>RTX_consensus.json | summary_row.estimates_captured_at | 2026-10-18</t>
        </r>
      </text>
    </comment>
    <comment ref="C103" authorId="0">
      <text>
        <r>
          <rPr>
            <sz val="9"/>
            <color rgb="FF000000"/>
            <rFont val="Arial"/>
            <family val="2"/>
          </rPr>
          <t>RTX_consensus.json | summary_row.notes | the bare ticker RTX also matches RTX A/S on Copenhagen reporting in DKK; this row is RTX Corporation resolved by company name. Consensus has understated normalized EPS in all six prior quarters.</t>
        </r>
      </text>
    </comment>
    <comment ref="C107" authorId="0">
      <text>
        <r>
          <rPr>
            <sz val="9"/>
            <color rgb="FF000000"/>
            <rFont val="Arial"/>
            <family val="2"/>
          </rPr>
          <t>RTX_history.csv | row 2025-03-31 | 2025-04-22</t>
        </r>
      </text>
    </comment>
    <comment ref="D107" authorId="0">
      <text>
        <r>
          <rPr>
            <sz val="9"/>
            <color rgb="FF000000"/>
            <rFont val="Arial"/>
            <family val="2"/>
          </rPr>
          <t>RTX_history.csv | row 2025-03-31 | 1.37</t>
        </r>
      </text>
    </comment>
    <comment ref="E107" authorId="0">
      <text>
        <r>
          <rPr>
            <sz val="9"/>
            <color rgb="FF000000"/>
            <rFont val="Arial"/>
            <family val="2"/>
          </rPr>
          <t>RTX_history.csv | row 2025-03-31 | 1.47</t>
        </r>
      </text>
    </comment>
    <comment ref="F107" authorId="0">
      <text>
        <r>
          <rPr>
            <sz val="9"/>
            <color rgb="FF000000"/>
            <rFont val="Arial"/>
            <family val="2"/>
          </rPr>
          <t>RTX_history.csv | row 2025-03-31 | 1.06</t>
        </r>
      </text>
    </comment>
    <comment ref="G107" authorId="0">
      <text>
        <r>
          <rPr>
            <sz val="9"/>
            <color rgb="FF000000"/>
            <rFont val="Arial"/>
            <family val="2"/>
          </rPr>
          <t>RTX_history.csv | row 2025-03-31 | 1.14</t>
        </r>
      </text>
    </comment>
    <comment ref="H107" authorId="0">
      <text>
        <r>
          <rPr>
            <sz val="9"/>
            <color rgb="FF000000"/>
            <rFont val="Arial"/>
            <family val="2"/>
          </rPr>
          <t>RTX_history.csv | row 2025-03-31 | 19796.52</t>
        </r>
      </text>
    </comment>
    <comment ref="I107" authorId="0">
      <text>
        <r>
          <rPr>
            <sz val="9"/>
            <color rgb="FF000000"/>
            <rFont val="Arial"/>
            <family val="2"/>
          </rPr>
          <t>RTX_history.csv | row 2025-03-31 | 20306.0</t>
        </r>
      </text>
    </comment>
    <comment ref="C108" authorId="0">
      <text>
        <r>
          <rPr>
            <sz val="9"/>
            <color rgb="FF000000"/>
            <rFont val="Arial"/>
            <family val="2"/>
          </rPr>
          <t>RTX_history.csv | row 2025-06-30 | 2025-07-22</t>
        </r>
      </text>
    </comment>
    <comment ref="D108" authorId="0">
      <text>
        <r>
          <rPr>
            <sz val="9"/>
            <color rgb="FF000000"/>
            <rFont val="Arial"/>
            <family val="2"/>
          </rPr>
          <t>RTX_history.csv | row 2025-06-30 | 1.43</t>
        </r>
      </text>
    </comment>
    <comment ref="E108" authorId="0">
      <text>
        <r>
          <rPr>
            <sz val="9"/>
            <color rgb="FF000000"/>
            <rFont val="Arial"/>
            <family val="2"/>
          </rPr>
          <t>RTX_history.csv | row 2025-06-30 | 1.56</t>
        </r>
      </text>
    </comment>
    <comment ref="F108" authorId="0">
      <text>
        <r>
          <rPr>
            <sz val="9"/>
            <color rgb="FF000000"/>
            <rFont val="Arial"/>
            <family val="2"/>
          </rPr>
          <t>RTX_history.csv | row 2025-06-30 | 1.1</t>
        </r>
      </text>
    </comment>
    <comment ref="G108" authorId="0">
      <text>
        <r>
          <rPr>
            <sz val="9"/>
            <color rgb="FF000000"/>
            <rFont val="Arial"/>
            <family val="2"/>
          </rPr>
          <t>RTX_history.csv | row 2025-06-30 | 1.22</t>
        </r>
      </text>
    </comment>
    <comment ref="H108" authorId="0">
      <text>
        <r>
          <rPr>
            <sz val="9"/>
            <color rgb="FF000000"/>
            <rFont val="Arial"/>
            <family val="2"/>
          </rPr>
          <t>RTX_history.csv | row 2025-06-30 | 20632.09</t>
        </r>
      </text>
    </comment>
    <comment ref="I108" authorId="0">
      <text>
        <r>
          <rPr>
            <sz val="9"/>
            <color rgb="FF000000"/>
            <rFont val="Arial"/>
            <family val="2"/>
          </rPr>
          <t>RTX_history.csv | row 2025-06-30 | 21581.0</t>
        </r>
      </text>
    </comment>
    <comment ref="C109" authorId="0">
      <text>
        <r>
          <rPr>
            <sz val="9"/>
            <color rgb="FF000000"/>
            <rFont val="Arial"/>
            <family val="2"/>
          </rPr>
          <t>RTX_history.csv | row 2025-09-30 | 2025-10-21</t>
        </r>
      </text>
    </comment>
    <comment ref="D109" authorId="0">
      <text>
        <r>
          <rPr>
            <sz val="9"/>
            <color rgb="FF000000"/>
            <rFont val="Arial"/>
            <family val="2"/>
          </rPr>
          <t>RTX_history.csv | row 2025-09-30 | 1.41</t>
        </r>
      </text>
    </comment>
    <comment ref="E109" authorId="0">
      <text>
        <r>
          <rPr>
            <sz val="9"/>
            <color rgb="FF000000"/>
            <rFont val="Arial"/>
            <family val="2"/>
          </rPr>
          <t>RTX_history.csv | row 2025-09-30 | 1.7</t>
        </r>
      </text>
    </comment>
    <comment ref="F109" authorId="0">
      <text>
        <r>
          <rPr>
            <sz val="9"/>
            <color rgb="FF000000"/>
            <rFont val="Arial"/>
            <family val="2"/>
          </rPr>
          <t>RTX_history.csv | row 2025-09-30 | 1.13</t>
        </r>
      </text>
    </comment>
    <comment ref="G109" authorId="0">
      <text>
        <r>
          <rPr>
            <sz val="9"/>
            <color rgb="FF000000"/>
            <rFont val="Arial"/>
            <family val="2"/>
          </rPr>
          <t>RTX_history.csv | row 2025-09-30 | 1.41</t>
        </r>
      </text>
    </comment>
    <comment ref="H109" authorId="0">
      <text>
        <r>
          <rPr>
            <sz val="9"/>
            <color rgb="FF000000"/>
            <rFont val="Arial"/>
            <family val="2"/>
          </rPr>
          <t>RTX_history.csv | row 2025-09-30 | 21322.5</t>
        </r>
      </text>
    </comment>
    <comment ref="I109" authorId="0">
      <text>
        <r>
          <rPr>
            <sz val="9"/>
            <color rgb="FF000000"/>
            <rFont val="Arial"/>
            <family val="2"/>
          </rPr>
          <t>RTX_history.csv | row 2025-09-30 | 22478.0</t>
        </r>
      </text>
    </comment>
    <comment ref="C110" authorId="0">
      <text>
        <r>
          <rPr>
            <sz val="9"/>
            <color rgb="FF000000"/>
            <rFont val="Arial"/>
            <family val="2"/>
          </rPr>
          <t>RTX_history.csv | row 2025-12-31 | 2026-01-27</t>
        </r>
      </text>
    </comment>
    <comment ref="D110" authorId="0">
      <text>
        <r>
          <rPr>
            <sz val="9"/>
            <color rgb="FF000000"/>
            <rFont val="Arial"/>
            <family val="2"/>
          </rPr>
          <t>RTX_history.csv | row 2025-12-31 | 1.47</t>
        </r>
      </text>
    </comment>
    <comment ref="E110" authorId="0">
      <text>
        <r>
          <rPr>
            <sz val="9"/>
            <color rgb="FF000000"/>
            <rFont val="Arial"/>
            <family val="2"/>
          </rPr>
          <t>RTX_history.csv | row 2025-12-31 | 1.55</t>
        </r>
      </text>
    </comment>
    <comment ref="F110" authorId="0">
      <text>
        <r>
          <rPr>
            <sz val="9"/>
            <color rgb="FF000000"/>
            <rFont val="Arial"/>
            <family val="2"/>
          </rPr>
          <t>RTX_history.csv | row 2025-12-31 | 1.15</t>
        </r>
      </text>
    </comment>
    <comment ref="G110" authorId="0">
      <text>
        <r>
          <rPr>
            <sz val="9"/>
            <color rgb="FF000000"/>
            <rFont val="Arial"/>
            <family val="2"/>
          </rPr>
          <t>RTX_history.csv | row 2025-12-31 | 1.19</t>
        </r>
      </text>
    </comment>
    <comment ref="H110" authorId="0">
      <text>
        <r>
          <rPr>
            <sz val="9"/>
            <color rgb="FF000000"/>
            <rFont val="Arial"/>
            <family val="2"/>
          </rPr>
          <t>RTX_history.csv | row 2025-12-31 | 22704.06</t>
        </r>
      </text>
    </comment>
    <comment ref="I110" authorId="0">
      <text>
        <r>
          <rPr>
            <sz val="9"/>
            <color rgb="FF000000"/>
            <rFont val="Arial"/>
            <family val="2"/>
          </rPr>
          <t>RTX_history.csv | row 2025-12-31 | 24238.0</t>
        </r>
      </text>
    </comment>
    <comment ref="C111" authorId="0">
      <text>
        <r>
          <rPr>
            <sz val="9"/>
            <color rgb="FF000000"/>
            <rFont val="Arial"/>
            <family val="2"/>
          </rPr>
          <t>RTX_history.csv | row 2026-03-31 | 2026-04-21</t>
        </r>
      </text>
    </comment>
    <comment ref="D111" authorId="0">
      <text>
        <r>
          <rPr>
            <sz val="9"/>
            <color rgb="FF000000"/>
            <rFont val="Arial"/>
            <family val="2"/>
          </rPr>
          <t>RTX_history.csv | row 2026-03-31 | 1.52</t>
        </r>
      </text>
    </comment>
    <comment ref="E111" authorId="0">
      <text>
        <r>
          <rPr>
            <sz val="9"/>
            <color rgb="FF000000"/>
            <rFont val="Arial"/>
            <family val="2"/>
          </rPr>
          <t>RTX_history.csv | row 2026-03-31 | 1.78</t>
        </r>
      </text>
    </comment>
    <comment ref="F111" authorId="0">
      <text>
        <r>
          <rPr>
            <sz val="9"/>
            <color rgb="FF000000"/>
            <rFont val="Arial"/>
            <family val="2"/>
          </rPr>
          <t>RTX_history.csv | row 2026-03-31 | 1.22</t>
        </r>
      </text>
    </comment>
    <comment ref="G111" authorId="0">
      <text>
        <r>
          <rPr>
            <sz val="9"/>
            <color rgb="FF000000"/>
            <rFont val="Arial"/>
            <family val="2"/>
          </rPr>
          <t>RTX_history.csv | row 2026-03-31 | 1.51</t>
        </r>
      </text>
    </comment>
    <comment ref="H111" authorId="0">
      <text>
        <r>
          <rPr>
            <sz val="9"/>
            <color rgb="FF000000"/>
            <rFont val="Arial"/>
            <family val="2"/>
          </rPr>
          <t>RTX_history.csv | row 2026-03-31 | 21472.25</t>
        </r>
      </text>
    </comment>
    <comment ref="I111" authorId="0">
      <text>
        <r>
          <rPr>
            <sz val="9"/>
            <color rgb="FF000000"/>
            <rFont val="Arial"/>
            <family val="2"/>
          </rPr>
          <t>RTX_history.csv | row 2026-03-31 | 22076.0</t>
        </r>
      </text>
    </comment>
    <comment ref="C112" authorId="0">
      <text>
        <r>
          <rPr>
            <sz val="9"/>
            <color rgb="FF000000"/>
            <rFont val="Arial"/>
            <family val="2"/>
          </rPr>
          <t>RTX_history.csv | row 2026-06-30 | 2026-07-23</t>
        </r>
      </text>
    </comment>
    <comment ref="D112" authorId="0">
      <text>
        <r>
          <rPr>
            <sz val="9"/>
            <color rgb="FF000000"/>
            <rFont val="Arial"/>
            <family val="2"/>
          </rPr>
          <t>RTX_history.csv | row 2026-06-30 | 1.66</t>
        </r>
      </text>
    </comment>
    <comment ref="E112" authorId="0">
      <text>
        <r>
          <rPr>
            <sz val="9"/>
            <color rgb="FF000000"/>
            <rFont val="Arial"/>
            <family val="2"/>
          </rPr>
          <t>RTX_history.csv | row 2026-06-30 | 1.89</t>
        </r>
      </text>
    </comment>
    <comment ref="F112" authorId="0">
      <text>
        <r>
          <rPr>
            <sz val="9"/>
            <color rgb="FF000000"/>
            <rFont val="Arial"/>
            <family val="2"/>
          </rPr>
          <t>RTX_history.csv | row 2026-06-30 | 1.35</t>
        </r>
      </text>
    </comment>
    <comment ref="G112" authorId="0">
      <text>
        <r>
          <rPr>
            <sz val="9"/>
            <color rgb="FF000000"/>
            <rFont val="Arial"/>
            <family val="2"/>
          </rPr>
          <t>RTX_history.csv | row 2026-06-30 | 1.57</t>
        </r>
      </text>
    </comment>
    <comment ref="H112" authorId="0">
      <text>
        <r>
          <rPr>
            <sz val="9"/>
            <color rgb="FF000000"/>
            <rFont val="Arial"/>
            <family val="2"/>
          </rPr>
          <t>RTX_history.csv | row 2026-06-30 | 22880.25</t>
        </r>
      </text>
    </comment>
    <comment ref="I112" authorId="0">
      <text>
        <r>
          <rPr>
            <sz val="9"/>
            <color rgb="FF000000"/>
            <rFont val="Arial"/>
            <family val="2"/>
          </rPr>
          <t>RTX_history.csv | row 2026-06-30 | 24708.0</t>
        </r>
      </text>
    </comment>
  </commentList>
</comments>
</file>

<file path=xl/sharedStrings.xml><?xml version="1.0" encoding="utf-8"?>
<sst xmlns="http://schemas.openxmlformats.org/spreadsheetml/2006/main" count="1015" uniqueCount="1015">
  <si>
    <t>Company Model — built by Shortcut</t>
  </si>
  <si>
    <t>RTX Corporation (NYSE: RTX)</t>
  </si>
  <si>
    <t>Cover - 3Q26 earnings forecast summary</t>
  </si>
  <si>
    <t>$ millions, except per share</t>
  </si>
  <si>
    <t>Period</t>
  </si>
  <si>
    <t>1Q25A</t>
  </si>
  <si>
    <t>2Q25A</t>
  </si>
  <si>
    <t>3Q25A</t>
  </si>
  <si>
    <t>4Q25A</t>
  </si>
  <si>
    <t>FY25A</t>
  </si>
  <si>
    <t>1Q26A</t>
  </si>
  <si>
    <t>2Q26A</t>
  </si>
  <si>
    <t>3Q26E</t>
  </si>
  <si>
    <t>Source</t>
  </si>
  <si>
    <t>Notes</t>
  </si>
  <si>
    <t>Period end</t>
  </si>
  <si>
    <t>Days in period</t>
  </si>
  <si>
    <t>Company</t>
  </si>
  <si>
    <t>RTX Corporation</t>
  </si>
  <si>
    <t>Ticker / exchange</t>
  </si>
  <si>
    <t>RTX / New York Stock Exchange</t>
  </si>
  <si>
    <t>Fiscal year end</t>
  </si>
  <si>
    <t>December 31 (Raytheon segment uses a fiscal calendar: 3Q26 ends Sep 27, 2026)</t>
  </si>
  <si>
    <t>Target period</t>
  </si>
  <si>
    <t>3Q26 / FQ3 2026 - quarter ended 2026-09-30 (supplied label 2026-09-30 = issuer calendar quarter end)</t>
  </si>
  <si>
    <t>Reporting currency / units</t>
  </si>
  <si>
    <t>USD; $ millions except per share; EPS per diluted common share</t>
  </si>
  <si>
    <t>EPS basis (consensus basis)</t>
  </si>
  <si>
    <t>Adjusted (normalized) diluted EPS: GAAP diluted EPS excl. restructuring, acquisition accounting and net significant items</t>
  </si>
  <si>
    <t>Information cutoff</t>
  </si>
  <si>
    <t>2026-10-18 21:34 UTC (CapIQ snapshot dated 2026-10-18)</t>
  </si>
  <si>
    <t>Expected report date</t>
  </si>
  <si>
    <t>2026-10-20 before market open (issuer-confirmed 2026-09-29, S21; matches supplied date)</t>
  </si>
  <si>
    <t>Target-quarter actuals seen</t>
  </si>
  <si>
    <t>No - forecast built only from pre-release evidence</t>
  </si>
  <si>
    <t>Author</t>
  </si>
  <si>
    <t>Shortcut</t>
  </si>
  <si>
    <t>Headline estimate vs consensus vs guidance (3Q26E)</t>
  </si>
  <si>
    <t>Metric</t>
  </si>
  <si>
    <t>Estimate</t>
  </si>
  <si>
    <t>CapIQ cons.</t>
  </si>
  <si>
    <t>Est - cons.</t>
  </si>
  <si>
    <t>Est/cons. %</t>
  </si>
  <si>
    <t>Zacks cons.</t>
  </si>
  <si>
    <t>Guide mid*</t>
  </si>
  <si>
    <t>Est/guide %</t>
  </si>
  <si>
    <t>CapIQ # est</t>
  </si>
  <si>
    <t>Net sales ($m)</t>
  </si>
  <si>
    <t>Adjusted net income attributable ($m)</t>
  </si>
  <si>
    <t>GAAP net income attributable ($m)</t>
  </si>
  <si>
    <t>Adjusted diluted EPS (consensus basis)</t>
  </si>
  <si>
    <t>GAAP diluted EPS</t>
  </si>
  <si>
    <t>Structural/linkage consistency check</t>
  </si>
  <si>
    <t>PASS</t>
  </si>
  <si>
    <t>Structural/linkage check only, not independent financial proof. PASS = sum of |check| &lt; 0.01 over the listed tie-out/check rows; any text or error in those rows forces FAIL. IS J99/J195 are true by construction in 3Q26E</t>
  </si>
  <si>
    <t>P(beat consensus EPS)</t>
  </si>
  <si>
    <t>Confidence</t>
  </si>
  <si>
    <t>medium</t>
  </si>
  <si>
    <t>Starting P(beat) - size/history prior</t>
  </si>
  <si>
    <t>CapIQ normalized EPS range (low / high)</t>
  </si>
  <si>
    <t>CapIQ normalized EPS std. dev.</t>
  </si>
  <si>
    <t>*Guidance mid: FY26 guide midpoint less 1H26 actual, phased on 2025 3Q/2H share (RTX gives no quarterly guidance)</t>
  </si>
  <si>
    <t>Cover tie-out checks (0 = ties to statements / Inputs)</t>
  </si>
  <si>
    <t>Check: tie - net sales</t>
  </si>
  <si>
    <t>Check: tie - adj. net income</t>
  </si>
  <si>
    <t>Check: tie - GAAP net income</t>
  </si>
  <si>
    <t>Check: tie - adj. EPS</t>
  </si>
  <si>
    <t>Check: tie - GAAP EPS</t>
  </si>
  <si>
    <t>Check: tie - P(beat) vs Inputs</t>
  </si>
  <si>
    <t>Revenue summary - segments, eliminations, growth decomposition, backlog</t>
  </si>
  <si>
    <t>Net sales by segment</t>
  </si>
  <si>
    <t>Collins Aerospace</t>
  </si>
  <si>
    <t>segment tab</t>
  </si>
  <si>
    <t xml:space="preserve">   % Y/Y</t>
  </si>
  <si>
    <t xml:space="preserve">   % Q/Q</t>
  </si>
  <si>
    <t xml:space="preserve">   % of total net sales</t>
  </si>
  <si>
    <t>Pratt &amp; Whitney</t>
  </si>
  <si>
    <t>Raytheon</t>
  </si>
  <si>
    <t>Total segment net sales</t>
  </si>
  <si>
    <t>Eliminations and other</t>
  </si>
  <si>
    <t xml:space="preserve">   Other ops - products</t>
  </si>
  <si>
    <t>S11-S14</t>
  </si>
  <si>
    <t>3Q26E: held at 2Q26</t>
  </si>
  <si>
    <t xml:space="preserve">      % Y/Y</t>
  </si>
  <si>
    <t xml:space="preserve">      Q/Q change ($)</t>
  </si>
  <si>
    <t xml:space="preserve">      Organic / M&amp;A / FX split</t>
  </si>
  <si>
    <t>n/a</t>
  </si>
  <si>
    <t>Not disclosed for this line (unavailable)</t>
  </si>
  <si>
    <t xml:space="preserve">   Other ops - services</t>
  </si>
  <si>
    <t>Other ops - external sales</t>
  </si>
  <si>
    <t xml:space="preserve">   Q/Q change ($)</t>
  </si>
  <si>
    <t xml:space="preserve">   Organic / M&amp;A / FX split</t>
  </si>
  <si>
    <t>Inter-segment eliminations</t>
  </si>
  <si>
    <t>3Q26E: = minus sum of segment inter-segment sales</t>
  </si>
  <si>
    <t xml:space="preserve">   Eliminations and other as reported</t>
  </si>
  <si>
    <t>S03-S08</t>
  </si>
  <si>
    <t>Check: eliminations build - reported</t>
  </si>
  <si>
    <t>Total net sales</t>
  </si>
  <si>
    <t xml:space="preserve">   Elims &amp; other - prior-year sales</t>
  </si>
  <si>
    <t>Issuer organic reconciliation (2024 bases); 2026 columns link to 2025</t>
  </si>
  <si>
    <t xml:space="preserve">   PY adjusted sales (segs + elims)</t>
  </si>
  <si>
    <t xml:space="preserve">   % of total (structural, =100%)</t>
  </si>
  <si>
    <t xml:space="preserve">   CapIQ reported revenue (Inputs)</t>
  </si>
  <si>
    <t>S01</t>
  </si>
  <si>
    <t>Check: net sales - CapIQ actual</t>
  </si>
  <si>
    <t xml:space="preserve">   CapIQ revenue consensus</t>
  </si>
  <si>
    <t>S01,S02</t>
  </si>
  <si>
    <t xml:space="preserve">   Revenue vs consensus ($m)</t>
  </si>
  <si>
    <t xml:space="preserve">   Revenue vs consensus (%)</t>
  </si>
  <si>
    <t>Consolidated growth decomposition (issuer organic reconciliation)</t>
  </si>
  <si>
    <t xml:space="preserve">   Elims &amp; other - total change ($)</t>
  </si>
  <si>
    <t>Total reported change ($)</t>
  </si>
  <si>
    <t xml:space="preserve">   Elims &amp; other - A&amp;D change ($)</t>
  </si>
  <si>
    <t>n/m</t>
  </si>
  <si>
    <t xml:space="preserve">   Elims &amp; other - FX/other change ($)</t>
  </si>
  <si>
    <t>3Q26E: explicit nil assumption</t>
  </si>
  <si>
    <t>Acquisitions &amp; divestitures chg ($)</t>
  </si>
  <si>
    <t>FX / other change ($)</t>
  </si>
  <si>
    <t>Organic change ($)</t>
  </si>
  <si>
    <t xml:space="preserve">   Elims &amp; other - organic chg ($)</t>
  </si>
  <si>
    <t>Check: organic - (segs + elims)</t>
  </si>
  <si>
    <t>Total Y/Y growth</t>
  </si>
  <si>
    <t>M&amp;A / scope impact</t>
  </si>
  <si>
    <t>FX / other impact</t>
  </si>
  <si>
    <t>Organic - analyst multiplicative</t>
  </si>
  <si>
    <t>Analyst multiplicative: (1+Y/Y)/((1+M&amp;A)(1+FX))-1; issuer additive basis is row 81 (used by IS row 24 and Guidance)</t>
  </si>
  <si>
    <t>Organic growth - issuer additive basis</t>
  </si>
  <si>
    <t xml:space="preserve">   Organic growth Y/Y chg (bps)</t>
  </si>
  <si>
    <t xml:space="preserve">   Q/Q change (bps)</t>
  </si>
  <si>
    <t>Sales by end market (consolidated, external) - sums of segment builds</t>
  </si>
  <si>
    <t xml:space="preserve">   Other ops - U.S. government</t>
  </si>
  <si>
    <t>3Q26E: 2Q26 mix of other external sales</t>
  </si>
  <si>
    <t>U.S. government (excl. FMS)</t>
  </si>
  <si>
    <t xml:space="preserve">      Y/Y change (bps)</t>
  </si>
  <si>
    <t xml:space="preserve">      Q/Q change (bps)</t>
  </si>
  <si>
    <t>Not disclosed by end market (unavailable)</t>
  </si>
  <si>
    <t xml:space="preserve">   Other ops - foreign military sales</t>
  </si>
  <si>
    <t>Foreign military sales (via USG)</t>
  </si>
  <si>
    <t xml:space="preserve">   Other ops - foreign gov. direct</t>
  </si>
  <si>
    <t>Foreign gov. direct commercial</t>
  </si>
  <si>
    <t xml:space="preserve">   Other ops - commercial</t>
  </si>
  <si>
    <t>Commercial aerospace &amp; other</t>
  </si>
  <si>
    <t>Defense &amp; government (subtotal)</t>
  </si>
  <si>
    <t xml:space="preserve">   Y/Y change (bps)</t>
  </si>
  <si>
    <t>Total external sales by end market</t>
  </si>
  <si>
    <t>Check: end-market total - net sales</t>
  </si>
  <si>
    <t>RTX backlog ladder ($m; issuer discloses backlog rounded to $bn)</t>
  </si>
  <si>
    <t>Opening backlog</t>
  </si>
  <si>
    <t>Less: sales</t>
  </si>
  <si>
    <t>Implied new awards (derived)</t>
  </si>
  <si>
    <t xml:space="preserve">   Implied book-to-bill (x)</t>
  </si>
  <si>
    <t>3Q26E input 1.3x: large Raytheon multiyear awards in Q3; commercial orders steady</t>
  </si>
  <si>
    <t>Closing backlog - total</t>
  </si>
  <si>
    <t>3Q26E: top-down total (opening + sales x 1.3x book-to-bill judgment). UNRECONCILED to segment ladders (Collins J183 + P&amp;W J180 + Raytheon J15 = 295,702.2; gap ~565.5); both kept, no allocation forced. Scored EPS does not use closing backlog</t>
  </si>
  <si>
    <t xml:space="preserve">   Book-to-bill Q/Q change (x)</t>
  </si>
  <si>
    <t xml:space="preserve">   Book-to-bill Y/Y change (x)</t>
  </si>
  <si>
    <t xml:space="preserve">   Closing backlog - commercial</t>
  </si>
  <si>
    <t>3Q26E: not consolidated / unspecified - commercial vs defense split of top-down total J140 not allocated (segment ladders unreconciled, see L140)</t>
  </si>
  <si>
    <t xml:space="preserve">   Closing backlog - defense</t>
  </si>
  <si>
    <t xml:space="preserve">   Total backlog % Y/Y</t>
  </si>
  <si>
    <t xml:space="preserve">   Total backlog Q/Q change ($)</t>
  </si>
  <si>
    <t>Average backlog (opening + closing) / 2</t>
  </si>
  <si>
    <t xml:space="preserve">   Average backlog Q/Q change ($)</t>
  </si>
  <si>
    <t xml:space="preserve">   Implied new awards % Y/Y</t>
  </si>
  <si>
    <t xml:space="preserve">   Backlog / trailing-quarter sales (x)</t>
  </si>
  <si>
    <t>Segment - Collins Aerospace: revenue drivers, build and profit</t>
  </si>
  <si>
    <t>Industry drivers - commercial OE (airframer deliveries, observed)</t>
  </si>
  <si>
    <t>Airbus deliveries (units)</t>
  </si>
  <si>
    <t>S24</t>
  </si>
  <si>
    <t>3Q26 = 547 (9M26) - 351 (H1 26): observed industry data, not an RTX actual</t>
  </si>
  <si>
    <t xml:space="preserve">   Q/Q change (units)</t>
  </si>
  <si>
    <t>Boeing deliveries (units)</t>
  </si>
  <si>
    <t>S25</t>
  </si>
  <si>
    <t>4Q25 total not captured (unavailable); FY25 left blank rather than estimated</t>
  </si>
  <si>
    <t>Airbus + Boeing deliveries (units)</t>
  </si>
  <si>
    <t>Disclosed channel growth (organic, ex-divestitures, % Y/Y) - drives commercial and defense lines</t>
  </si>
  <si>
    <t>Commercial OE growth</t>
  </si>
  <si>
    <t>3Q26E: formula = (1 + delivery growth) x (1 + rate/content factor) - 1</t>
  </si>
  <si>
    <t>Commercial aftermarket growth</t>
  </si>
  <si>
    <t>Hist: issuer text; 3Q26E: forecast input (blue)</t>
  </si>
  <si>
    <t>Defense growth</t>
  </si>
  <si>
    <t>OE growth vs deliveries (rate/content factor)</t>
  </si>
  <si>
    <t>Hist: (1+OE growth)/(1+Airbus+Boeing delivery growth)-1; 3Q26E input 19.3%: like 1Q26 (+19%) when deliveries lagged build rates; Collins ships to production, not deliveries</t>
  </si>
  <si>
    <t>Aftermarket share of commercial</t>
  </si>
  <si>
    <t>S20</t>
  </si>
  <si>
    <t>CEO (Laguna 2026-09-15): aftermarket ~40% of Collins sales -&gt; ~62% of Collins commercial line</t>
  </si>
  <si>
    <t>Blended commercial growth</t>
  </si>
  <si>
    <t>Revenue build by customer type (external sales) - 10-Q segment note</t>
  </si>
  <si>
    <t>Not disclosed by the issuer for this line (unavailable); segment-level split below</t>
  </si>
  <si>
    <t>Defense &amp; government sales</t>
  </si>
  <si>
    <t>External (consolidated) net sales</t>
  </si>
  <si>
    <t>Inter-segment sales</t>
  </si>
  <si>
    <t>3Q26E: Y/Y growth input below</t>
  </si>
  <si>
    <t>Collins Aerospace segment net sales</t>
  </si>
  <si>
    <t xml:space="preserve">   Prior-year adjusted sales</t>
  </si>
  <si>
    <t>1Q25-4Q25: issuer reconciliation (2024 bases); 1Q26-3Q26 link to the 2025 columns</t>
  </si>
  <si>
    <t xml:space="preserve">   U.S. government - % of segment</t>
  </si>
  <si>
    <t xml:space="preserve">   FMS - % of segment</t>
  </si>
  <si>
    <t xml:space="preserve">   Foreign gov. direct - % of segment</t>
  </si>
  <si>
    <t xml:space="preserve">   Commercial - % of segment</t>
  </si>
  <si>
    <t xml:space="preserve">   Defense &amp; government - % of segment</t>
  </si>
  <si>
    <t xml:space="preserve">   Segment net sales as reported</t>
  </si>
  <si>
    <t>Check: build - reported</t>
  </si>
  <si>
    <t>Sales by type (external) - 10-Q segment note</t>
  </si>
  <si>
    <t>Products</t>
  </si>
  <si>
    <t>3Q26E: external sales x 2Q26 product mix (latest quarter)</t>
  </si>
  <si>
    <t>Not disclosed for products (unavailable)</t>
  </si>
  <si>
    <t>Services</t>
  </si>
  <si>
    <t>Not disclosed for services (unavailable)</t>
  </si>
  <si>
    <t>Products - % of external sales</t>
  </si>
  <si>
    <t>Check: products + services - external</t>
  </si>
  <si>
    <t>Growth decomposition (issuer organic-sales reconciliation)</t>
  </si>
  <si>
    <t>Hist: as disclosed (2Q25 includes $70M prior-year Raytheon sales adjustment in FX/other); 3Q26E: sales - PY sales</t>
  </si>
  <si>
    <t>3Q26E: lapping actuation (sold 2025-07-21, ~$1.55bn/yr) for ~3 weeks and Simmonds (sold 2025-10-06, ~$350m/yr)</t>
  </si>
  <si>
    <t>3Q26E: explicit assumption of nil FX/other (no FX guidance)</t>
  </si>
  <si>
    <t>Hist: as disclosed; 3Q26E: residual</t>
  </si>
  <si>
    <t>Check: A&amp;D + FX + organic - total change</t>
  </si>
  <si>
    <t>Organic = (1+Y/Y)/((1+M&amp;A)(1+FX))-1</t>
  </si>
  <si>
    <t>Commercial share of divested sales</t>
  </si>
  <si>
    <t>Actuation (closed 2025-07-21) &amp; Simmonds (closed 2025-10-06) were mainly commercial: analyst assumption</t>
  </si>
  <si>
    <t>A&amp;D allocated to commercial ($)</t>
  </si>
  <si>
    <t>A&amp;D allocated to U.S. gov. ($)</t>
  </si>
  <si>
    <t>Segment profitability</t>
  </si>
  <si>
    <t>Segment research &amp; development</t>
  </si>
  <si>
    <t>3Q26E: 2Q26 R&amp;D intensity</t>
  </si>
  <si>
    <t xml:space="preserve">   R&amp;D - % of segment sales</t>
  </si>
  <si>
    <t>Adjusted operating profit</t>
  </si>
  <si>
    <t>3Q26E: segment sales x adjusted ROS input</t>
  </si>
  <si>
    <t>Adjusted operating margin (ROS)</t>
  </si>
  <si>
    <t>3Q26E input: H2 guide implies ~17%+ with Q4 step-up from cost actions (2Q26 call); 3Q25 15.7%, 2Q26 16.7%</t>
  </si>
  <si>
    <t>Restructuring</t>
  </si>
  <si>
    <t>3Q26E: input</t>
  </si>
  <si>
    <t>Net significant / non-recurring items</t>
  </si>
  <si>
    <t>S03-S06</t>
  </si>
  <si>
    <t>Hist: separation costs and divestiture gains; 3Q26E: none forecast (not knowable)</t>
  </si>
  <si>
    <t>Reported segment operating profit</t>
  </si>
  <si>
    <t xml:space="preserve">   Reported operating margin</t>
  </si>
  <si>
    <t xml:space="preserve">   Reported segment OP as disclosed</t>
  </si>
  <si>
    <t>Check: adj + restr + signif - reported</t>
  </si>
  <si>
    <t>Other segment items (COGS/SG&amp;A/other)</t>
  </si>
  <si>
    <t>3Q26E: derived = OP - sales - R&amp;D</t>
  </si>
  <si>
    <t>Check: sales + R&amp;D + other - OP</t>
  </si>
  <si>
    <t>Segment capital intensity</t>
  </si>
  <si>
    <t>Depreciation &amp; amortization (segment)</t>
  </si>
  <si>
    <t>Capital expenditures (segment)</t>
  </si>
  <si>
    <t xml:space="preserve">   Capex - % of segment sales</t>
  </si>
  <si>
    <t>Adj. OP + D&amp;A (analyst; not EBITDA)</t>
  </si>
  <si>
    <t>Operating drivers - RTX commercial backlog ladder (Collins + P&amp;W; segment split not disclosed)</t>
  </si>
  <si>
    <t>Equals prior quarter closing backlog</t>
  </si>
  <si>
    <t>Less: sales burn</t>
  </si>
  <si>
    <t>Burn = RTX commercial aerospace &amp; other commercial sales (Revenue summary); issuer discloses commercial backlog only at RTX level</t>
  </si>
  <si>
    <t>Closing backlog</t>
  </si>
  <si>
    <t>Book-to-bill (x)</t>
  </si>
  <si>
    <t xml:space="preserve">   Closing backlog % Y/Y</t>
  </si>
  <si>
    <t xml:space="preserve">   Closing backlog Q/Q change ($)</t>
  </si>
  <si>
    <t xml:space="preserve">   Implied awards % Y/Y</t>
  </si>
  <si>
    <t xml:space="preserve">   Implied awards Q/Q change ($)</t>
  </si>
  <si>
    <t xml:space="preserve">   Average backlog % Y/Y</t>
  </si>
  <si>
    <t>Segment - Pratt &amp; Whitney: revenue drivers, build and profit</t>
  </si>
  <si>
    <t>Operating drivers - Pratt &amp; Whitney engine shipments (units)</t>
  </si>
  <si>
    <t>Large commercial engines shipped</t>
  </si>
  <si>
    <t>S15</t>
  </si>
  <si>
    <t>3Q26E: forecast input (blue)</t>
  </si>
  <si>
    <t>Military engines shipped</t>
  </si>
  <si>
    <t>P&amp;W Canada engines shipped (ex-APU)</t>
  </si>
  <si>
    <t>Total engines shipped</t>
  </si>
  <si>
    <t xml:space="preserve">   Large commercial % of units</t>
  </si>
  <si>
    <t>Disclosed channel growth (reported/adjusted, % Y/Y) - drives commercial and military lines</t>
  </si>
  <si>
    <t>3Q26E: formula = (1 + unit growth) x (1 + revenue per unit/mix factor) - 1</t>
  </si>
  <si>
    <t>Military growth</t>
  </si>
  <si>
    <t>Commercial OE revenue per unit / mix factor</t>
  </si>
  <si>
    <t>Hist: (1+channel growth)/(1+unit shipment growth)-1; 3Q26E input (install-heavy mix, fewer spares per 2Q26 call)</t>
  </si>
  <si>
    <t>Military revenue per unit / mix factor</t>
  </si>
  <si>
    <t>Hist: (1+channel growth)/(1+unit shipment growth)-1; 3Q26E input (laps F135 Lot 18 catch-up in 3Q25)</t>
  </si>
  <si>
    <t>Not disclosed by issuer: analyst assumption</t>
  </si>
  <si>
    <t>Pratt &amp; Whitney segment net sales</t>
  </si>
  <si>
    <t>No P&amp;W acquisitions/divestitures</t>
  </si>
  <si>
    <t>3Q26E input: FY guide (+$275-350m adj OP) implies ~8.6% H2 ROS; 3Q25 8.9% incl. F135 Lot 18 catch-up</t>
  </si>
  <si>
    <t>S04,S08</t>
  </si>
  <si>
    <t>Hist: 2Q25 customer bankruptcy charge; 3Q26E: none forecast</t>
  </si>
  <si>
    <t>Operating drivers - Collins + P&amp;W defense backlog ladder (RTX defense backlog less Raytheon)</t>
  </si>
  <si>
    <t>Burn = Collins + P&amp;W defense &amp; government sales; closing = RTX defense backlog less Raytheon backlog (both disclosed)</t>
  </si>
  <si>
    <t>S05-S08,S16-S19</t>
  </si>
  <si>
    <t>Segment - Raytheon: revenue drivers, build and profit</t>
  </si>
  <si>
    <t>Basis: rows 7-8 are RTX consolidated calendar quarters (context). Raytheon reports on fiscal quarters (3Q26 ends Sep 27, 2026 per Cover C12); fiscal dates/days not sourced, band left unchanged</t>
  </si>
  <si>
    <t>Operating drivers - Raytheon backlog ladder</t>
  </si>
  <si>
    <t>S17-S19</t>
  </si>
  <si>
    <t>Bookings</t>
  </si>
  <si>
    <t>S16-S19</t>
  </si>
  <si>
    <t>1Q25-2Q25 bookings not captured (unavailable)</t>
  </si>
  <si>
    <t>Less: sales (revenue burn)</t>
  </si>
  <si>
    <t>3Q26E: opening backlog x conversion rate</t>
  </si>
  <si>
    <t>Other / rounding (derived)</t>
  </si>
  <si>
    <t>Backlog disclosed rounded to $bn; residual</t>
  </si>
  <si>
    <t>Y/Y vs prior-year closing backlog (1Q25-2Q25 unavailable)</t>
  </si>
  <si>
    <t>3Q26E: input (Tomahawk/AMRAAM/SM-6 multiyear awards announced in Q3; ceilings not all booked)</t>
  </si>
  <si>
    <t>Backlog conversion (sales/opening)</t>
  </si>
  <si>
    <t>3Q26E: input; falling as long-dated multiyear awards swell backlog</t>
  </si>
  <si>
    <t xml:space="preserve">   Bookings % Y/Y</t>
  </si>
  <si>
    <t xml:space="preserve">   Bookings Q/Q change ($)</t>
  </si>
  <si>
    <t>Only 3Q26E vs 3Q25 available (1Q25-2Q25 bookings unavailable)</t>
  </si>
  <si>
    <t>3Q26E: 2Q26 mix of segment sales</t>
  </si>
  <si>
    <t>Raytheon segment net sales</t>
  </si>
  <si>
    <t>Fixed-price contract sales</t>
  </si>
  <si>
    <t>3Q26E: 2Q26 fixed-price mix</t>
  </si>
  <si>
    <t>Cost-type contract sales</t>
  </si>
  <si>
    <t>Fixed-price - % of external sales</t>
  </si>
  <si>
    <t>Blue Canyon sale ($620m, signed 2026-06-19) closing not confirmed before cutoff: no scope change assumed</t>
  </si>
  <si>
    <t>3Q26E input: CFO (2Q26 call) "mid-12% range" for rest of year; 2Q26 12.6%</t>
  </si>
  <si>
    <t>None disclosed for Raytheon in the period; 3Q26E none forecast</t>
  </si>
  <si>
    <t>Income statement - as reported to GAAP diluted EPS, adjusted (normalized) EPS bridge</t>
  </si>
  <si>
    <t>Income statement (as reported; 3Q26E forecast)</t>
  </si>
  <si>
    <t>Net sales - products</t>
  </si>
  <si>
    <t>Sum of segment product sales (10-Q segment note) + other operations</t>
  </si>
  <si>
    <t>Net sales - services</t>
  </si>
  <si>
    <t>Sum of segment service sales + other operations</t>
  </si>
  <si>
    <t>Net sales</t>
  </si>
  <si>
    <t xml:space="preserve">   M&amp;A / scope impact (Revenue summary)</t>
  </si>
  <si>
    <t xml:space="preserve">   FX / other impact (Revenue summary)</t>
  </si>
  <si>
    <t xml:space="preserve">   Organic growth (issuer additive)</t>
  </si>
  <si>
    <t>Check: net sales - Revenue summary total</t>
  </si>
  <si>
    <t>Cost of sales - products</t>
  </si>
  <si>
    <t>3Q26E: total cost of sales less services cost</t>
  </si>
  <si>
    <t>Cost of sales - services</t>
  </si>
  <si>
    <t>3Q26E: services sales x 2Q26 services cost ratio</t>
  </si>
  <si>
    <t>Cost of sales</t>
  </si>
  <si>
    <t>3Q26E: derived so that operating profit equals the segment-based build - RESIDUAL plug: cost of sales, gross profit (J35) and gross margin (J38) follow from segment OP and R&amp;D/SG&amp;A/other-income judgments, not from a cost driver</t>
  </si>
  <si>
    <t>Gross profit (derived)</t>
  </si>
  <si>
    <t>Derived; RTX does not report a gross profit subtotal. 3Q26E is a residual of the J32 cost-of-sales plug (not independently validated)</t>
  </si>
  <si>
    <t xml:space="preserve">   Gross margin</t>
  </si>
  <si>
    <t>3Q26E: residual of the J32 cost-of-sales plug (not independently validated)</t>
  </si>
  <si>
    <t>Research and development</t>
  </si>
  <si>
    <t>S06,S11-S14</t>
  </si>
  <si>
    <t xml:space="preserve">   R&amp;D - % of net sales</t>
  </si>
  <si>
    <t>3Q26E input (2Q26 2.9%, 3Q25 3.0%)</t>
  </si>
  <si>
    <t>Selling, general &amp; administrative</t>
  </si>
  <si>
    <t xml:space="preserve">   SG&amp;A - % of net sales</t>
  </si>
  <si>
    <t>3Q26E input (2Q26 6.7%, 3Q25 6.4%)</t>
  </si>
  <si>
    <t>Total costs and expenses</t>
  </si>
  <si>
    <t>Other income (expense), net</t>
  </si>
  <si>
    <t>3Q26E input</t>
  </si>
  <si>
    <t>Operating profit</t>
  </si>
  <si>
    <t xml:space="preserve">   Operating margin</t>
  </si>
  <si>
    <t>Non-service pension (income)</t>
  </si>
  <si>
    <t>3Q26E: -(adjusted pension income input + pension items)</t>
  </si>
  <si>
    <t>Interest expense, net</t>
  </si>
  <si>
    <t>3Q26E: adjusted interest input less interest items</t>
  </si>
  <si>
    <t>Income before income taxes</t>
  </si>
  <si>
    <t xml:space="preserve">   Pre-tax margin</t>
  </si>
  <si>
    <t>Income tax expense</t>
  </si>
  <si>
    <t>3Q26E: adjusted tax less tax effect of adjustments less tax items</t>
  </si>
  <si>
    <t xml:space="preserve">   Effective tax rate (GAAP)</t>
  </si>
  <si>
    <t>Net income</t>
  </si>
  <si>
    <t>Less: noncontrolling interest</t>
  </si>
  <si>
    <t>3Q26E input (1Q26 98, 2Q26 110, 3Q25 88)</t>
  </si>
  <si>
    <t>Net income to common - GAAP</t>
  </si>
  <si>
    <t xml:space="preserve">   Net margin (attributable)</t>
  </si>
  <si>
    <t>Weighted-average basic shares (m)</t>
  </si>
  <si>
    <t>Weighted-average diluted shares (m)</t>
  </si>
  <si>
    <t>Basic EPS - GAAP</t>
  </si>
  <si>
    <t>Diluted EPS - GAAP</t>
  </si>
  <si>
    <t xml:space="preserve">   Q/Q change ($/share)</t>
  </si>
  <si>
    <t>Check: GAAP EPS - NI / diluted shares</t>
  </si>
  <si>
    <t>3Q26E: true by construction (J96 = J87/J94) - structural check only</t>
  </si>
  <si>
    <t xml:space="preserve">   Diluted EPS - GAAP as reported</t>
  </si>
  <si>
    <t>Check: ROUND(GAAP EPS,2) - reported</t>
  </si>
  <si>
    <t xml:space="preserve">   Basic EPS - GAAP as reported</t>
  </si>
  <si>
    <t>Check: ROUND(basic EPS,2) - reported</t>
  </si>
  <si>
    <t xml:space="preserve">   CapIQ GAAP EPS actual / consensus</t>
  </si>
  <si>
    <t>Check: GAAP EPS - CapIQ GAAP actual</t>
  </si>
  <si>
    <t>Operating profit build (segment basis)</t>
  </si>
  <si>
    <t xml:space="preserve">   Collins - reported op. profit</t>
  </si>
  <si>
    <t xml:space="preserve">   Pratt &amp; Whitney - reported op. profit</t>
  </si>
  <si>
    <t xml:space="preserve">   Raytheon - reported op. profit</t>
  </si>
  <si>
    <t>Total segment operating profit</t>
  </si>
  <si>
    <t xml:space="preserve">   Eliminations and other</t>
  </si>
  <si>
    <t xml:space="preserve">   Corporate &amp; other unallocated</t>
  </si>
  <si>
    <t xml:space="preserve">   FAS/CAS operating adjustment</t>
  </si>
  <si>
    <t>3Q26E: (FY26 guide ~$650m - 1H26 actual) / 2, linked to Guidance</t>
  </si>
  <si>
    <t xml:space="preserve">   Acquisition accounting adjustments</t>
  </si>
  <si>
    <t>3Q26E input: run-rate (1Q26 -471, 2Q26 -474)</t>
  </si>
  <si>
    <t>Operating profit (segment build)</t>
  </si>
  <si>
    <t>Check: OP build - IS operating profit</t>
  </si>
  <si>
    <t xml:space="preserve">   Collins - adjusted op. profit</t>
  </si>
  <si>
    <t xml:space="preserve">   Pratt &amp; Whitney - adjusted op. profit</t>
  </si>
  <si>
    <t xml:space="preserve">   Raytheon - adjusted op. profit</t>
  </si>
  <si>
    <t>Total adjusted segment operating profit</t>
  </si>
  <si>
    <t xml:space="preserve">   Adjusted segment margin</t>
  </si>
  <si>
    <t xml:space="preserve">   Eliminations and other - adjusted</t>
  </si>
  <si>
    <t xml:space="preserve">   Corporate expenses - adjusted</t>
  </si>
  <si>
    <t>3Q26E input: FY26 guide ~$225m; 1H26 -$34m; Q4 seasonally heaviest (4Q25 -132)</t>
  </si>
  <si>
    <t xml:space="preserve">   Adjusted operating margin</t>
  </si>
  <si>
    <t xml:space="preserve">   Adjusted OP as disclosed</t>
  </si>
  <si>
    <t>Check: adjusted OP - disclosed</t>
  </si>
  <si>
    <t xml:space="preserve">   Corporate restructuring</t>
  </si>
  <si>
    <t xml:space="preserve">   Eliminations - significant items</t>
  </si>
  <si>
    <t>3Q26E: none forecast</t>
  </si>
  <si>
    <t xml:space="preserve">   Corporate - significant items</t>
  </si>
  <si>
    <t>3Q26E: none forecast (IEEPA refund treatment unknown)</t>
  </si>
  <si>
    <t>Check: elims rep. - adj. - signif.</t>
  </si>
  <si>
    <t>Check: corp. rep. - adj. - restr. - sig.</t>
  </si>
  <si>
    <t>GAAP to adjusted (normalized) EPS bridge - consensus basis</t>
  </si>
  <si>
    <t xml:space="preserve">   Restructuring (in operating profit)</t>
  </si>
  <si>
    <t xml:space="preserve">   Net significant items (in OP)</t>
  </si>
  <si>
    <t xml:space="preserve">      Net significant items as disclosed</t>
  </si>
  <si>
    <t>Check: significant items - disclosed</t>
  </si>
  <si>
    <t xml:space="preserve">   Pension items</t>
  </si>
  <si>
    <t>3Q26E input (1Q26/2Q26 -2 each)</t>
  </si>
  <si>
    <t xml:space="preserve">   Interest items</t>
  </si>
  <si>
    <t>S03,S06</t>
  </si>
  <si>
    <t xml:space="preserve">   Tax effect of the above adjustments</t>
  </si>
  <si>
    <t>3Q26E: pre-tax adjustments x tax-effect rate input</t>
  </si>
  <si>
    <t xml:space="preserve">   Significant items in tax expense</t>
  </si>
  <si>
    <t>S03,S04</t>
  </si>
  <si>
    <t xml:space="preserve">   NCI share of adjustments</t>
  </si>
  <si>
    <t>S04</t>
  </si>
  <si>
    <t>Total impact on net income attributable</t>
  </si>
  <si>
    <t xml:space="preserve">      Impact as disclosed</t>
  </si>
  <si>
    <t>Check: impact build - disclosed</t>
  </si>
  <si>
    <t>Adjusted net income to common</t>
  </si>
  <si>
    <t xml:space="preserve">      Adjusted net income as disclosed</t>
  </si>
  <si>
    <t>Check: adjusted net income - disclosed</t>
  </si>
  <si>
    <t>Check: adj. EPS - adj. NI / dil. sh.</t>
  </si>
  <si>
    <t>3Q26E: true by construction (J192 = J187/J94) - structural check only</t>
  </si>
  <si>
    <t xml:space="preserve">   Adjusted diluted EPS as reported</t>
  </si>
  <si>
    <t>Check: ROUND(adj. EPS,2) - reported</t>
  </si>
  <si>
    <t xml:space="preserve">   CapIQ normalized EPS actual (Inputs)</t>
  </si>
  <si>
    <t>Check: adj. EPS - CapIQ actual</t>
  </si>
  <si>
    <t xml:space="preserve">   CapIQ normalized EPS consensus</t>
  </si>
  <si>
    <t xml:space="preserve">   Surprise vs consensus ($/share)</t>
  </si>
  <si>
    <t xml:space="preserve">   GAAP less adjusted EPS ($/share)</t>
  </si>
  <si>
    <t>Tax and below-the-line build (adjusted basis)</t>
  </si>
  <si>
    <t>Adjusted income before taxes</t>
  </si>
  <si>
    <t>Adjusted income tax expense</t>
  </si>
  <si>
    <t>3Q26E: adjusted pre-tax x adjusted ETR input</t>
  </si>
  <si>
    <t>Adjusted effective tax rate</t>
  </si>
  <si>
    <t>3Q26E: FY26 guide midpoint 18.25% (Guidance); 1H26 17.0%, 3Q25 16.7%</t>
  </si>
  <si>
    <t xml:space="preserve">   Adjusted ETR as disclosed</t>
  </si>
  <si>
    <t>Tax-effect rate on pre-tax adjustments</t>
  </si>
  <si>
    <t>3Q26E input (1Q26 22%, 2Q26 20%)</t>
  </si>
  <si>
    <t>Adjusted non-service pension income</t>
  </si>
  <si>
    <t>3Q26E: (FY26 guide ~$1,400m - 1H26 adjusted) / 2, linked to Guidance</t>
  </si>
  <si>
    <t>Adjusted interest expense, net</t>
  </si>
  <si>
    <t>3Q26E: (FY26 guide ~$1,625m - 1H26 adjusted) / 2, linked to Guidance</t>
  </si>
  <si>
    <t>Adjusted noncontrolling interest</t>
  </si>
  <si>
    <t>Adjusted NI to common (tax build)</t>
  </si>
  <si>
    <t>Check: tax build - bridge adj. NI</t>
  </si>
  <si>
    <t>Balance sheet - as reported; 3Q26E rolled forward from the cash flow statement</t>
  </si>
  <si>
    <t>Assets</t>
  </si>
  <si>
    <t xml:space="preserve">   Cash and cash equivalents</t>
  </si>
  <si>
    <t>S09-S14</t>
  </si>
  <si>
    <t>3Q26E: from cash flow statement</t>
  </si>
  <si>
    <t xml:space="preserve">   Accounts receivable, net</t>
  </si>
  <si>
    <t xml:space="preserve">   Contract assets, net</t>
  </si>
  <si>
    <t xml:space="preserve">   Inventory, net</t>
  </si>
  <si>
    <t xml:space="preserve">   Other assets, current</t>
  </si>
  <si>
    <t>Includes restricted cash (held flat)</t>
  </si>
  <si>
    <t>Total current assets</t>
  </si>
  <si>
    <t xml:space="preserve">   Customer financing assets</t>
  </si>
  <si>
    <t>3Q26E: held flat</t>
  </si>
  <si>
    <t xml:space="preserve">      Memo: acq.-accounting amortization</t>
  </si>
  <si>
    <t>3Q26E: held at 2Q26; used to split D&amp;A between intangibles and PP&amp;E</t>
  </si>
  <si>
    <t xml:space="preserve">      Fixed assets, gross</t>
  </si>
  <si>
    <t>S09-S11,S13,S14</t>
  </si>
  <si>
    <t xml:space="preserve">      Accumulated depreciation</t>
  </si>
  <si>
    <t>Fixed assets, net</t>
  </si>
  <si>
    <t xml:space="preserve">   Operating lease right-of-use assets</t>
  </si>
  <si>
    <t xml:space="preserve">   Goodwill</t>
  </si>
  <si>
    <t>3Q26E: reduced by any disposal proceeds (none assumed)</t>
  </si>
  <si>
    <t xml:space="preserve">   Intangible assets, net</t>
  </si>
  <si>
    <t xml:space="preserve">   Other assets</t>
  </si>
  <si>
    <t>3Q26E: less deferred tax provision, derivative and other investing flows</t>
  </si>
  <si>
    <t>Total assets</t>
  </si>
  <si>
    <t>Liabilities</t>
  </si>
  <si>
    <t xml:space="preserve">   Short-term borrowings</t>
  </si>
  <si>
    <t xml:space="preserve">   Accounts payable</t>
  </si>
  <si>
    <t>3Q26E: CF AP &amp; accrued line mapped to AP</t>
  </si>
  <si>
    <t xml:space="preserve">   Accrued employee compensation</t>
  </si>
  <si>
    <t xml:space="preserve">   Other accrued liabilities</t>
  </si>
  <si>
    <t xml:space="preserve">   Contract liabilities</t>
  </si>
  <si>
    <t xml:space="preserve">   Long-term debt currently due</t>
  </si>
  <si>
    <t>Total current liabilities</t>
  </si>
  <si>
    <t xml:space="preserve">   Long-term debt</t>
  </si>
  <si>
    <t xml:space="preserve">   Operating lease liabilities, LT</t>
  </si>
  <si>
    <t xml:space="preserve">   Pension &amp; postretirement obligations</t>
  </si>
  <si>
    <t xml:space="preserve">   Other long-term liabilities</t>
  </si>
  <si>
    <t>Total liabilities</t>
  </si>
  <si>
    <t>Redeemable noncontrolling interest</t>
  </si>
  <si>
    <t>Shareowners' equity</t>
  </si>
  <si>
    <t xml:space="preserve">   Common stock</t>
  </si>
  <si>
    <t>3Q26E: also absorbs other financing CF J89 (incl. other ST borrowings) - mapping approximation; not allocated to borrowings/NCI</t>
  </si>
  <si>
    <t xml:space="preserve">   Treasury stock</t>
  </si>
  <si>
    <t xml:space="preserve">   Retained earnings</t>
  </si>
  <si>
    <t>3Q26E: dividends PAID (CF J84) used as proxy for dividends declared</t>
  </si>
  <si>
    <t xml:space="preserve">   Accumulated other comprehensive loss</t>
  </si>
  <si>
    <t>Total shareowners' equity</t>
  </si>
  <si>
    <t xml:space="preserve">   Noncontrolling interest</t>
  </si>
  <si>
    <t>3Q26E: prior + NCI share of net income only; excludes NCI distributions (not forecast)</t>
  </si>
  <si>
    <t>Total equity</t>
  </si>
  <si>
    <t>Total liabilities, red. NCI &amp; equity</t>
  </si>
  <si>
    <t>Check: assets - liabilities - equity</t>
  </si>
  <si>
    <t>Balance sheet metrics</t>
  </si>
  <si>
    <t>Net debt (borrowings + LTD - cash)</t>
  </si>
  <si>
    <t>Contract liabilities - contract assets</t>
  </si>
  <si>
    <t>Inventory - % of quarterly sales</t>
  </si>
  <si>
    <t>Cash flow statement - operating, investing, financing; FCF; cash tie to balance sheet</t>
  </si>
  <si>
    <t>Operating activities</t>
  </si>
  <si>
    <t>Net income (incl. NCI)</t>
  </si>
  <si>
    <t xml:space="preserve">   Depreciation and amortization</t>
  </si>
  <si>
    <t>S03-S06,S08,S12,S13</t>
  </si>
  <si>
    <t>3Q26E: held at 2Q26 (segment D&amp;A held flat)</t>
  </si>
  <si>
    <t xml:space="preserve">   Deferred income tax provision</t>
  </si>
  <si>
    <t xml:space="preserve">   Stock compensation cost</t>
  </si>
  <si>
    <t xml:space="preserve">   Net periodic pension &amp; PRB income</t>
  </si>
  <si>
    <t xml:space="preserve">   Share-based 401(k) matching</t>
  </si>
  <si>
    <t xml:space="preserve">   Change in accounts receivable</t>
  </si>
  <si>
    <t xml:space="preserve">   Change in contract assets</t>
  </si>
  <si>
    <t xml:space="preserve">   Change in inventory</t>
  </si>
  <si>
    <t>3Q26E input: inventory build for H2/2027 ramp (2Q26 call)</t>
  </si>
  <si>
    <t xml:space="preserve">   Change in other current assets</t>
  </si>
  <si>
    <t xml:space="preserve">   Change in AP &amp; accrued liabilities</t>
  </si>
  <si>
    <t xml:space="preserve">   Change in contract liabilities</t>
  </si>
  <si>
    <t>3Q26E input: international advances</t>
  </si>
  <si>
    <t xml:space="preserve">   Other operating activities, net</t>
  </si>
  <si>
    <t>Net cash flows from operating activities</t>
  </si>
  <si>
    <t xml:space="preserve">   Operating cash flow as reported</t>
  </si>
  <si>
    <t>Check: CFO build - reported</t>
  </si>
  <si>
    <t xml:space="preserve">   Memo: change in working capital</t>
  </si>
  <si>
    <t>Investing activities</t>
  </si>
  <si>
    <t xml:space="preserve">   Capital expenditures</t>
  </si>
  <si>
    <t>3Q26E input: FY26 guide ~$3.1bn; 1H26 $1.2bn; Q4 seasonally heaviest</t>
  </si>
  <si>
    <t xml:space="preserve">   Dispositions of businesses, net</t>
  </si>
  <si>
    <t>S03-S06,S12</t>
  </si>
  <si>
    <t>3Q26E: Blue Canyon ($620m) closing not confirmed pre-cutoff; excluded. 1Q26-2Q26 blank = not reported (line not presented in cached 1Q26/2Q26 cash flow statements; not a reported zero). 1Q25-2Q25 0 = '—' in S03/S04</t>
  </si>
  <si>
    <t xml:space="preserve">   Increase in other intangible assets</t>
  </si>
  <si>
    <t xml:space="preserve">   Derivative settlements, net</t>
  </si>
  <si>
    <t xml:space="preserve">   Other investing (incl. cust. finance)</t>
  </si>
  <si>
    <t>S05,S06,S08,S12,S13</t>
  </si>
  <si>
    <t>Harmonised: incl. customer financing (4Q25 only)</t>
  </si>
  <si>
    <t>Net cash flows from investing activities</t>
  </si>
  <si>
    <t xml:space="preserve">   Investing cash flow as reported</t>
  </si>
  <si>
    <t>Check: CFI build - reported</t>
  </si>
  <si>
    <t>Financing activities</t>
  </si>
  <si>
    <t xml:space="preserve">   Repayment of long-term debt</t>
  </si>
  <si>
    <t>3Q26E input: no maturity-driven repayment assumed</t>
  </si>
  <si>
    <t xml:space="preserve">   Change in commercial paper, net</t>
  </si>
  <si>
    <t>S04,S05,S08,S12</t>
  </si>
  <si>
    <t>3Q26E input. 2Q26 0 = '—' in cached 2Q26 statement (S08). 1Q26, 1Q25 and 4Q25 blank = not reported (line not presented in those cached statements)</t>
  </si>
  <si>
    <t xml:space="preserve">   Dividends paid</t>
  </si>
  <si>
    <t>3Q26E: Share Count DPS x basic shares</t>
  </si>
  <si>
    <t xml:space="preserve">   Repurchase of common stock</t>
  </si>
  <si>
    <t xml:space="preserve">   Other financing (incl. ST borrowing)</t>
  </si>
  <si>
    <t>Harmonised: incl. other ST borrowings (2025)</t>
  </si>
  <si>
    <t>Net cash flows from financing activities</t>
  </si>
  <si>
    <t xml:space="preserve">   Financing cash flow as reported</t>
  </si>
  <si>
    <t>Check: CFF build - reported</t>
  </si>
  <si>
    <t>Effect of FX on cash</t>
  </si>
  <si>
    <t>Net change in cash (incl. restricted)</t>
  </si>
  <si>
    <t>Cash incl. restricted - beginning</t>
  </si>
  <si>
    <t>1Q25 opening as reported; later periods = prior closing</t>
  </si>
  <si>
    <t>Cash incl. restricted - ending</t>
  </si>
  <si>
    <t xml:space="preserve">   Ending cash incl. restricted (rep.)</t>
  </si>
  <si>
    <t>Check: ending cash build - reported</t>
  </si>
  <si>
    <t xml:space="preserve">   Less: restricted cash</t>
  </si>
  <si>
    <t>Cash &amp; equivalents - end of period</t>
  </si>
  <si>
    <t>Free cash flow (issuer definition: CFO less capital expenditures)</t>
  </si>
  <si>
    <t>Free cash flow</t>
  </si>
  <si>
    <t xml:space="preserve">   Free cash flow as reported</t>
  </si>
  <si>
    <t>S03-S06,S08,S13</t>
  </si>
  <si>
    <t>Check: FCF - reported</t>
  </si>
  <si>
    <t xml:space="preserve">   FCF / adjusted net income</t>
  </si>
  <si>
    <t xml:space="preserve">   Capex - % of net sales</t>
  </si>
  <si>
    <t>Check: CF cash - Balance Sheet cash</t>
  </si>
  <si>
    <t>Geography - net sales by customer location (10-Q segment note), by segment</t>
  </si>
  <si>
    <t>United States</t>
  </si>
  <si>
    <t xml:space="preserve">   Collins Aerospace</t>
  </si>
  <si>
    <t>3Q26E: segment external sales x 3Q25 regional mix</t>
  </si>
  <si>
    <t xml:space="preserve">   Pratt &amp; Whitney</t>
  </si>
  <si>
    <t xml:space="preserve">   Raytheon</t>
  </si>
  <si>
    <t xml:space="preserve">   Other operations</t>
  </si>
  <si>
    <t>United States - total</t>
  </si>
  <si>
    <t>Not disclosed by geography (unavailable)</t>
  </si>
  <si>
    <t>Europe</t>
  </si>
  <si>
    <t>Europe - total</t>
  </si>
  <si>
    <t>Asia Pacific</t>
  </si>
  <si>
    <t>Asia Pacific - total</t>
  </si>
  <si>
    <t>Middle East and North Africa</t>
  </si>
  <si>
    <t>Middle East and North Africa - total</t>
  </si>
  <si>
    <t>Other regions</t>
  </si>
  <si>
    <t>Other regions - total</t>
  </si>
  <si>
    <t>Total</t>
  </si>
  <si>
    <t>Total net sales by geography</t>
  </si>
  <si>
    <t>International (non-U.S.) sales</t>
  </si>
  <si>
    <t xml:space="preserve">   International - % of total</t>
  </si>
  <si>
    <t>Check: geo total - IS net sales</t>
  </si>
  <si>
    <t>Share count - weighted shares, buybacks, dividends and forecast EPS share base</t>
  </si>
  <si>
    <t>Shares in millions; $ millions except per share</t>
  </si>
  <si>
    <t>Weighted-average shares (EPS denominators)</t>
  </si>
  <si>
    <t>Weighted-average basic shares</t>
  </si>
  <si>
    <t>S03,S05-S07,S12,S14</t>
  </si>
  <si>
    <t>FY25 as reported in 10-K (annual weighted average, not a sum)</t>
  </si>
  <si>
    <t xml:space="preserve">   Change vs prior quarter</t>
  </si>
  <si>
    <t>Weighted-average diluted shares</t>
  </si>
  <si>
    <t>3Q26E = basic + dilutive securities</t>
  </si>
  <si>
    <t xml:space="preserve">   Dilutive securities (diluted - basic)</t>
  </si>
  <si>
    <t>3Q26E input: 1Q26 16.6, 2Q26 14.3</t>
  </si>
  <si>
    <t xml:space="preserve">      Q/Q change (m shares)</t>
  </si>
  <si>
    <t xml:space="preserve">   Q/Q change (m shares)</t>
  </si>
  <si>
    <t xml:space="preserve">   Dilution (diluted / basic - 1)</t>
  </si>
  <si>
    <t>Share repurchases and dividends</t>
  </si>
  <si>
    <t>Shares repurchased (m)</t>
  </si>
  <si>
    <t>3Q26E input: no buyback announced</t>
  </si>
  <si>
    <t>Share repurchases ($m)</t>
  </si>
  <si>
    <t xml:space="preserve">   Average repurchase price ($/share)</t>
  </si>
  <si>
    <t>Dividends declared per share ($)</t>
  </si>
  <si>
    <t>Declared basis (lumpy by declaration date); 3Q26E input: $0.73 quarterly rate (2Q26 declarations 2 x $0.73)</t>
  </si>
  <si>
    <t>Dividends paid ($m)</t>
  </si>
  <si>
    <t>Hist: linked from Cash Flow Statement; 3Q26E = DPS x basic shares</t>
  </si>
  <si>
    <t>Share base behind the forecast EPS</t>
  </si>
  <si>
    <t>3Q26E diluted share count used in EPS</t>
  </si>
  <si>
    <t>Guidance - every outlook given (annual; RTX does not guide quarters), track record and 3Q26 implied</t>
  </si>
  <si>
    <t>Columns</t>
  </si>
  <si>
    <t>Date given</t>
  </si>
  <si>
    <t>Low</t>
  </si>
  <si>
    <t>High</t>
  </si>
  <si>
    <t>Midpoint</t>
  </si>
  <si>
    <t>Actual</t>
  </si>
  <si>
    <t>Beat/miss</t>
  </si>
  <si>
    <t>Act vs mid</t>
  </si>
  <si>
    <t>Context</t>
  </si>
  <si>
    <t>Non-period sheet: guidance log - each row carries its own date given and guidance period (no quarterly period band applies)</t>
  </si>
  <si>
    <t>Adjusted sales ($m)</t>
  </si>
  <si>
    <t>2025-04-22</t>
  </si>
  <si>
    <t>FY25</t>
  </si>
  <si>
    <t>Beat</t>
  </si>
  <si>
    <t>S03</t>
  </si>
  <si>
    <t>Initial FY25 range reaffirmed with 1Q25 (excl. tariffs)</t>
  </si>
  <si>
    <t>Organic sales growth</t>
  </si>
  <si>
    <t>Adjusted EPS ($)</t>
  </si>
  <si>
    <t>Free cash flow ($m)</t>
  </si>
  <si>
    <t>2025-07-22</t>
  </si>
  <si>
    <t>Raised; incorporated tariffs and tax legislation</t>
  </si>
  <si>
    <t>Lowered for tariff impact</t>
  </si>
  <si>
    <t>Confirmed</t>
  </si>
  <si>
    <t>2025-10-21</t>
  </si>
  <si>
    <t>S05</t>
  </si>
  <si>
    <t>Raised</t>
  </si>
  <si>
    <t>2026-01-27</t>
  </si>
  <si>
    <t>FY26</t>
  </si>
  <si>
    <t>n/a (open)</t>
  </si>
  <si>
    <t>S06</t>
  </si>
  <si>
    <t>Initial FY26</t>
  </si>
  <si>
    <t>2026-04-21</t>
  </si>
  <si>
    <t>S07</t>
  </si>
  <si>
    <t>Unchanged</t>
  </si>
  <si>
    <t>2026-07-23</t>
  </si>
  <si>
    <t>S08</t>
  </si>
  <si>
    <t>Raised; latest before cutoff (reaffirmed 2026-09-15, S20)</t>
  </si>
  <si>
    <t>Raised; latest before cutoff</t>
  </si>
  <si>
    <t>Collins adjusted OP growth vs 2025 ($m)</t>
  </si>
  <si>
    <t>Prior (2026-04-21): +425-525</t>
  </si>
  <si>
    <t>P&amp;W adjusted OP growth vs 2025 ($m)</t>
  </si>
  <si>
    <t>Prior: +225-325</t>
  </si>
  <si>
    <t>Raytheon adjusted OP growth vs 2025 ($m)</t>
  </si>
  <si>
    <t>Prior: +275-375</t>
  </si>
  <si>
    <t>Prior unchanged</t>
  </si>
  <si>
    <t>Interest expense ($m, ~)</t>
  </si>
  <si>
    <t>Prior ~1,650</t>
  </si>
  <si>
    <t>Corporate expense &amp; unallocated ($m, ~)</t>
  </si>
  <si>
    <t>Prior ~250</t>
  </si>
  <si>
    <t>FAS/CAS operating adjustment ($m, ~)</t>
  </si>
  <si>
    <t>Prior ~650</t>
  </si>
  <si>
    <t>Non-service pension income ($m, ~)</t>
  </si>
  <si>
    <t>Prior ~1,325</t>
  </si>
  <si>
    <t>Capex ($m, ~)</t>
  </si>
  <si>
    <t>Prior ~3.1bn</t>
  </si>
  <si>
    <t>Quarterly guidance: none - RTX guides annual metrics only (checked S03-S08 releases and 2Q26 slides). Act vs mid: % for amounts/EPS, percentage points for rates.</t>
  </si>
  <si>
    <t>Implied 3Q26 from latest FY26 guidance midpoint (derived; used as "guidance midpoint" on Cover)</t>
  </si>
  <si>
    <t>FY26 adjusted sales guidance midpoint ($m)</t>
  </si>
  <si>
    <t>Less: 1H26 actual net sales</t>
  </si>
  <si>
    <t>Implied 2H26 sales</t>
  </si>
  <si>
    <t>3Q share of 2H in 2025 (3Q25 / (3Q25+4Q25))</t>
  </si>
  <si>
    <t>Implied 3Q26 net sales - guidance basis</t>
  </si>
  <si>
    <t>FY26 adjusted EPS guidance midpoint ($)</t>
  </si>
  <si>
    <t>Less: 1H26 actual adjusted EPS</t>
  </si>
  <si>
    <t>Approximate per-share benchmark: sums quarterly EPS, each on its own diluted share count (not FY NI / FY shares)</t>
  </si>
  <si>
    <t>Implied 2H26 adjusted EPS</t>
  </si>
  <si>
    <t>3Q share of 2H adjusted EPS in 2025</t>
  </si>
  <si>
    <t>Approximate: ratio of 2025 quarterly per-share EPS used as phasing; not an exact FY NI/share reconciliation</t>
  </si>
  <si>
    <t>Implied 3Q26 adjusted EPS - guidance basis</t>
  </si>
  <si>
    <t>Approximate per-share benchmark only (Cover comparison); not a forecast driver</t>
  </si>
  <si>
    <t>Implied 3Q26 adjusted net income</t>
  </si>
  <si>
    <t>Implied 3Q26 GAAP net income</t>
  </si>
  <si>
    <t>Implied 3Q26 GAAP EPS - guidance basis</t>
  </si>
  <si>
    <t>Sources - every document used, publication date, publisher, location and what it feeds</t>
  </si>
  <si>
    <t>Published</t>
  </si>
  <si>
    <t>Publisher</t>
  </si>
  <si>
    <t>What it feeds</t>
  </si>
  <si>
    <t>URL or file</t>
  </si>
  <si>
    <t>Non-period sheet: source register - one row per document; 'Published' is the source's own date</t>
  </si>
  <si>
    <t>ID / document</t>
  </si>
  <si>
    <t>S01 - RTX_history.csv (CapIQ export)</t>
  </si>
  <si>
    <t>2026-10-18</t>
  </si>
  <si>
    <t>S&amp;P CapIQ</t>
  </si>
  <si>
    <t>Inputs C; IS/Rev summary consensus &amp; actual tie-outs; beat prior</t>
  </si>
  <si>
    <t>workspace/RTX_history.csv</t>
  </si>
  <si>
    <t>S02 - RTX_consensus.json (CapIQ)</t>
  </si>
  <si>
    <t>Inputs A-B; Cover consensus columns</t>
  </si>
  <si>
    <t>workspace/RTX_consensus.json</t>
  </si>
  <si>
    <t>S03 - 1Q25 earnings release (Ex.99)</t>
  </si>
  <si>
    <t>RTX/SEC</t>
  </si>
  <si>
    <t>1Q25 IS, segments, bridge, CF, organic; FY25 guide</t>
  </si>
  <si>
    <t>https://www.sec.gov/Archives/edgar/data/101829/000010182925000014/a2025-04x228xkerexhibit99.htm</t>
  </si>
  <si>
    <t>S04 - 2Q25 earnings release (Ex.99)</t>
  </si>
  <si>
    <t>2Q25 IS, segments, bridge, CF, organic; FY25 guide</t>
  </si>
  <si>
    <t>https://www.sec.gov/Archives/edgar/data/101829/000010182925000030/a2025-07x228xkerexhibit99.htm</t>
  </si>
  <si>
    <t>S05 - 3Q25 earnings release (Ex.99)</t>
  </si>
  <si>
    <t>3Q25 IS, segments, bridge, CF, organic, backlog; FY25 guide</t>
  </si>
  <si>
    <t>https://www.sec.gov/Archives/edgar/data/101829/000010182925000040/a2025-10x218xkerexhibit99.htm</t>
  </si>
  <si>
    <t>S06 - 4Q25/FY25 release (Ex.99)</t>
  </si>
  <si>
    <t>4Q25 &amp; FY25 IS, CF, bridge, organic; FY26 initial guide</t>
  </si>
  <si>
    <t>https://www.sec.gov/Archives/edgar/data/101829/000010182926000003/a2026-01x278xkerexhibit99.htm</t>
  </si>
  <si>
    <t>S07 - 1Q26 earnings release (Ex.99)</t>
  </si>
  <si>
    <t>1Q26 IS, segments, bridge, CF, organic; FY26 guide</t>
  </si>
  <si>
    <t>https://www.sec.gov/Archives/edgar/data/101829/000010182926000009/a2026-04x218xkerexhibit99.htm</t>
  </si>
  <si>
    <t>S08 - 2Q26 earnings release (Ex.99)</t>
  </si>
  <si>
    <t>2Q26 IS, segments, bridge, CF, organic, backlog; FY26 guide</t>
  </si>
  <si>
    <t>https://www.sec.gov/Archives/edgar/data/101829/000010182926000025/a2026-07x238xkerexhibit99.htm</t>
  </si>
  <si>
    <t>S09 - 1Q25 Form 10-Q (XBRL)</t>
  </si>
  <si>
    <t>Balance sheet Mar 31 2025</t>
  </si>
  <si>
    <t>https://www.sec.gov/Archives/edgar/data/101829/000010182925000015/R4.htm</t>
  </si>
  <si>
    <t>S10 - 2Q25 Form 10-Q (XBRL)</t>
  </si>
  <si>
    <t>Balance sheet Jun 30 2025</t>
  </si>
  <si>
    <t>https://www.sec.gov/Archives/edgar/data/101829/000010182925000032/R4.htm</t>
  </si>
  <si>
    <t>S11 - 3Q25 Form 10-Q (XBRL)</t>
  </si>
  <si>
    <t>3Q25 segment note, disaggregation, BS, 9M CF</t>
  </si>
  <si>
    <t>https://www.sec.gov/Archives/edgar/data/101829/000010182925000042/R41.htm</t>
  </si>
  <si>
    <t>S12 - FY2025 Form 10-K (XBRL)</t>
  </si>
  <si>
    <t>2026-02-06</t>
  </si>
  <si>
    <t>FY25 IS/BS/CF, segment note; 4Q25 = FY - 9M</t>
  </si>
  <si>
    <t>https://www.sec.gov/Archives/edgar/data/101829/000010182926000006/R51.htm</t>
  </si>
  <si>
    <t>S13 - 1Q26 Form 10-Q (XBRL)</t>
  </si>
  <si>
    <t>1Q26 &amp; 1Q25 segment note, disaggregation, BS</t>
  </si>
  <si>
    <t>https://www.sec.gov/Archives/edgar/data/101829/000010182926000011/R40.htm</t>
  </si>
  <si>
    <t>S14 - 2Q26 Form 10-Q (XBRL)</t>
  </si>
  <si>
    <t>2Q26 &amp; 2Q25 segment note, disaggregation, BS, EPS shares</t>
  </si>
  <si>
    <t>https://www.sec.gov/Archives/edgar/data/101829/000010182926000027/R41.htm</t>
  </si>
  <si>
    <t>S15 - 2Q26 webcast slides</t>
  </si>
  <si>
    <t>RTX</t>
  </si>
  <si>
    <t>FY26 segment &amp; below-the-line guide; P&amp;W engine shipments</t>
  </si>
  <si>
    <t>https://investors.rtx.com/static-files/4974fa8e-e918-4e2e-aac6-4da956d6fd50</t>
  </si>
  <si>
    <t>S16 - 2Q26 call transcript</t>
  </si>
  <si>
    <t>RTX/LSEG</t>
  </si>
  <si>
    <t>H2 phasing, Raytheon bookings $19.9bn, backlog $86bn</t>
  </si>
  <si>
    <t>https://investors.rtx.com/static-files/8c03729d-33a9-4225-8114-de6abfbf2881</t>
  </si>
  <si>
    <t>S17 - 1Q26 call transcript</t>
  </si>
  <si>
    <t>StockAnalys.</t>
  </si>
  <si>
    <t>Raytheon 1Q26 bookings $6.6bn, backlog $74bn</t>
  </si>
  <si>
    <t>https://stockanalysis.com/stocks/rtx/transcripts/546950-q1-2026/</t>
  </si>
  <si>
    <t>S18 - 4Q25 call transcript</t>
  </si>
  <si>
    <t>Motley Fool</t>
  </si>
  <si>
    <t>Raytheon 4Q25 bookings $10.3bn, backlog $75bn</t>
  </si>
  <si>
    <t>https://www.fool.com/earnings/call-transcripts/2026/01/27/rtx-rtx-q4-2025-earnings-call-transcript/</t>
  </si>
  <si>
    <t>S19 - 3Q25 call transcript</t>
  </si>
  <si>
    <t>Raytheon 3Q25 bookings $15.9bn, backlog $72bn. PUBLICATION TIMESTAMP UNVERIFIED / DATE CONFLICT: listed 2025-10-21 (cached Exa result) vs URL path 2026/01/26</t>
  </si>
  <si>
    <t>https://www.fool.com/earnings/call-transcripts/2026/01/26/rtx-rtx-q3-2025-earnings-call-transcript/</t>
  </si>
  <si>
    <t>S20 - MS Laguna conf. transcript</t>
  </si>
  <si>
    <t>2026-09-15</t>
  </si>
  <si>
    <t>Outlook reaffirmed; IEEPA refunds in Q3/Q4; aftermarket 40% of Collins</t>
  </si>
  <si>
    <t>https://investors.rtx.com/static-files/b82026f9-070f-48f4-9f9f-251dc51776e9</t>
  </si>
  <si>
    <t>S21 - 3Q26 earnings date notice</t>
  </si>
  <si>
    <t>2026-09-29</t>
  </si>
  <si>
    <t>RTX/PRN</t>
  </si>
  <si>
    <t>Cover expected report date (2026-10-20, before open)</t>
  </si>
  <si>
    <t>https://www.rtx.com/news/news-center/2026/09/29/rtx-to-release-third-quarter-earnings-results-on-october-20-2026</t>
  </si>
  <si>
    <t>S22 - Zacks 3Q26 metric preview</t>
  </si>
  <si>
    <t>2026-10-15</t>
  </si>
  <si>
    <t>Zacks/Yahoo</t>
  </si>
  <si>
    <t>Other consensus snapshot (Inputs E), segment consensus</t>
  </si>
  <si>
    <t>https://finance.yahoo.com/markets/stocks/articles/exploring-analyst-estimates-rtx-rtx-121519599.html</t>
  </si>
  <si>
    <t>S23 - Alphastreet 3Q26 preview</t>
  </si>
  <si>
    <t>2026-10-16</t>
  </si>
  <si>
    <t>Alphastreet</t>
  </si>
  <si>
    <t>Other consensus snapshot (Inputs E)</t>
  </si>
  <si>
    <t>https://news.alphastreet.com/rtx-q3-2026-earnings-preview-october-20-street-expects-1-78-eps/</t>
  </si>
  <si>
    <t>S24 - Airbus deliveries data</t>
  </si>
  <si>
    <t>2026-10-08</t>
  </si>
  <si>
    <t>Airbus/Rtrs</t>
  </si>
  <si>
    <t>Collins OE driver rows</t>
  </si>
  <si>
    <t>https://www.airbus.com/en/products-services/commercial-aircraft/orders-and-deliveries</t>
  </si>
  <si>
    <t>S25 - Boeing delivery releases</t>
  </si>
  <si>
    <t>2026-10-13</t>
  </si>
  <si>
    <t>Boeing</t>
  </si>
  <si>
    <t>https://investors.boeing.com/investors/news/press-release-details/2026/Boeing-Announces-Third-Quarter-Deliveries/default.aspx</t>
  </si>
  <si>
    <t>S26 - IATA Aug-2026 traffic</t>
  </si>
  <si>
    <t>2026-09-30</t>
  </si>
  <si>
    <t>IATA</t>
  </si>
  <si>
    <t>Aftermarket risk assessment (RPK -0.8% Y/Y)</t>
  </si>
  <si>
    <t>https://www.iata.org/en/pressroom/2026-releases/09-30-air-passenger-demand-slips-august/</t>
  </si>
  <si>
    <t>S27 - RTX market cap</t>
  </si>
  <si>
    <t>Inputs D size bucket</t>
  </si>
  <si>
    <t>https://stockanalysis.com/stocks/rtx/market-cap/</t>
  </si>
  <si>
    <t>S28 - S&amp;P 500 membership</t>
  </si>
  <si>
    <t>data4ai/MktS</t>
  </si>
  <si>
    <t>Inputs D S&amp;P 500 flag</t>
  </si>
  <si>
    <t>https://data4ai.io/stocks/rtx-en.html</t>
  </si>
  <si>
    <t>S29 - Safran closes actuation deal</t>
  </si>
  <si>
    <t>2025-07-21</t>
  </si>
  <si>
    <t>Safran</t>
  </si>
  <si>
    <t>Collins 3Q26 A&amp;D assumption</t>
  </si>
  <si>
    <t>https://www.safran-group.com/pressroom/safran-announces-acquisition-flight-control-and-actuation-activities-collins-aerospace-2025-07-21</t>
  </si>
  <si>
    <t>S30 - TransDigm closes Simmonds</t>
  </si>
  <si>
    <t>2025-10-06</t>
  </si>
  <si>
    <t>TransDigm</t>
  </si>
  <si>
    <t>https://www.prnewswire.com/news-releases/transdigm-completes-acquisition-of-the-simmonds-precision-products-inc-business-of-goodrich-corporation-from-rtx-corporation-302575757.html</t>
  </si>
  <si>
    <t>S31 - Blue Canyon sale agreement</t>
  </si>
  <si>
    <t>2026-06-19</t>
  </si>
  <si>
    <t>RTX/MDA</t>
  </si>
  <si>
    <t>Raytheon A&amp;D (no closing assumed)</t>
  </si>
  <si>
    <t>https://www.sec.gov/Archives/edgar/data/101829/000010182926000027/R8.htm</t>
  </si>
  <si>
    <t>S32 - Forecasting playbook v2</t>
  </si>
  <si>
    <t>2026-07-31</t>
  </si>
  <si>
    <t>Task/FactSet</t>
  </si>
  <si>
    <t>Inputs D cohort prior method</t>
  </si>
  <si>
    <t>workspace/forecasting-playbook.md</t>
  </si>
  <si>
    <t>S33 - Airbus 3Q26 deliveries (Jef.)</t>
  </si>
  <si>
    <t>2026-10-09</t>
  </si>
  <si>
    <t>Investing</t>
  </si>
  <si>
    <t>Collins OE context</t>
  </si>
  <si>
    <t>https://www.investing.com/news/company-news/airbus-september-deliveries-fall-1-year-over-year-93CH-4940273</t>
  </si>
  <si>
    <t>S34 - Tradestie FY26 consensus</t>
  </si>
  <si>
    <t>Tradestie</t>
  </si>
  <si>
    <t>Other consensus snapshot (Inputs E). PUBLICATION TIMESTAMP UNVERIFIED / DATE CONFLICT: listed 2026-10-13 (cached Exa result) vs URL slug -20261020 (after cutoff); not used in EPS</t>
  </si>
  <si>
    <t>https://tradestie.com/news/rtx-earnings-oct-20-177-eps-expected-key-levels-to-watch-20261020/</t>
  </si>
  <si>
    <t>Tabs omitted: none. Geo is included because the 10-Q segment note (S14) discloses five regions; all three segments have their own tabs.</t>
  </si>
  <si>
    <t>Unavailable (not invented): Raytheon bookings/backlog 1Q25-2Q25; Boeing 4Q25 total deliveries; P&amp;W channel $ split; segment assets 1Q25-2Q25.</t>
  </si>
  <si>
    <t>Issuer-defined EBITDA (target manifest, Inputs C30): not identified in the original cached sources - recorded as unavailable / not independently sourced; no value tracked. Segment 'Adj. OP + D&amp;A (analyst; not EBITDA)' rows and raw CapIQ ebitda (Inputs C76, vendor-defined) are kept separate.</t>
  </si>
  <si>
    <t>Inputs - attached CapIQ files (raw), prior calibration and other consensus snapshots</t>
  </si>
  <si>
    <t>Value (sections A, B, D, E)</t>
  </si>
  <si>
    <t>Non-period sheet: raw inputs - section C (row 106) carries its own column headers; no quarterly period band applies</t>
  </si>
  <si>
    <t>A. RTX_consensus.json - top-level fields (S02)</t>
  </si>
  <si>
    <t>source</t>
  </si>
  <si>
    <t>S&amp;P Capital IQ</t>
  </si>
  <si>
    <t>S02</t>
  </si>
  <si>
    <t>ticker</t>
  </si>
  <si>
    <t>company</t>
  </si>
  <si>
    <t>fiscal_period</t>
  </si>
  <si>
    <t>FQ3 2026 - Sep 2026</t>
  </si>
  <si>
    <t>period_end_date</t>
  </si>
  <si>
    <t>as_of_date</t>
  </si>
  <si>
    <t>analyst_count</t>
  </si>
  <si>
    <t>consensus_eps</t>
  </si>
  <si>
    <t>eps_basis</t>
  </si>
  <si>
    <t>Normalized diluted EPS per ordinary/common share, USD; verify issuer adjustments and share identity</t>
  </si>
  <si>
    <t>consensus_revenue_m</t>
  </si>
  <si>
    <t>currency</t>
  </si>
  <si>
    <t>USD</t>
  </si>
  <si>
    <t>summary_sha256</t>
  </si>
  <si>
    <t>e59b846434f90c9b5de8c2ed951fd1b25c1f6d0217c680f72dea41992051a49d</t>
  </si>
  <si>
    <t>captured_precision</t>
  </si>
  <si>
    <t>date only, user confirmed</t>
  </si>
  <si>
    <t>currency_units_status</t>
  </si>
  <si>
    <t>metric_units.eps_currency</t>
  </si>
  <si>
    <t>metric_units.eps_share_unit</t>
  </si>
  <si>
    <t>diluted ordinary/common share</t>
  </si>
  <si>
    <t>metric_units.revenue_currency</t>
  </si>
  <si>
    <t>metric_units.financial_amount_scale</t>
  </si>
  <si>
    <t>millions</t>
  </si>
  <si>
    <t>target_manifest.ticker</t>
  </si>
  <si>
    <t>target_manifest.targets</t>
  </si>
  <si>
    <t>total_revenue, net_income_to_common, normalized_diluted_eps, gaap_diluted_eps, diluted_shares, revenue_growth, material_segment_revenue, operating_income, operating_margin, gross_profit, gross_margin, issuer_defined_ebitda, organic_revenue_growth, operating_cash_flow, capital_expenditures, issuer_defined_free_cash_flow</t>
  </si>
  <si>
    <t>target_manifest.policy</t>
  </si>
  <si>
    <t>Track applicable disclosed lines; record unavailable/not applicable with a reason. Only normalized EPS is scored.</t>
  </si>
  <si>
    <t>target_manifest.currency_units</t>
  </si>
  <si>
    <t>USD; financial amounts in millions</t>
  </si>
  <si>
    <t>target_manifest.period</t>
  </si>
  <si>
    <t>B. RTX_consensus.json - summary_row (complete raw row, blanks preserved) (S02)</t>
  </si>
  <si>
    <t>company_name</t>
  </si>
  <si>
    <t>exchange_ticker</t>
  </si>
  <si>
    <t>NYSE:RTX</t>
  </si>
  <si>
    <t>capiq_company_id</t>
  </si>
  <si>
    <t>currency_basis</t>
  </si>
  <si>
    <t>fiscal_year_end</t>
  </si>
  <si>
    <t>Dec-31</t>
  </si>
  <si>
    <t>fiscal_quarter</t>
  </si>
  <si>
    <t>quarter_end_date</t>
  </si>
  <si>
    <t>expected_report_date</t>
  </si>
  <si>
    <t>2026-10-20</t>
  </si>
  <si>
    <t>normalized diluted and GAAP diluted, as labelled</t>
  </si>
  <si>
    <t>eps_normalized_estimates</t>
  </si>
  <si>
    <t>eps_normalized_contributors</t>
  </si>
  <si>
    <t>detail_tab_total_contributors</t>
  </si>
  <si>
    <t>(blank in source)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</si>
  <si>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</si>
  <si>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</si>
  <si>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</si>
  <si>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</si>
  <si>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</si>
  <si>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</si>
  <si>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</si>
  <si>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</si>
  <si>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</si>
  <si>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</si>
  <si>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</si>
  <si>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</si>
  <si>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</si>
  <si>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</si>
  <si>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</si>
  <si>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</si>
  <si>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</si>
  <si>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</si>
  <si>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</si>
  <si>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revenue_median</t>
  </si>
  <si>
    <t>revenue_high</t>
  </si>
  <si>
    <t>revenue_low</t>
  </si>
  <si>
    <t>revenue_std_dev</t>
  </si>
  <si>
    <t>revenue_n_est</t>
  </si>
  <si>
    <t>revenue_guidance</t>
  </si>
  <si>
    <t>revenue_guidance_low</t>
  </si>
  <si>
    <t>revenue_guidance_high</t>
  </si>
  <si>
    <t>ebitda</t>
  </si>
  <si>
    <t>Raw CapIQ vendor-defined EBITDA; not the issuer-defined metric (see Sources B48)</t>
  </si>
  <si>
    <t>ebit</t>
  </si>
  <si>
    <t>ebt_excl_excep</t>
  </si>
  <si>
    <t>ebt_gaap</t>
  </si>
  <si>
    <t>net_income_excl_excep</t>
  </si>
  <si>
    <t>net_income_gaap</t>
  </si>
  <si>
    <t>gross_margin_pct</t>
  </si>
  <si>
    <t>effective_tax_rate_pct</t>
  </si>
  <si>
    <t>d_and_a</t>
  </si>
  <si>
    <t>capex</t>
  </si>
  <si>
    <t>cfo</t>
  </si>
  <si>
    <t>fcf</t>
  </si>
  <si>
    <t>interest_expense</t>
  </si>
  <si>
    <t>net_debt</t>
  </si>
  <si>
    <t>nav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</si>
  <si>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</si>
  <si>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</si>
  <si>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</si>
  <si>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</si>
  <si>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</si>
  <si>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</si>
  <si>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</si>
  <si>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</si>
  <si>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</si>
  <si>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</si>
  <si>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</si>
  <si>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wk52_high_low</t>
  </si>
  <si>
    <t>226.88/156.10</t>
  </si>
  <si>
    <t>estimates_captured_at</t>
  </si>
  <si>
    <t>notes</t>
  </si>
  <si>
    <t>the bare ticker RTX also matches RTX A/S on Copenhagen reporting in DKK; this row is RTX Corporation resolved by company name. Consensus has understated normalized EPS in all six prior quarters.</t>
  </si>
  <si>
    <t>C. RTX_history.csv - six historical quarters (raw) with derived surprise rows (S01)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</si>
  <si>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</si>
  <si>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</si>
  <si>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</si>
  <si>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</si>
  <si>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</si>
  <si>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</si>
  <si>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</si>
  <si>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EPS surprise ($)</t>
  </si>
  <si>
    <t>Strict beat (1/0)</t>
  </si>
  <si>
    <t>Revenue surprise ($m)</t>
  </si>
  <si>
    <t>2025-03-31</t>
  </si>
  <si>
    <t>2025-06-30</t>
  </si>
  <si>
    <t>2025-09-30</t>
  </si>
  <si>
    <t>2025-12-31</t>
  </si>
  <si>
    <t>2026-03-31</t>
  </si>
  <si>
    <t>2026-06-30</t>
  </si>
  <si>
    <t>D. Beat-probability prior calibration (forecasting playbook v2, size and issuer history)</t>
  </si>
  <si>
    <t>Market cap ($bn, 2026-10-16 close)</t>
  </si>
  <si>
    <t>S27</t>
  </si>
  <si>
    <t>stockanalysis.com (Nasdaq Data Link) $261.36bn; totalmarketcap.com $252.0bn same close - both &gt; $10bn</t>
  </si>
  <si>
    <t>Market cap date</t>
  </si>
  <si>
    <t>Large-cap threshold ($bn)</t>
  </si>
  <si>
    <t>S32</t>
  </si>
  <si>
    <t>Mid-cap threshold ($bn)</t>
  </si>
  <si>
    <t>Cohort prior - small cap</t>
  </si>
  <si>
    <t>Cohort prior - mid cap</t>
  </si>
  <si>
    <t>Cohort prior - large or S&amp;P 500</t>
  </si>
  <si>
    <t>Size bucket (&gt;$10bn = large)</t>
  </si>
  <si>
    <t>large</t>
  </si>
  <si>
    <t>S&amp;P 500 member</t>
  </si>
  <si>
    <t>S28</t>
  </si>
  <si>
    <t>Member since 1957-03-04 (data4ai); listed in S&amp;P 500 components (MarketScreener, 2026-10-08)</t>
  </si>
  <si>
    <t>Cohort prior (large or S&amp;P 500)</t>
  </si>
  <si>
    <t>b = strict EPS beats (6 pairs)</t>
  </si>
  <si>
    <t>n = valid pairs (none excluded)</t>
  </si>
  <si>
    <t>Pseudo-observation weight</t>
  </si>
  <si>
    <t>Fixed experimental regularisation weight (playbook)</t>
  </si>
  <si>
    <t>Starting p = (8*prior + b)/(8 + n)</t>
  </si>
  <si>
    <t>Quarter-specific evidence adj.</t>
  </si>
  <si>
    <t>Net negative: tough P&amp;W compare (F135 Lot 18 in 3Q25), IATA RPK -0.8% Aug, Airbus 3Q deliveries down Y/Y, no guide change mid-Sep; partly offset by model EPS above consensus and IEEPA refunds</t>
  </si>
  <si>
    <t>Final P(beat consensus EPS)</t>
  </si>
  <si>
    <t>Mean EPS surprise ($/sh, 6 qtrs)</t>
  </si>
  <si>
    <t>Smallest EPS surprise ($/share)</t>
  </si>
  <si>
    <t>3Q25 EPS surprise ($/share)</t>
  </si>
  <si>
    <t>E. Other consensus snapshots found (recorded separately; NOT the scoring baseline)</t>
  </si>
  <si>
    <t>Zacks 2026-10-15 - adjusted EPS</t>
  </si>
  <si>
    <t>S22</t>
  </si>
  <si>
    <t>Zacks 2026-10-15 - revenue ($m)</t>
  </si>
  <si>
    <t>Alphastreet 2026-10-16 - EPS</t>
  </si>
  <si>
    <t>S23</t>
  </si>
  <si>
    <t>Alphastreet 2026-10-16 - revenue ($m)</t>
  </si>
  <si>
    <t>Zacks - Collins sales ($m)</t>
  </si>
  <si>
    <t>Zacks - Collins adj. OP ($m)</t>
  </si>
  <si>
    <t>Zacks - P&amp;W sales ($m)</t>
  </si>
  <si>
    <t>Zacks - P&amp;W adj. OP ($m)</t>
  </si>
  <si>
    <t>Zacks - Raytheon sales ($m)</t>
  </si>
  <si>
    <t>Zacks - Raytheon adj. OP ($m)</t>
  </si>
  <si>
    <t>Tradestie 2026-10-13 - FY26 EPS</t>
  </si>
  <si>
    <t>S34</t>
  </si>
  <si>
    <t>S34 publication timestamp unverified / date conflict (listed 2026-10-13 vs URL slug -20261020); outside EPS chain</t>
  </si>
  <si>
    <t>Tradestie - FY26 revenue ($m)</t>
  </si>
  <si>
    <t>S34 publication timestamp unverified / date conflict (see L146); outside EPS chain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</si>
</sst>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8861" formatCode="#,##0.0_);(#,##0.0);–_)"/>
    <numFmt numFmtId="18863" formatCode="0.0%_);(0.0%);–_)"/>
    <numFmt numFmtId="18864" formatCode="#,##0_);(#,##0);–_)"/>
    <numFmt numFmtId="18865" formatCode="$0.00"/>
    <numFmt numFmtId="18874" formatCode="yyyy-mm-dd"/>
    <numFmt numFmtId="18878" formatCode="0.0%"/>
    <numFmt numFmtId="18896" formatCode="0.0&quot;x&quot;"/>
  </numFmts>
  <fonts count="14">
    <font>
      <b val="0"/>
      <i val="0"/>
      <sz val="11"/>
      <color auto="1"/>
      <name val="Calibri"/>
    </font>
    <font>
      <b val="0"/>
      <i val="0"/>
      <sz val="10"/>
      <color rgb="FF0000FF"/>
      <name val="Arial"/>
    </font>
    <font>
      <b val="0"/>
      <i val="0"/>
      <sz val="10"/>
      <color rgb="FF000000"/>
      <name val="Arial"/>
    </font>
    <font>
      <b val="0"/>
      <i/>
      <sz val="10"/>
      <color rgb="FF000000"/>
      <name val="Arial"/>
    </font>
    <font>
      <b/>
      <i val="0"/>
      <sz val="10"/>
      <color rgb="FF000000"/>
      <name val="Arial"/>
    </font>
    <font>
      <b/>
      <i val="0"/>
      <sz val="10"/>
      <color rgb="FF0000FF"/>
      <name val="Arial"/>
    </font>
    <font>
      <b val="0"/>
      <i val="0"/>
      <sz val="10"/>
      <color rgb="FF006100"/>
      <name val="Arial"/>
    </font>
    <font>
      <b val="0"/>
      <i/>
      <sz val="10"/>
      <color rgb="FF006100"/>
      <name val="Arial"/>
    </font>
    <font>
      <b/>
      <i val="0"/>
      <sz val="12"/>
      <color rgb="FF000000"/>
      <name val="Arial"/>
    </font>
    <font>
      <b/>
      <i val="0"/>
      <sz val="10"/>
      <color rgb="FF006100"/>
      <name val="Arial"/>
    </font>
    <font>
      <b/>
      <i val="0"/>
      <sz val="14"/>
      <color rgb="FF000000"/>
      <name val="Arial"/>
    </font>
    <font>
      <b/>
      <i/>
      <sz val="10"/>
      <color rgb="FF000000"/>
      <name val="Arial"/>
    </font>
    <font>
      <b val="0"/>
      <i/>
      <sz val="10"/>
      <color rgb="FF0000FF"/>
      <name val="Arial"/>
    </font>
    <font>
      <b val="0"/>
      <i/>
      <sz val="10"/>
      <color rgb="FFA6A6A6"/>
      <name val="Arial"/>
    </font>
  </fonts>
  <fills count="5">
    <fill>
      <patternFill patternType="none"/>
    </fill>
    <fill>
      <patternFill patternType="gray125"/>
    </fill>
    <fill>
      <patternFill patternType="solid">
        <fgColor rgb="FFEEF3FA"/>
      </patternFill>
    </fill>
    <fill>
      <patternFill patternType="solid">
        <fgColor rgb="FFF2F2F2"/>
      </patternFill>
    </fill>
    <fill>
      <patternFill patternType="solid">
        <fgColor rgb="FFDDE7F5"/>
      </patternFill>
    </fill>
  </fills>
  <borders count="6">
    <border>
      <left/>
      <right/>
      <top/>
      <bottom/>
    </border>
    <border>
      <left/>
      <right/>
      <top/>
      <bottom/>
      <diagonal/>
    </border>
    <border>
      <bottom style="thin">
        <color rgb="FF000000"/>
      </bottom>
    </border>
    <border>
      <top style="thin">
        <color rgb="FF000000"/>
      </top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1"/>
  </cellStyleXfs>
  <cellXfs count="104">
    <xf numFmtId="0" fontId="0" fillId="0" borderId="1" xfId="0"/>
    <xf numFmtId="0" fontId="2" fillId="0" borderId="1" xfId="0"/>
    <xf numFmtId="0" fontId="10" fillId="0" borderId="1" xfId="0">
      <alignment vertical="center"/>
    </xf>
    <xf numFmtId="0" fontId="8" fillId="0" borderId="1" xfId="0"/>
    <xf numFmtId="0" fontId="4" fillId="0" borderId="1" xfId="0"/>
    <xf numFmtId="0" fontId="3" fillId="0" borderId="1" xfId="0"/>
    <xf numFmtId="0" fontId="4" fillId="3" borderId="4" xfId="0"/>
    <xf numFmtId="0" fontId="4" fillId="3" borderId="4" xfId="0">
      <alignment horizontal="right" vertical="bottom"/>
    </xf>
    <xf numFmtId="0" fontId="4" fillId="4" borderId="4" xfId="0">
      <alignment horizontal="right" vertical="bottom"/>
    </xf>
    <xf numFmtId="0" fontId="2" fillId="3" borderId="1" xfId="0"/>
    <xf numFmtId="18874" fontId="2" fillId="3" borderId="1" xfId="0">
      <alignment horizontal="right" vertical="bottom"/>
    </xf>
    <xf numFmtId="18874" fontId="2" fillId="4" borderId="1" xfId="0">
      <alignment horizontal="right" vertical="bottom"/>
    </xf>
    <xf numFmtId="0" fontId="2" fillId="3" borderId="5" xfId="0"/>
    <xf numFmtId="1" fontId="2" fillId="3" borderId="5" xfId="0">
      <alignment horizontal="right" vertical="bottom"/>
    </xf>
    <xf numFmtId="1" fontId="2" fillId="4" borderId="5" xfId="0">
      <alignment horizontal="right" vertical="bottom"/>
    </xf>
    <xf numFmtId="0" fontId="4" fillId="0" borderId="5" xfId="0">
      <alignment vertical="bottom" wrapText="1"/>
    </xf>
    <xf numFmtId="0" fontId="4" fillId="0" borderId="5" xfId="0">
      <alignment horizontal="right" vertical="bottom" wrapText="1"/>
    </xf>
    <xf numFmtId="18861" fontId="6" fillId="0" borderId="1" xfId="0"/>
    <xf numFmtId="18861" fontId="2" fillId="0" borderId="1" xfId="0"/>
    <xf numFmtId="18863" fontId="3" fillId="0" borderId="1" xfId="0"/>
    <xf numFmtId="18864" fontId="6" fillId="0" borderId="1" xfId="0"/>
    <xf numFmtId="18864" fontId="2" fillId="0" borderId="1" xfId="0"/>
    <xf numFmtId="18865" fontId="6" fillId="0" borderId="1" xfId="0"/>
    <xf numFmtId="18865" fontId="2" fillId="0" borderId="1" xfId="0"/>
    <xf numFmtId="0" fontId="4" fillId="0" borderId="4" xfId="0"/>
    <xf numFmtId="0" fontId="9" fillId="0" borderId="4" xfId="0">
      <alignment horizontal="right" vertical="bottom"/>
    </xf>
    <xf numFmtId="18878" fontId="9" fillId="0" borderId="4" xfId="0"/>
    <xf numFmtId="18878" fontId="4" fillId="0" borderId="4" xfId="0"/>
    <xf numFmtId="18863" fontId="7" fillId="0" borderId="1" xfId="0"/>
    <xf numFmtId="0" fontId="2" fillId="2" borderId="1" xfId="0"/>
    <xf numFmtId="18861" fontId="6" fillId="2" borderId="1" xfId="0"/>
    <xf numFmtId="18863" fontId="7" fillId="2" borderId="1" xfId="0"/>
    <xf numFmtId="18863" fontId="3" fillId="2" borderId="1" xfId="0"/>
    <xf numFmtId="18861" fontId="4" fillId="0" borderId="4" xfId="0"/>
    <xf numFmtId="18861" fontId="4" fillId="2" borderId="4" xfId="0"/>
    <xf numFmtId="18861" fontId="1" fillId="0" borderId="1" xfId="0"/>
    <xf numFmtId="18861" fontId="2" fillId="2" borderId="1" xfId="0"/>
    <xf numFmtId="0" fontId="2" fillId="0" borderId="1" xfId="0">
      <alignment horizontal="right" vertical="bottom"/>
    </xf>
    <xf numFmtId="0" fontId="2" fillId="2" borderId="1" xfId="0">
      <alignment horizontal="right" vertical="bottom"/>
    </xf>
    <xf numFmtId="0" fontId="13" fillId="0" borderId="1" xfId="0"/>
    <xf numFmtId="18863" fontId="13" fillId="0" borderId="1" xfId="0"/>
    <xf numFmtId="18863" fontId="13" fillId="2" borderId="1" xfId="0"/>
    <xf numFmtId="18861" fontId="1" fillId="2" borderId="1" xfId="0"/>
    <xf numFmtId="18863" fontId="3" fillId="0" borderId="1" xfId="0">
      <alignment horizontal="right" vertical="bottom"/>
    </xf>
    <xf numFmtId="18863" fontId="3" fillId="2" borderId="1" xfId="0">
      <alignment horizontal="right" vertical="bottom"/>
    </xf>
    <xf numFmtId="0" fontId="11" fillId="0" borderId="1" xfId="0"/>
    <xf numFmtId="18863" fontId="11" fillId="0" borderId="4" xfId="0"/>
    <xf numFmtId="18863" fontId="11" fillId="2" borderId="4" xfId="0"/>
    <xf numFmtId="18864" fontId="3" fillId="0" borderId="1" xfId="0"/>
    <xf numFmtId="18864" fontId="3" fillId="2" borderId="1" xfId="0"/>
    <xf numFmtId="18896" fontId="2" fillId="0" borderId="1" xfId="0"/>
    <xf numFmtId="18896" fontId="1" fillId="2" borderId="1" xfId="0"/>
    <xf numFmtId="18861" fontId="5" fillId="0" borderId="4" xfId="0"/>
    <xf numFmtId="18896" fontId="2" fillId="0" borderId="1" xfId="0">
      <alignment horizontal="right" vertical="bottom"/>
    </xf>
    <xf numFmtId="18896" fontId="2" fillId="2" borderId="1" xfId="0">
      <alignment horizontal="right" vertical="bottom"/>
    </xf>
    <xf numFmtId="18861" fontId="2" fillId="0" borderId="1" xfId="0">
      <alignment horizontal="right" vertical="bottom"/>
    </xf>
    <xf numFmtId="18861" fontId="2" fillId="2" borderId="1" xfId="0">
      <alignment horizontal="right" vertical="bottom"/>
    </xf>
    <xf numFmtId="18896" fontId="2" fillId="2" borderId="1" xfId="0"/>
    <xf numFmtId="18864" fontId="1" fillId="0" borderId="1" xfId="0"/>
    <xf numFmtId="18864" fontId="1" fillId="2" borderId="1" xfId="0"/>
    <xf numFmtId="18864" fontId="2" fillId="2" borderId="1" xfId="0"/>
    <xf numFmtId="18864" fontId="2" fillId="0" borderId="1" xfId="0">
      <alignment horizontal="right" vertical="bottom"/>
    </xf>
    <xf numFmtId="18864" fontId="2" fillId="2" borderId="1" xfId="0">
      <alignment horizontal="right" vertical="bottom"/>
    </xf>
    <xf numFmtId="18864" fontId="4" fillId="0" borderId="4" xfId="0">
      <alignment horizontal="right" vertical="bottom"/>
    </xf>
    <xf numFmtId="18864" fontId="4" fillId="2" borderId="4" xfId="0">
      <alignment horizontal="right" vertical="bottom"/>
    </xf>
    <xf numFmtId="18863" fontId="12" fillId="0" borderId="1" xfId="0"/>
    <xf numFmtId="18863" fontId="12" fillId="2" borderId="1" xfId="0"/>
    <xf numFmtId="18864" fontId="3" fillId="0" borderId="1" xfId="0">
      <alignment horizontal="right" vertical="bottom"/>
    </xf>
    <xf numFmtId="18864" fontId="3" fillId="2" borderId="1" xfId="0">
      <alignment horizontal="right" vertical="bottom"/>
    </xf>
    <xf numFmtId="18861" fontId="9" fillId="0" borderId="4" xfId="0"/>
    <xf numFmtId="18864" fontId="4" fillId="0" borderId="4" xfId="0"/>
    <xf numFmtId="18864" fontId="4" fillId="2" borderId="4" xfId="0"/>
    <xf numFmtId="18896" fontId="1" fillId="2" borderId="1" xfId="0">
      <alignment horizontal="right" vertical="bottom"/>
    </xf>
    <xf numFmtId="18865" fontId="2" fillId="2" borderId="1" xfId="0"/>
    <xf numFmtId="18865" fontId="4" fillId="0" borderId="4" xfId="0"/>
    <xf numFmtId="18865" fontId="4" fillId="2" borderId="4" xfId="0"/>
    <xf numFmtId="18865" fontId="1" fillId="0" borderId="1" xfId="0"/>
    <xf numFmtId="18865" fontId="6" fillId="2" borderId="1" xfId="0"/>
    <xf numFmtId="18865" fontId="2" fillId="0" borderId="1" xfId="0">
      <alignment horizontal="right" vertical="bottom"/>
    </xf>
    <xf numFmtId="18865" fontId="2" fillId="2" borderId="1" xfId="0">
      <alignment horizontal="right" vertical="bottom"/>
    </xf>
    <xf numFmtId="18865" fontId="1" fillId="2" borderId="1" xfId="0"/>
    <xf numFmtId="0" fontId="4" fillId="3" borderId="4" xfId="0">
      <alignment horizontal="left" vertical="bottom"/>
    </xf>
    <xf numFmtId="0" fontId="2" fillId="3" borderId="1" xfId="0">
      <alignment horizontal="left" vertical="bottom"/>
    </xf>
    <xf numFmtId="0" fontId="2" fillId="3" borderId="5" xfId="0">
      <alignment horizontal="left" vertical="bottom"/>
    </xf>
    <xf numFmtId="49" fontId="2" fillId="0" borderId="1" xfId="0">
      <alignment horizontal="right" vertical="bottom"/>
    </xf>
    <xf numFmtId="18863" fontId="1" fillId="0" borderId="1" xfId="0"/>
    <xf numFmtId="18863" fontId="2" fillId="0" borderId="1" xfId="0"/>
    <xf numFmtId="18863" fontId="6" fillId="0" borderId="1" xfId="0"/>
    <xf numFmtId="0" fontId="4" fillId="0" borderId="1" xfId="0">
      <alignment horizontal="right" vertical="bottom"/>
    </xf>
    <xf numFmtId="0" fontId="1" fillId="0" borderId="1" xfId="0">
      <alignment horizontal="left" vertical="bottom"/>
    </xf>
    <xf numFmtId="0" fontId="1" fillId="0" borderId="1" xfId="0"/>
    <xf numFmtId="49" fontId="1" fillId="0" borderId="1" xfId="0">
      <alignment horizontal="right" vertical="bottom"/>
    </xf>
    <xf numFmtId="18864" fontId="1" fillId="0" borderId="1" xfId="0">
      <alignment horizontal="right" vertical="bottom"/>
    </xf>
    <xf numFmtId="18865" fontId="1" fillId="0" borderId="1" xfId="0">
      <alignment horizontal="right" vertical="bottom"/>
    </xf>
    <xf numFmtId="18861" fontId="1" fillId="0" borderId="1" xfId="0">
      <alignment horizontal="right" vertical="bottom"/>
    </xf>
    <xf numFmtId="0" fontId="2" fillId="0" borderId="1" xfId="0">
      <alignment vertical="top"/>
    </xf>
    <xf numFmtId="0" fontId="1" fillId="0" borderId="1" xfId="0">
      <alignment horizontal="left" vertical="top" wrapText="1"/>
    </xf>
    <xf numFmtId="0" fontId="2" fillId="0" borderId="1" xfId="0">
      <alignment horizontal="left" vertical="top" wrapText="1"/>
    </xf>
    <xf numFmtId="0" fontId="1" fillId="0" borderId="1" xfId="0">
      <alignment vertical="top"/>
    </xf>
    <xf numFmtId="0" fontId="2" fillId="0" borderId="1" xfId="0">
      <alignment horizontal="left" vertical="bottom"/>
    </xf>
    <xf numFmtId="2" fontId="1" fillId="0" borderId="1" xfId="0">
      <alignment horizontal="right" vertical="bottom"/>
    </xf>
    <xf numFmtId="0" fontId="5" fillId="0" borderId="5" xfId="0">
      <alignment horizontal="right" vertical="bottom" wrapText="1"/>
    </xf>
    <xf numFmtId="49" fontId="2" fillId="0" borderId="1" xfId="0">
      <alignment horizontal="left" vertical="bottom"/>
    </xf>
    <xf numFmtId="0" fontId="1" fillId="0" borderId="1" xfId="0">
      <alignment horizontal="right" vertical="bottom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styles" Target="styles.xml"/><Relationship Id="rId15" Type="http://schemas.openxmlformats.org/officeDocument/2006/relationships/theme" Target="theme/theme1.xml"/><Relationship Id="rId1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19050</xdr:rowOff>
    </xdr:from>
    <xdr:to>
      <xdr:col>1</xdr:col>
      <xdr:colOff>514350</xdr:colOff>
      <xdr:row>0</xdr:row>
      <xdr:rowOff>590550</xdr:rowOff>
    </xdr:to>
    <xdr:pic>
      <xdr:nvPicPr>
        <xdr:cNvPr id="2" name="ShortcutLogo"/>
        <xdr:cNvPicPr>
          <a:picLocks noChangeAspect="1"/>
        </xdr:cNvPicPr>
      </xdr:nvPicPr>
      <xdr:blipFill>
        <a:blip xmlns:r="http://schemas.openxmlformats.org/officeDocument/2006/relationships" r:embed="rId1"/>
        <a:srcRect l="0" r="0" t="0" b="0"/>
        <a:stretch/>
      </xdr:blipFill>
      <xdr:spPr>
        <a:xfrm>
          <a:off x="76200" y="19050"/>
          <a:ext cx="575733" cy="571500"/>
        </a:xfrm>
        <a:prstGeom prst="rect">
          <a:avLst/>
        </a:prstGeom>
        <a:noFill/>
        <a:ln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comments" Target="../comments13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6ECDB49-6358-9DF9-8C98-2A792C499F12}" mc:Ignorable="x14ac xr xr2 xr3">
  <dimension ref="A1:CV10000"/>
  <sheetViews>
    <sheetView showGridLines="0" topLeftCell="A1" zoomScale="90" workbookViewId="0" tabSelected="1">
      <selection activeCell="A1" sqref="A1"/>
    </sheetView>
  </sheetViews>
  <sheetFormatPr defaultRowHeight="15" defaultColWidth="9.140625" customHeight="1"/>
  <cols>
    <col min="1" max="1" width="2.00390625" customWidth="1"/>
    <col min="2" max="2" width="36.00390625" customWidth="1"/>
    <col min="3" max="10" width="12.00390625" customWidth="1"/>
    <col min="11" max="11" width="20.00390625" customWidth="1"/>
    <col min="12" max="12" width="60.00390625" customWidth="1"/>
  </cols>
  <sheetData>
    <row r="1" ht="49.5" customHeight="1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ht="15" customHeight="1">
      <c r="A6" s="1"/>
      <c r="B6" s="6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8" t="s">
        <v>12</v>
      </c>
      <c r="K6" s="6" t="s">
        <v>13</v>
      </c>
      <c r="L6" s="6" t="s">
        <v>14</v>
      </c>
    </row>
    <row r="7" ht="15" customHeight="1">
      <c r="A7" s="1"/>
      <c r="B7" s="9" t="s">
        <v>15</v>
      </c>
      <c r="C7" s="10">
        <v>45747</v>
      </c>
      <c r="D7" s="10">
        <v>45838</v>
      </c>
      <c r="E7" s="10">
        <v>45930</v>
      </c>
      <c r="F7" s="10">
        <v>46022</v>
      </c>
      <c r="G7" s="10">
        <v>46022</v>
      </c>
      <c r="H7" s="10">
        <v>46112</v>
      </c>
      <c r="I7" s="10">
        <v>46203</v>
      </c>
      <c r="J7" s="11">
        <v>46295</v>
      </c>
      <c r="K7" s="9"/>
      <c r="L7" s="9"/>
    </row>
    <row r="8" ht="15" customHeight="1">
      <c r="A8" s="1"/>
      <c r="B8" s="12" t="s">
        <v>16</v>
      </c>
      <c r="C8" s="13">
        <f>C7-EOMONTH(C7,-3)</f>
        <v>90</v>
      </c>
      <c r="D8" s="13">
        <f t="shared" si="0" ref="D8:J8">D7-C7</f>
        <v>91</v>
      </c>
      <c r="E8" s="13">
        <f t="shared" si="0"/>
        <v>92</v>
      </c>
      <c r="F8" s="13">
        <f t="shared" si="0"/>
        <v>92</v>
      </c>
      <c r="G8" s="13">
        <f>G7-EOMONTH(G7,-12)</f>
        <v>365</v>
      </c>
      <c r="H8" s="13">
        <f>H7-F7</f>
        <v>90</v>
      </c>
      <c r="I8" s="13">
        <f t="shared" si="0"/>
        <v>91</v>
      </c>
      <c r="J8" s="14">
        <f t="shared" si="0"/>
        <v>92</v>
      </c>
      <c r="K8" s="12"/>
      <c r="L8" s="12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15" customHeight="1">
      <c r="A10" s="1"/>
      <c r="B10" s="1" t="s">
        <v>17</v>
      </c>
      <c r="C10" s="1" t="s">
        <v>18</v>
      </c>
      <c r="D10" s="1"/>
      <c r="E10" s="1"/>
      <c r="F10" s="1"/>
      <c r="G10" s="1"/>
      <c r="H10" s="1"/>
      <c r="I10" s="1"/>
      <c r="J10" s="1"/>
      <c r="K10" s="1"/>
      <c r="L10" s="1"/>
    </row>
    <row r="11" ht="15" customHeight="1">
      <c r="A11" s="1"/>
      <c r="B11" s="1" t="s">
        <v>19</v>
      </c>
      <c r="C11" s="1" t="s">
        <v>20</v>
      </c>
      <c r="D11" s="1"/>
      <c r="E11" s="1"/>
      <c r="F11" s="1"/>
      <c r="G11" s="1"/>
      <c r="H11" s="1"/>
      <c r="I11" s="1"/>
      <c r="J11" s="1"/>
      <c r="K11" s="1"/>
      <c r="L11" s="1"/>
    </row>
    <row r="12" ht="15" customHeight="1">
      <c r="A12" s="1"/>
      <c r="B12" s="1" t="s">
        <v>21</v>
      </c>
      <c r="C12" s="1" t="s">
        <v>22</v>
      </c>
      <c r="D12" s="1"/>
      <c r="E12" s="1"/>
      <c r="F12" s="1"/>
      <c r="G12" s="1"/>
      <c r="H12" s="1"/>
      <c r="I12" s="1"/>
      <c r="J12" s="1"/>
      <c r="K12" s="1"/>
      <c r="L12" s="1"/>
    </row>
    <row r="13" ht="15" customHeight="1">
      <c r="A13" s="1"/>
      <c r="B13" s="1" t="s">
        <v>23</v>
      </c>
      <c r="C13" s="1" t="s">
        <v>24</v>
      </c>
      <c r="D13" s="1"/>
      <c r="E13" s="1"/>
      <c r="F13" s="1"/>
      <c r="G13" s="1"/>
      <c r="H13" s="1"/>
      <c r="I13" s="1"/>
      <c r="J13" s="1"/>
      <c r="K13" s="1"/>
      <c r="L13" s="1"/>
    </row>
    <row r="14" ht="15" customHeight="1">
      <c r="A14" s="1"/>
      <c r="B14" s="1" t="s">
        <v>25</v>
      </c>
      <c r="C14" s="1" t="s">
        <v>26</v>
      </c>
      <c r="D14" s="1"/>
      <c r="E14" s="1"/>
      <c r="F14" s="1"/>
      <c r="G14" s="1"/>
      <c r="H14" s="1"/>
      <c r="I14" s="1"/>
      <c r="J14" s="1"/>
      <c r="K14" s="1"/>
      <c r="L14" s="1"/>
    </row>
    <row r="15" ht="15" customHeight="1">
      <c r="A15" s="1"/>
      <c r="B15" s="1" t="s">
        <v>27</v>
      </c>
      <c r="C15" s="1" t="s">
        <v>28</v>
      </c>
      <c r="D15" s="1"/>
      <c r="E15" s="1"/>
      <c r="F15" s="1"/>
      <c r="G15" s="1"/>
      <c r="H15" s="1"/>
      <c r="I15" s="1"/>
      <c r="J15" s="1"/>
      <c r="K15" s="1"/>
      <c r="L15" s="1"/>
    </row>
    <row r="16" ht="15" customHeight="1">
      <c r="A16" s="1"/>
      <c r="B16" s="1" t="s">
        <v>29</v>
      </c>
      <c r="C16" s="1" t="s">
        <v>30</v>
      </c>
      <c r="D16" s="1"/>
      <c r="E16" s="1"/>
      <c r="F16" s="1"/>
      <c r="G16" s="1"/>
      <c r="H16" s="1"/>
      <c r="I16" s="1"/>
      <c r="J16" s="1"/>
      <c r="K16" s="1"/>
      <c r="L16" s="1"/>
    </row>
    <row r="17" ht="15" customHeight="1">
      <c r="A17" s="1"/>
      <c r="B17" s="1" t="s">
        <v>31</v>
      </c>
      <c r="C17" s="1" t="s">
        <v>32</v>
      </c>
      <c r="D17" s="1"/>
      <c r="E17" s="1"/>
      <c r="F17" s="1"/>
      <c r="G17" s="1"/>
      <c r="H17" s="1"/>
      <c r="I17" s="1"/>
      <c r="J17" s="1"/>
      <c r="K17" s="1"/>
      <c r="L17" s="1"/>
    </row>
    <row r="18" ht="15" customHeight="1">
      <c r="A18" s="1"/>
      <c r="B18" s="1" t="s">
        <v>33</v>
      </c>
      <c r="C18" s="1" t="s">
        <v>34</v>
      </c>
      <c r="D18" s="1"/>
      <c r="E18" s="1"/>
      <c r="F18" s="1"/>
      <c r="G18" s="1"/>
      <c r="H18" s="1"/>
      <c r="I18" s="1"/>
      <c r="J18" s="1"/>
      <c r="K18" s="1"/>
      <c r="L18" s="1"/>
    </row>
    <row r="19" ht="15" customHeight="1">
      <c r="A19" s="1"/>
      <c r="B19" s="1" t="s">
        <v>35</v>
      </c>
      <c r="C19" s="1" t="s">
        <v>36</v>
      </c>
      <c r="D19" s="1"/>
      <c r="E19" s="1"/>
      <c r="F19" s="1"/>
      <c r="G19" s="1"/>
      <c r="H19" s="1"/>
      <c r="I19" s="1"/>
      <c r="J19" s="1"/>
      <c r="K19" s="1"/>
      <c r="L19" s="1"/>
    </row>
    <row r="20" ht="1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ht="15" customHeight="1">
      <c r="A21" s="1"/>
      <c r="B21" s="4" t="s">
        <v>37</v>
      </c>
      <c r="C21" s="1"/>
      <c r="D21" s="1"/>
      <c r="E21" s="1"/>
      <c r="F21" s="1"/>
      <c r="G21" s="1"/>
      <c r="H21" s="1"/>
      <c r="I21" s="1"/>
      <c r="J21" s="1"/>
      <c r="K21" s="1"/>
      <c r="L21" s="1"/>
    </row>
    <row r="22" ht="21" customHeight="1">
      <c r="A22" s="1"/>
      <c r="B22" s="15" t="s">
        <v>38</v>
      </c>
      <c r="C22" s="16" t="s">
        <v>39</v>
      </c>
      <c r="D22" s="16" t="s">
        <v>40</v>
      </c>
      <c r="E22" s="16" t="s">
        <v>41</v>
      </c>
      <c r="F22" s="16" t="s">
        <v>42</v>
      </c>
      <c r="G22" s="16" t="s">
        <v>43</v>
      </c>
      <c r="H22" s="16" t="s">
        <v>44</v>
      </c>
      <c r="I22" s="16" t="s">
        <v>45</v>
      </c>
      <c r="J22" s="16" t="s">
        <v>46</v>
      </c>
      <c r="K22" s="15"/>
      <c r="L22" s="15"/>
    </row>
    <row r="23" ht="15" customHeight="1">
      <c r="A23" s="1"/>
      <c r="B23" s="1" t="s">
        <v>47</v>
      </c>
      <c r="C23" s="17">
        <f>'Revenue summary'!J50</f>
        <v>24225.574644864093</v>
      </c>
      <c r="D23" s="17">
        <f>Inputs!C67</f>
        <v>24105.4</v>
      </c>
      <c r="E23" s="18">
        <f t="shared" si="1" ref="E23:E27">C23-D23</f>
        <v>120.17464486409153</v>
      </c>
      <c r="F23" s="19">
        <f t="shared" si="2" ref="F23:F27">C23/D23-1</f>
        <v>0.004985382730180454</v>
      </c>
      <c r="G23" s="17">
        <f>Inputs!C137</f>
        <v>23840</v>
      </c>
      <c r="H23" s="17">
        <f>Guidance!J52</f>
        <v>23440.32554157034</v>
      </c>
      <c r="I23" s="19">
        <f t="shared" si="3" ref="I23:I27">C23/H23-1</f>
        <v>0.03349992310905203</v>
      </c>
      <c r="J23" s="20">
        <f>Inputs!C72</f>
        <v>18</v>
      </c>
      <c r="K23" s="1"/>
      <c r="L23" s="1"/>
    </row>
    <row r="24" ht="15" customHeight="1">
      <c r="A24" s="1"/>
      <c r="B24" s="1" t="s">
        <v>48</v>
      </c>
      <c r="C24" s="17">
        <f>'Income Statement'!J187</f>
        <v>2492.841196621569</v>
      </c>
      <c r="D24" s="17">
        <f>Inputs!C80</f>
        <v>2438.37</v>
      </c>
      <c r="E24" s="18">
        <f t="shared" si="1"/>
        <v>54.471196621569106</v>
      </c>
      <c r="F24" s="19">
        <f t="shared" si="2"/>
        <v>0.022339184217968988</v>
      </c>
      <c r="G24" s="18"/>
      <c r="H24" s="17">
        <f>Guidance!J58</f>
        <v>2508.904948904119</v>
      </c>
      <c r="I24" s="19">
        <f t="shared" si="3"/>
        <v>-0.0064026946455530975</v>
      </c>
      <c r="J24" s="21"/>
      <c r="K24" s="1"/>
      <c r="L24" s="1"/>
    </row>
    <row r="25" ht="15" customHeight="1">
      <c r="A25" s="1"/>
      <c r="B25" s="1" t="s">
        <v>49</v>
      </c>
      <c r="C25" s="17">
        <f>'Income Statement'!J87</f>
        <v>2085.201196621569</v>
      </c>
      <c r="D25" s="17">
        <f>Inputs!C81</f>
        <v>2081.12</v>
      </c>
      <c r="E25" s="18">
        <f t="shared" si="1"/>
        <v>4.081196621569234</v>
      </c>
      <c r="F25" s="19">
        <f t="shared" si="2"/>
        <v>0.0019610578061663997</v>
      </c>
      <c r="G25" s="18"/>
      <c r="H25" s="17">
        <f>Guidance!J59</f>
        <v>2101.264948904119</v>
      </c>
      <c r="I25" s="19">
        <f t="shared" si="3"/>
        <v>-0.0076448009523634175</v>
      </c>
      <c r="J25" s="21"/>
      <c r="K25" s="1"/>
      <c r="L25" s="1"/>
    </row>
    <row r="26" ht="15" customHeight="1">
      <c r="A26" s="1"/>
      <c r="B26" s="1" t="s">
        <v>50</v>
      </c>
      <c r="C26" s="22">
        <f>'Income Statement'!J192</f>
        <v>1.8239856564144061</v>
      </c>
      <c r="D26" s="22">
        <f>Inputs!C49</f>
        <v>1.78</v>
      </c>
      <c r="E26" s="23">
        <f t="shared" si="1"/>
        <v>0.043985656414406105</v>
      </c>
      <c r="F26" s="19">
        <f t="shared" si="2"/>
        <v>0.024711042929441707</v>
      </c>
      <c r="G26" s="22">
        <f>Inputs!C136</f>
        <v>1.76</v>
      </c>
      <c r="H26" s="22">
        <f>Guidance!J57</f>
        <v>1.8357393348241156</v>
      </c>
      <c r="I26" s="19">
        <f t="shared" si="3"/>
        <v>-0.0064026946455529865</v>
      </c>
      <c r="J26" s="20">
        <f>Inputs!C54</f>
        <v>19</v>
      </c>
      <c r="K26" s="1"/>
      <c r="L26" s="1"/>
    </row>
    <row r="27" ht="15" customHeight="1">
      <c r="A27" s="1"/>
      <c r="B27" s="1" t="s">
        <v>51</v>
      </c>
      <c r="C27" s="22">
        <f>'Income Statement'!J96</f>
        <v>1.525719760460649</v>
      </c>
      <c r="D27" s="22">
        <f>Inputs!C58</f>
        <v>1.52</v>
      </c>
      <c r="E27" s="23">
        <f t="shared" si="1"/>
        <v>0.005719760460648926</v>
      </c>
      <c r="F27" s="19">
        <f t="shared" si="2"/>
        <v>0.003763000303058428</v>
      </c>
      <c r="G27" s="23"/>
      <c r="H27" s="22">
        <f>Guidance!J60</f>
        <v>1.5374734388703586</v>
      </c>
      <c r="I27" s="19">
        <f t="shared" si="3"/>
        <v>-0.0076448009523634175</v>
      </c>
      <c r="J27" s="20">
        <f>Inputs!C63</f>
        <v>11</v>
      </c>
      <c r="K27" s="1"/>
      <c r="L27" s="1"/>
    </row>
    <row r="28" ht="15" customHeight="1">
      <c r="A28" s="1"/>
      <c r="B28" s="24" t="s">
        <v>52</v>
      </c>
      <c r="C28" s="25" t="str">
        <f>IF(COUNTA(C38,D38,C39,D39,C40,D40,C41,D41,C42,D42,C43,'Revenue summary'!C49:I49,'Revenue summary'!C58:I58,'Revenue summary'!C76:J76,'Revenue summary'!C133:J133,'Segment - Collins Aerospace'!C90:I90,'Segment - Collins Aerospace'!C104:J104,'Segment - Collins Aerospace'!C115:J115,'Segment - Collins Aerospace'!C160:I160,'Segment - Collins Aerospace'!C164:J164,'Segment - Pratt &amp; Whitney'!C97:I97,'Segment - Pratt &amp; Whitney'!C111:J111,'Segment - Pratt &amp; Whitney'!C122:J122,'Segment - Pratt &amp; Whitney'!C157:I157,'Segment - Pratt &amp; Whitney'!C161:J161,'Segment - Raytheon'!C79:I79,'Segment - Raytheon'!C93:J93,'Segment - Raytheon'!C113:J113,'Segment - Raytheon'!C148:I148,'Segment - Raytheon'!C152:J152,'Income Statement'!C25:J25,'Income Statement'!C99:J99,'Income Statement'!C101:I101,'Income Statement'!C103:I103,'Income Statement'!C105:I105,'Income Statement'!C121:I121,'Income Statement'!C143:I143,'Income Statement'!C153:J153,'Income Statement'!C154:J154,'Income Statement'!C168:I168,'Income Statement'!C186:I186,'Income Statement'!C191:I191,'Income Statement'!C195:J195,'Income Statement'!C197:I197,'Income Statement'!C199:I199,'Income Statement'!C222:J222,'Balance Sheet'!C50:J50,'Cash Flow Statement'!C54:I54,'Cash Flow Statement'!C76:I76,'Cash Flow Statement'!C96:I96,'Cash Flow Statement'!C104:I104,'Cash Flow Statement'!C115:I115,'Cash Flow Statement'!C123:J123,Geo!C137:J137)-COUNT(C38,D38,C39,D39,C40,D40,C41,D41,C42,D42,C43,'Revenue summary'!C49:I49,'Revenue summary'!C58:I58,'Revenue summary'!C76:J76,'Revenue summary'!C133:J133,'Segment - Collins Aerospace'!C90:I90,'Segment - Collins Aerospace'!C104:J104,'Segment - Collins Aerospace'!C115:J115,'Segment - Collins Aerospace'!C160:I160,'Segment - Collins Aerospace'!C164:J164,'Segment - Pratt &amp; Whitney'!C97:I97,'Segment - Pratt &amp; Whitney'!C111:J111,'Segment - Pratt &amp; Whitney'!C122:J122,'Segment - Pratt &amp; Whitney'!C157:I157,'Segment - Pratt &amp; Whitney'!C161:J161,'Segment - Raytheon'!C79:I79,'Segment - Raytheon'!C93:J93,'Segment - Raytheon'!C113:J113,'Segment - Raytheon'!C148:I148,'Segment - Raytheon'!C152:J152,'Income Statement'!C25:J25,'Income Statement'!C99:J99,'Income Statement'!C101:I101,'Income Statement'!C103:I103,'Income Statement'!C105:I105,'Income Statement'!C121:I121,'Income Statement'!C143:I143,'Income Statement'!C153:J153,'Income Statement'!C154:J154,'Income Statement'!C168:I168,'Income Statement'!C186:I186,'Income Statement'!C191:I191,'Income Statement'!C195:J195,'Income Statement'!C197:I197,'Income Statement'!C199:I199,'Income Statement'!C222:J222,'Balance Sheet'!C50:J50,'Cash Flow Statement'!C54:I54,'Cash Flow Statement'!C76:I76,'Cash Flow Statement'!C96:I96,'Cash Flow Statement'!C104:I104,'Cash Flow Statement'!C115:I115,'Cash Flow Statement'!C123:J123,Geo!C137:J137)&gt;0,"FAIL",IF(ABS(C38)+ABS(D38)+ABS(C39)+ABS(D39)+ABS(C40)+ABS(D40)+ABS(C41)+ABS(D41)+ABS(C42)+ABS(D42)+ABS(C43)+SUMIF('Revenue summary'!C49:I49,"&gt;0")-SUMIF('Revenue summary'!C49:I49,"&lt;0")+SUMIF('Revenue summary'!C58:I58,"&gt;0")-SUMIF('Revenue summary'!C58:I58,"&lt;0")+SUMIF('Revenue summary'!C76:J76,"&gt;0")-SUMIF('Revenue summary'!C76:J76,"&lt;0")+SUMIF('Revenue summary'!C133:J133,"&gt;0")-SUMIF('Revenue summary'!C133:J133,"&lt;0")+SUMIF('Segment - Collins Aerospace'!C90:I90,"&gt;0")-SUMIF('Segment - Collins Aerospace'!C90:I90,"&lt;0")+SUMIF('Segment - Collins Aerospace'!C104:J104,"&gt;0")-SUMIF('Segment - Collins Aerospace'!C104:J104,"&lt;0")+SUMIF('Segment - Collins Aerospace'!C115:J115,"&gt;0")-SUMIF('Segment - Collins Aerospace'!C115:J115,"&lt;0")+SUMIF('Segment - Collins Aerospace'!C160:I160,"&gt;0")-SUMIF('Segment - Collins Aerospace'!C160:I160,"&lt;0")+SUMIF('Segment - Collins Aerospace'!C164:J164,"&gt;0")-SUMIF('Segment - Collins Aerospace'!C164:J164,"&lt;0")+SUMIF('Segment - Pratt &amp; Whitney'!C97:I97,"&gt;0")-SUMIF('Segment - Pratt &amp; Whitney'!C97:I97,"&lt;0")+SUMIF('Segment - Pratt &amp; Whitney'!C111:J111,"&gt;0")-SUMIF('Segment - Pratt &amp; Whitney'!C111:J111,"&lt;0")+SUMIF('Segment - Pratt &amp; Whitney'!C122:J122,"&gt;0")-SUMIF('Segment - Pratt &amp; Whitney'!C122:J122,"&lt;0")+SUMIF('Segment - Pratt &amp; Whitney'!C157:I157,"&gt;0")-SUMIF('Segment - Pratt &amp; Whitney'!C157:I157,"&lt;0")+SUMIF('Segment - Pratt &amp; Whitney'!C161:J161,"&gt;0")-SUMIF('Segment - Pratt &amp; Whitney'!C161:J161,"&lt;0")+SUMIF('Segment - Raytheon'!C79:I79,"&gt;0")-SUMIF('Segment - Raytheon'!C79:I79,"&lt;0")+SUMIF('Segment - Raytheon'!C93:J93,"&gt;0")-SUMIF('Segment - Raytheon'!C93:J93,"&lt;0")+SUMIF('Segment - Raytheon'!C113:J113,"&gt;0")-SUMIF('Segment - Raytheon'!C113:J113,"&lt;0")+SUMIF('Segment - Raytheon'!C148:I148,"&gt;0")-SUMIF('Segment - Raytheon'!C148:I148,"&lt;0")+SUMIF('Segment - Raytheon'!C152:J152,"&gt;0")-SUMIF('Segment - Raytheon'!C152:J152,"&lt;0")+SUMIF('Income Statement'!C25:J25,"&gt;0")-SUMIF('Income Statement'!C25:J25,"&lt;0")+SUMIF('Income Statement'!C99:J99,"&gt;0")-SUMIF('Income Statement'!C99:J99,"&lt;0")+SUMIF('Income Statement'!C101:I101,"&gt;0")-SUMIF('Income Statement'!C101:I101,"&lt;0")+SUMIF('Income Statement'!C103:I103,"&gt;0")-SUMIF('Income Statement'!C103:I103,"&lt;0")+SUMIF('Income Statement'!C105:I105,"&gt;0")-SUMIF('Income Statement'!C105:I105,"&lt;0")+SUMIF('Income Statement'!C121:I121,"&gt;0")-SUMIF('Income Statement'!C121:I121,"&lt;0")+SUMIF('Income Statement'!C143:I143,"&gt;0")-SUMIF('Income Statement'!C143:I143,"&lt;0")+SUMIF('Income Statement'!C153:J153,"&gt;0")-SUMIF('Income Statement'!C153:J153,"&lt;0")+SUMIF('Income Statement'!C154:J154,"&gt;0")-SUMIF('Income Statement'!C154:J154,"&lt;0")+SUMIF('Income Statement'!C168:I168,"&gt;0")-SUMIF('Income Statement'!C168:I168,"&lt;0")+SUMIF('Income Statement'!C186:I186,"&gt;0")-SUMIF('Income Statement'!C186:I186,"&lt;0")+SUMIF('Income Statement'!C191:I191,"&gt;0")-SUMIF('Income Statement'!C191:I191,"&lt;0")+SUMIF('Income Statement'!C195:J195,"&gt;0")-SUMIF('Income Statement'!C195:J195,"&lt;0")+SUMIF('Income Statement'!C197:I197,"&gt;0")-SUMIF('Income Statement'!C197:I197,"&lt;0")+SUMIF('Income Statement'!C199:I199,"&gt;0")-SUMIF('Income Statement'!C199:I199,"&lt;0")+SUMIF('Income Statement'!C222:J222,"&gt;0")-SUMIF('Income Statement'!C222:J222,"&lt;0")+SUMIF('Balance Sheet'!C50:J50,"&gt;0")-SUMIF('Balance Sheet'!C50:J50,"&lt;0")+SUMIF('Cash Flow Statement'!C54:I54,"&gt;0")-SUMIF('Cash Flow Statement'!C54:I54,"&lt;0")+SUMIF('Cash Flow Statement'!C76:I76,"&gt;0")-SUMIF('Cash Flow Statement'!C76:I76,"&lt;0")+SUMIF('Cash Flow Statement'!C96:I96,"&gt;0")-SUMIF('Cash Flow Statement'!C96:I96,"&lt;0")+SUMIF('Cash Flow Statement'!C104:I104,"&gt;0")-SUMIF('Cash Flow Statement'!C104:I104,"&lt;0")+SUMIF('Cash Flow Statement'!C115:I115,"&gt;0")-SUMIF('Cash Flow Statement'!C115:I115,"&lt;0")+SUMIF('Cash Flow Statement'!C123:J123,"&gt;0")-SUMIF('Cash Flow Statement'!C123:J123,"&lt;0")+SUMIF(Geo!C137:J137,"&gt;0")-SUMIF(Geo!C137:J137,"&lt;0")&lt;0.01,"PASS","FAIL"))</f>
        <v>PASS</v>
      </c>
      <c r="D28" s="1" t="s">
        <v>54</v>
      </c>
      <c r="E28" s="1"/>
      <c r="F28" s="1"/>
      <c r="G28" s="1"/>
      <c r="H28" s="1"/>
      <c r="I28" s="1"/>
      <c r="J28" s="1"/>
      <c r="K28" s="1"/>
      <c r="L28" s="1"/>
    </row>
    <row r="29" ht="15" customHeight="1">
      <c r="A29" s="1"/>
      <c r="B29" s="4" t="s">
        <v>55</v>
      </c>
      <c r="C29" s="26">
        <f>Inputs!C130</f>
        <v>0.8042857142857143</v>
      </c>
      <c r="D29" s="27"/>
      <c r="E29" s="27"/>
      <c r="F29" s="27"/>
      <c r="G29" s="27"/>
      <c r="H29" s="27"/>
      <c r="I29" s="27"/>
      <c r="J29" s="27"/>
      <c r="K29" s="1"/>
      <c r="L29" s="1"/>
    </row>
    <row r="30" ht="15" customHeight="1">
      <c r="A30" s="1"/>
      <c r="B30" s="4" t="s">
        <v>56</v>
      </c>
      <c r="C30" s="4" t="s">
        <v>57</v>
      </c>
      <c r="D30" s="1"/>
      <c r="E30" s="1"/>
      <c r="F30" s="1"/>
      <c r="G30" s="1"/>
      <c r="H30" s="1"/>
      <c r="I30" s="1"/>
      <c r="J30" s="1"/>
      <c r="K30" s="1"/>
      <c r="L30" s="1"/>
    </row>
    <row r="31" ht="1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ht="15" customHeight="1">
      <c r="A32" s="1"/>
      <c r="B32" s="5" t="s">
        <v>58</v>
      </c>
      <c r="C32" s="28">
        <f>Inputs!C128</f>
        <v>0.8742857142857143</v>
      </c>
      <c r="D32" s="19"/>
      <c r="E32" s="19"/>
      <c r="F32" s="19"/>
      <c r="G32" s="19"/>
      <c r="H32" s="19"/>
      <c r="I32" s="19"/>
      <c r="J32" s="19"/>
      <c r="K32" s="1"/>
      <c r="L32" s="1"/>
    </row>
    <row r="33" ht="15" customHeight="1">
      <c r="A33" s="1"/>
      <c r="B33" s="1" t="s">
        <v>59</v>
      </c>
      <c r="C33" s="22">
        <f>Inputs!C52</f>
        <v>1.72</v>
      </c>
      <c r="D33" s="22">
        <f>Inputs!C51</f>
        <v>1.84</v>
      </c>
      <c r="E33" s="23"/>
      <c r="F33" s="23"/>
      <c r="G33" s="23"/>
      <c r="H33" s="23"/>
      <c r="I33" s="23"/>
      <c r="J33" s="23"/>
      <c r="K33" s="1"/>
      <c r="L33" s="1"/>
    </row>
    <row r="34" ht="15" customHeight="1">
      <c r="A34" s="1"/>
      <c r="B34" s="1" t="s">
        <v>60</v>
      </c>
      <c r="C34" s="22">
        <f>Inputs!C53</f>
        <v>0.03</v>
      </c>
      <c r="D34" s="23"/>
      <c r="E34" s="23"/>
      <c r="F34" s="23"/>
      <c r="G34" s="23"/>
      <c r="H34" s="23"/>
      <c r="I34" s="23"/>
      <c r="J34" s="23"/>
      <c r="K34" s="1"/>
      <c r="L34" s="1"/>
    </row>
    <row r="35" ht="15" customHeight="1">
      <c r="A35" s="1"/>
      <c r="B35" s="1" t="s">
        <v>61</v>
      </c>
      <c r="C35" s="1"/>
      <c r="D35" s="1"/>
      <c r="E35" s="1"/>
      <c r="F35" s="1"/>
      <c r="G35" s="1"/>
      <c r="H35" s="1"/>
      <c r="I35" s="1"/>
      <c r="J35" s="1"/>
      <c r="K35" s="1"/>
      <c r="L35" s="1"/>
    </row>
    <row r="36" ht="1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ht="15" customHeight="1">
      <c r="A37" s="1"/>
      <c r="B37" s="4" t="s">
        <v>62</v>
      </c>
      <c r="C37" s="1"/>
      <c r="D37" s="1"/>
      <c r="E37" s="1"/>
      <c r="F37" s="1"/>
      <c r="G37" s="1"/>
      <c r="H37" s="1"/>
      <c r="I37" s="1"/>
      <c r="J37" s="1"/>
      <c r="K37" s="1"/>
      <c r="L37" s="1"/>
    </row>
    <row r="38" ht="15" customHeight="1">
      <c r="A38" s="1"/>
      <c r="B38" s="1" t="s">
        <v>63</v>
      </c>
      <c r="C38" s="17">
        <f>C23-'Revenue summary'!J50</f>
        <v>0</v>
      </c>
      <c r="D38" s="17">
        <f>D23-Inputs!C67</f>
        <v>0</v>
      </c>
      <c r="E38" s="18"/>
      <c r="F38" s="18"/>
      <c r="G38" s="18"/>
      <c r="H38" s="18"/>
      <c r="I38" s="18"/>
      <c r="J38" s="18"/>
      <c r="K38" s="1"/>
      <c r="L38" s="1"/>
    </row>
    <row r="39" ht="15" customHeight="1">
      <c r="A39" s="1"/>
      <c r="B39" s="1" t="s">
        <v>64</v>
      </c>
      <c r="C39" s="17">
        <f>C24-'Income Statement'!J187</f>
        <v>0</v>
      </c>
      <c r="D39" s="17">
        <f>D24-Inputs!C80</f>
        <v>0</v>
      </c>
      <c r="E39" s="18"/>
      <c r="F39" s="18"/>
      <c r="G39" s="18"/>
      <c r="H39" s="18"/>
      <c r="I39" s="18"/>
      <c r="J39" s="18"/>
      <c r="K39" s="1"/>
      <c r="L39" s="1"/>
    </row>
    <row r="40" ht="15" customHeight="1">
      <c r="A40" s="1"/>
      <c r="B40" s="1" t="s">
        <v>65</v>
      </c>
      <c r="C40" s="17">
        <f>C25-'Income Statement'!J87</f>
        <v>0</v>
      </c>
      <c r="D40" s="17">
        <f>D25-Inputs!C81</f>
        <v>0</v>
      </c>
      <c r="E40" s="18"/>
      <c r="F40" s="18"/>
      <c r="G40" s="18"/>
      <c r="H40" s="18"/>
      <c r="I40" s="18"/>
      <c r="J40" s="18"/>
      <c r="K40" s="1"/>
      <c r="L40" s="1"/>
    </row>
    <row r="41" ht="15" customHeight="1">
      <c r="A41" s="1"/>
      <c r="B41" s="1" t="s">
        <v>66</v>
      </c>
      <c r="C41" s="17">
        <f>C26-'Income Statement'!J192</f>
        <v>0</v>
      </c>
      <c r="D41" s="17">
        <f>D26-Inputs!C49</f>
        <v>0</v>
      </c>
      <c r="E41" s="18"/>
      <c r="F41" s="18"/>
      <c r="G41" s="18"/>
      <c r="H41" s="18"/>
      <c r="I41" s="18"/>
      <c r="J41" s="18"/>
      <c r="K41" s="1"/>
      <c r="L41" s="1"/>
    </row>
    <row r="42" ht="15" customHeight="1">
      <c r="A42" s="1"/>
      <c r="B42" s="1" t="s">
        <v>67</v>
      </c>
      <c r="C42" s="17">
        <f>C27-'Income Statement'!J96</f>
        <v>0</v>
      </c>
      <c r="D42" s="17">
        <f>D27-Inputs!C58</f>
        <v>0</v>
      </c>
      <c r="E42" s="18"/>
      <c r="F42" s="18"/>
      <c r="G42" s="18"/>
      <c r="H42" s="18"/>
      <c r="I42" s="18"/>
      <c r="J42" s="18"/>
      <c r="K42" s="1"/>
      <c r="L42" s="1"/>
    </row>
    <row r="43" ht="15" customHeight="1">
      <c r="A43" s="1"/>
      <c r="B43" s="1" t="s">
        <v>68</v>
      </c>
      <c r="C43" s="17">
        <f>C29-Inputs!C130</f>
        <v>0</v>
      </c>
      <c r="D43" s="18"/>
      <c r="E43" s="18"/>
      <c r="F43" s="18"/>
      <c r="G43" s="18"/>
      <c r="H43" s="18"/>
      <c r="I43" s="18"/>
      <c r="J43" s="18"/>
      <c r="K43" s="1"/>
      <c r="L43" s="1"/>
    </row>
    <row r="44" ht="1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drawing r:id="rId1"/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D6DCC813-08F9-FDE8-7941-81F122CB6FBE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6.00390625" customWidth="1"/>
    <col min="3" max="10" width="12.00390625" customWidth="1"/>
    <col min="11" max="11" width="20.00390625" customWidth="1"/>
    <col min="12" max="12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4" t="s">
        <v>69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ht="15" customHeight="1">
      <c r="A6" s="1"/>
      <c r="B6" s="6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8" t="s">
        <v>12</v>
      </c>
      <c r="K6" s="6" t="s">
        <v>13</v>
      </c>
      <c r="L6" s="6" t="s">
        <v>14</v>
      </c>
    </row>
    <row r="7" ht="15" customHeight="1">
      <c r="A7" s="1"/>
      <c r="B7" s="9" t="s">
        <v>15</v>
      </c>
      <c r="C7" s="10">
        <v>45747</v>
      </c>
      <c r="D7" s="10">
        <v>45838</v>
      </c>
      <c r="E7" s="10">
        <v>45930</v>
      </c>
      <c r="F7" s="10">
        <v>46022</v>
      </c>
      <c r="G7" s="10">
        <v>46022</v>
      </c>
      <c r="H7" s="10">
        <v>46112</v>
      </c>
      <c r="I7" s="10">
        <v>46203</v>
      </c>
      <c r="J7" s="11">
        <v>46295</v>
      </c>
      <c r="K7" s="9"/>
      <c r="L7" s="9"/>
    </row>
    <row r="8" ht="15" customHeight="1">
      <c r="A8" s="1"/>
      <c r="B8" s="12" t="s">
        <v>16</v>
      </c>
      <c r="C8" s="13">
        <f>C7-EOMONTH(C7,-3)</f>
        <v>90</v>
      </c>
      <c r="D8" s="13">
        <f t="shared" si="0" ref="D8:J8">D7-C7</f>
        <v>91</v>
      </c>
      <c r="E8" s="13">
        <f t="shared" si="0"/>
        <v>92</v>
      </c>
      <c r="F8" s="13">
        <f t="shared" si="0"/>
        <v>92</v>
      </c>
      <c r="G8" s="13">
        <f>G7-EOMONTH(G7,-12)</f>
        <v>365</v>
      </c>
      <c r="H8" s="13">
        <f>H7-F7</f>
        <v>90</v>
      </c>
      <c r="I8" s="13">
        <f t="shared" si="0"/>
        <v>91</v>
      </c>
      <c r="J8" s="14">
        <f t="shared" si="0"/>
        <v>92</v>
      </c>
      <c r="K8" s="12"/>
      <c r="L8" s="12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15" customHeight="1">
      <c r="A10" s="1"/>
      <c r="B10" s="4" t="s">
        <v>70</v>
      </c>
      <c r="C10" s="1"/>
      <c r="D10" s="1"/>
      <c r="E10" s="1"/>
      <c r="F10" s="1"/>
      <c r="G10" s="1"/>
      <c r="H10" s="1"/>
      <c r="I10" s="1"/>
      <c r="J10" s="29"/>
      <c r="K10" s="1"/>
      <c r="L10" s="1"/>
    </row>
    <row r="11" ht="15" customHeight="1">
      <c r="A11" s="1"/>
      <c r="B11" s="1" t="s">
        <v>71</v>
      </c>
      <c r="C11" s="17">
        <f>'Segment - Collins Aerospace'!C70</f>
        <v>7217</v>
      </c>
      <c r="D11" s="17">
        <f>'Segment - Collins Aerospace'!D70</f>
        <v>7622</v>
      </c>
      <c r="E11" s="17">
        <f>'Segment - Collins Aerospace'!E70</f>
        <v>7621</v>
      </c>
      <c r="F11" s="17">
        <f>'Segment - Collins Aerospace'!F70</f>
        <v>7736</v>
      </c>
      <c r="G11" s="17">
        <f>'Segment - Collins Aerospace'!G70</f>
        <v>30196</v>
      </c>
      <c r="H11" s="17">
        <f>'Segment - Collins Aerospace'!H70</f>
        <v>7602</v>
      </c>
      <c r="I11" s="17">
        <f>'Segment - Collins Aerospace'!I70</f>
        <v>8210</v>
      </c>
      <c r="J11" s="30">
        <f>'Segment - Collins Aerospace'!J70</f>
        <v>8205.823167999999</v>
      </c>
      <c r="K11" s="1" t="s">
        <v>72</v>
      </c>
      <c r="L11" s="1"/>
    </row>
    <row r="12" ht="15" customHeight="1">
      <c r="A12" s="1"/>
      <c r="B12" s="5" t="s">
        <v>73</v>
      </c>
      <c r="C12" s="28">
        <f>C11/'Segment - Collins Aerospace'!C71-1</f>
        <v>0.08152255357410465</v>
      </c>
      <c r="D12" s="28">
        <f>D11/'Segment - Collins Aerospace'!D71-1</f>
        <v>0.08901271610230044</v>
      </c>
      <c r="E12" s="28">
        <f>E11/'Segment - Collins Aerospace'!E71-1</f>
        <v>0.0771731448763251</v>
      </c>
      <c r="F12" s="28">
        <f>F11/'Segment - Collins Aerospace'!F71-1</f>
        <v>0.026403078147804182</v>
      </c>
      <c r="G12" s="28">
        <f>G11/'Segment - Collins Aerospace'!G71-1</f>
        <v>0.06760005656908508</v>
      </c>
      <c r="H12" s="28">
        <f>H11/'Segment - Collins Aerospace'!H71-1</f>
        <v>0.05334626576139678</v>
      </c>
      <c r="I12" s="28">
        <f>I11/'Segment - Collins Aerospace'!I71-1</f>
        <v>0.07714510627131976</v>
      </c>
      <c r="J12" s="31">
        <f>J11/'Segment - Collins Aerospace'!J71-1</f>
        <v>0.07673837659099836</v>
      </c>
      <c r="K12" s="1"/>
      <c r="L12" s="1"/>
    </row>
    <row r="13" ht="15" customHeight="1">
      <c r="A13" s="1"/>
      <c r="B13" s="5" t="s">
        <v>74</v>
      </c>
      <c r="C13" s="19"/>
      <c r="D13" s="19">
        <f t="shared" si="1" ref="D13:J25">IF(COUNT(D11,C11)&lt;2,"n/a",IF(D11*C11&lt;=0,"n/m",D11/C11-1))</f>
        <v>0.05611750034640428</v>
      </c>
      <c r="E13" s="19">
        <f t="shared" si="1"/>
        <v>-0.00013119916032533485</v>
      </c>
      <c r="F13" s="19">
        <f t="shared" si="1"/>
        <v>0.015089883217425548</v>
      </c>
      <c r="G13" s="19"/>
      <c r="H13" s="19">
        <f t="shared" si="3" ref="H13:H25">IF(COUNT(H11,F11)&lt;2,"n/a",IF(H11*F11&lt;=0,"n/m",H11/F11-1))</f>
        <v>-0.017321613236814914</v>
      </c>
      <c r="I13" s="19">
        <f t="shared" si="1"/>
        <v>0.07997895290712975</v>
      </c>
      <c r="J13" s="32">
        <f t="shared" si="1"/>
        <v>-0.0005087493300853785</v>
      </c>
      <c r="K13" s="1"/>
      <c r="L13" s="1"/>
    </row>
    <row r="14" ht="15" customHeight="1">
      <c r="A14" s="1"/>
      <c r="B14" s="5" t="s">
        <v>75</v>
      </c>
      <c r="C14" s="19">
        <f t="shared" si="2" ref="C14:J14">C11/C50</f>
        <v>0.35541219344036246</v>
      </c>
      <c r="D14" s="19">
        <f t="shared" si="2"/>
        <v>0.35318103887678975</v>
      </c>
      <c r="E14" s="19">
        <f t="shared" si="2"/>
        <v>0.33904261945012903</v>
      </c>
      <c r="F14" s="19">
        <f t="shared" si="2"/>
        <v>0.3191682482052975</v>
      </c>
      <c r="G14" s="19">
        <f t="shared" si="2"/>
        <v>0.34080110154283716</v>
      </c>
      <c r="H14" s="19">
        <f t="shared" si="2"/>
        <v>0.34435586156912484</v>
      </c>
      <c r="I14" s="19">
        <f t="shared" si="2"/>
        <v>0.3322810425773029</v>
      </c>
      <c r="J14" s="32">
        <f t="shared" si="2"/>
        <v>0.3387256355439916</v>
      </c>
      <c r="K14" s="1"/>
      <c r="L14" s="1"/>
    </row>
    <row r="15" ht="15" customHeight="1">
      <c r="A15" s="1"/>
      <c r="B15" s="1" t="s">
        <v>76</v>
      </c>
      <c r="C15" s="17">
        <f>'Segment - Pratt &amp; Whitney'!C77</f>
        <v>7366</v>
      </c>
      <c r="D15" s="17">
        <f>'Segment - Pratt &amp; Whitney'!D77</f>
        <v>7631</v>
      </c>
      <c r="E15" s="17">
        <f>'Segment - Pratt &amp; Whitney'!E77</f>
        <v>8423</v>
      </c>
      <c r="F15" s="17">
        <f>'Segment - Pratt &amp; Whitney'!F77</f>
        <v>9496</v>
      </c>
      <c r="G15" s="17">
        <f>'Segment - Pratt &amp; Whitney'!G77</f>
        <v>32916</v>
      </c>
      <c r="H15" s="17">
        <f>'Segment - Pratt &amp; Whitney'!H77</f>
        <v>8173</v>
      </c>
      <c r="I15" s="17">
        <f>'Segment - Pratt &amp; Whitney'!I77</f>
        <v>8889</v>
      </c>
      <c r="J15" s="30">
        <f>'Segment - Pratt &amp; Whitney'!J77</f>
        <v>8924.456756825395</v>
      </c>
      <c r="K15" s="1" t="s">
        <v>72</v>
      </c>
      <c r="L15" s="1"/>
    </row>
    <row r="16" ht="15" customHeight="1">
      <c r="A16" s="1"/>
      <c r="B16" s="5" t="s">
        <v>73</v>
      </c>
      <c r="C16" s="28">
        <f>C15/'Segment - Pratt &amp; Whitney'!C78-1</f>
        <v>0.14095415117719945</v>
      </c>
      <c r="D16" s="28">
        <f>D15/'Segment - Pratt &amp; Whitney'!D78-1</f>
        <v>0.1218759188473979</v>
      </c>
      <c r="E16" s="28">
        <f>E15/'Segment - Pratt &amp; Whitney'!E78-1</f>
        <v>0.16355850255560167</v>
      </c>
      <c r="F16" s="28">
        <f>F15/'Segment - Pratt &amp; Whitney'!F78-1</f>
        <v>0.2545910952569692</v>
      </c>
      <c r="G16" s="28">
        <f>G15/'Segment - Pratt &amp; Whitney'!G78-1</f>
        <v>0.17280695503456145</v>
      </c>
      <c r="H16" s="28">
        <f>H15/'Segment - Pratt &amp; Whitney'!H78-1</f>
        <v>0.10955742601140384</v>
      </c>
      <c r="I16" s="28">
        <f>I15/'Segment - Pratt &amp; Whitney'!I78-1</f>
        <v>0.16485388546717328</v>
      </c>
      <c r="J16" s="31">
        <f>J15/'Segment - Pratt &amp; Whitney'!J78-1</f>
        <v>0.05953422258404317</v>
      </c>
      <c r="K16" s="1"/>
      <c r="L16" s="1"/>
    </row>
    <row r="17" ht="15" customHeight="1">
      <c r="A17" s="1"/>
      <c r="B17" s="5" t="s">
        <v>74</v>
      </c>
      <c r="C17" s="19"/>
      <c r="D17" s="19">
        <f t="shared" si="1"/>
        <v>0.03597610643497151</v>
      </c>
      <c r="E17" s="19">
        <f t="shared" si="1"/>
        <v>0.10378718385532704</v>
      </c>
      <c r="F17" s="19">
        <f t="shared" si="1"/>
        <v>0.12738929122640386</v>
      </c>
      <c r="G17" s="19"/>
      <c r="H17" s="19">
        <f t="shared" si="3"/>
        <v>-0.1393218197135636</v>
      </c>
      <c r="I17" s="19">
        <f t="shared" si="1"/>
        <v>0.08760553040499208</v>
      </c>
      <c r="J17" s="32">
        <f t="shared" si="1"/>
        <v>0.003988835282416003</v>
      </c>
      <c r="K17" s="1"/>
      <c r="L17" s="1"/>
    </row>
    <row r="18" ht="15" customHeight="1">
      <c r="A18" s="1"/>
      <c r="B18" s="5" t="s">
        <v>75</v>
      </c>
      <c r="C18" s="19">
        <f t="shared" si="4" ref="C18:J18">C15/C50</f>
        <v>0.36274992613020784</v>
      </c>
      <c r="D18" s="19">
        <f t="shared" si="4"/>
        <v>0.35359807237848107</v>
      </c>
      <c r="E18" s="19">
        <f t="shared" si="4"/>
        <v>0.3747219503514548</v>
      </c>
      <c r="F18" s="19">
        <f t="shared" si="4"/>
        <v>0.3917815001237726</v>
      </c>
      <c r="G18" s="19">
        <f t="shared" si="4"/>
        <v>0.37149983634865635</v>
      </c>
      <c r="H18" s="19">
        <f t="shared" si="4"/>
        <v>0.3702210545388657</v>
      </c>
      <c r="I18" s="19">
        <f t="shared" si="4"/>
        <v>0.35976202039825156</v>
      </c>
      <c r="J18" s="32">
        <f t="shared" si="4"/>
        <v>0.36838988910083137</v>
      </c>
      <c r="K18" s="1"/>
      <c r="L18" s="1"/>
    </row>
    <row r="19" ht="15" customHeight="1">
      <c r="A19" s="1"/>
      <c r="B19" s="1" t="s">
        <v>77</v>
      </c>
      <c r="C19" s="17">
        <f>'Segment - Raytheon'!C59</f>
        <v>6340</v>
      </c>
      <c r="D19" s="17">
        <f>'Segment - Raytheon'!D59</f>
        <v>7001</v>
      </c>
      <c r="E19" s="17">
        <f>'Segment - Raytheon'!E59</f>
        <v>7045</v>
      </c>
      <c r="F19" s="17">
        <f>'Segment - Raytheon'!F59</f>
        <v>7657</v>
      </c>
      <c r="G19" s="17">
        <f>'Segment - Raytheon'!G59</f>
        <v>28043</v>
      </c>
      <c r="H19" s="17">
        <f>'Segment - Raytheon'!H59</f>
        <v>6945</v>
      </c>
      <c r="I19" s="17">
        <f>'Segment - Raytheon'!I59</f>
        <v>8269</v>
      </c>
      <c r="J19" s="30">
        <f>'Segment - Raytheon'!J59</f>
        <v>7739.999999999999</v>
      </c>
      <c r="K19" s="1" t="s">
        <v>72</v>
      </c>
      <c r="L19" s="1"/>
    </row>
    <row r="20" ht="15" customHeight="1">
      <c r="A20" s="1"/>
      <c r="B20" s="5" t="s">
        <v>73</v>
      </c>
      <c r="C20" s="28">
        <f>C19/'Segment - Raytheon'!C60-1</f>
        <v>-0.04790509085448269</v>
      </c>
      <c r="D20" s="28">
        <f>D19/'Segment - Raytheon'!D60-1</f>
        <v>0.06382008813250262</v>
      </c>
      <c r="E20" s="28">
        <f>E19/'Segment - Raytheon'!E60-1</f>
        <v>0.10319448794237385</v>
      </c>
      <c r="F20" s="28">
        <f>F19/'Segment - Raytheon'!F60-1</f>
        <v>0.0698616738857063</v>
      </c>
      <c r="G20" s="28">
        <f>G19/'Segment - Raytheon'!G60-1</f>
        <v>0.04704476720307649</v>
      </c>
      <c r="H20" s="28">
        <f>H19/'Segment - Raytheon'!H60-1</f>
        <v>0.09542586750788651</v>
      </c>
      <c r="I20" s="28">
        <f>I19/'Segment - Raytheon'!I60-1</f>
        <v>0.18111698328810166</v>
      </c>
      <c r="J20" s="31">
        <f>J19/'Segment - Raytheon'!J60-1</f>
        <v>0.09865152590489701</v>
      </c>
      <c r="K20" s="1"/>
      <c r="L20" s="1"/>
    </row>
    <row r="21" ht="15" customHeight="1">
      <c r="A21" s="1"/>
      <c r="B21" s="5" t="s">
        <v>74</v>
      </c>
      <c r="C21" s="19"/>
      <c r="D21" s="19">
        <f t="shared" si="1"/>
        <v>0.10425867507886433</v>
      </c>
      <c r="E21" s="19">
        <f t="shared" si="1"/>
        <v>0.006284816454792175</v>
      </c>
      <c r="F21" s="19">
        <f t="shared" si="1"/>
        <v>0.08687012065294542</v>
      </c>
      <c r="G21" s="19"/>
      <c r="H21" s="19">
        <f t="shared" si="3"/>
        <v>-0.09298680945540028</v>
      </c>
      <c r="I21" s="19">
        <f t="shared" si="1"/>
        <v>0.19064074874010073</v>
      </c>
      <c r="J21" s="32">
        <f t="shared" si="1"/>
        <v>-0.06397387834079105</v>
      </c>
      <c r="K21" s="1"/>
      <c r="L21" s="1"/>
    </row>
    <row r="22" ht="15" customHeight="1">
      <c r="A22" s="1"/>
      <c r="B22" s="5" t="s">
        <v>75</v>
      </c>
      <c r="C22" s="19">
        <f t="shared" si="5" ref="C22:J22">C19/C50</f>
        <v>0.3122229882793263</v>
      </c>
      <c r="D22" s="19">
        <f t="shared" si="5"/>
        <v>0.32440572726008987</v>
      </c>
      <c r="E22" s="19">
        <f t="shared" si="5"/>
        <v>0.3134175638401993</v>
      </c>
      <c r="F22" s="19">
        <f t="shared" si="5"/>
        <v>0.31590890337486593</v>
      </c>
      <c r="G22" s="19">
        <f t="shared" si="5"/>
        <v>0.3165016985880839</v>
      </c>
      <c r="H22" s="19">
        <f t="shared" si="5"/>
        <v>0.3145950353324878</v>
      </c>
      <c r="I22" s="19">
        <f t="shared" si="5"/>
        <v>0.33466893313906426</v>
      </c>
      <c r="J22" s="32">
        <f t="shared" si="5"/>
        <v>0.3194970651249714</v>
      </c>
      <c r="K22" s="1"/>
      <c r="L22" s="1"/>
    </row>
    <row r="23" ht="15" customHeight="1">
      <c r="A23" s="1"/>
      <c r="B23" s="4" t="s">
        <v>78</v>
      </c>
      <c r="C23" s="33">
        <f t="shared" si="6" ref="C23:J23">C11+C15+C19</f>
        <v>20923</v>
      </c>
      <c r="D23" s="33">
        <f t="shared" si="6"/>
        <v>22254</v>
      </c>
      <c r="E23" s="33">
        <f t="shared" si="6"/>
        <v>23089</v>
      </c>
      <c r="F23" s="33">
        <f t="shared" si="6"/>
        <v>24889</v>
      </c>
      <c r="G23" s="33">
        <f t="shared" si="6"/>
        <v>91155</v>
      </c>
      <c r="H23" s="33">
        <f t="shared" si="6"/>
        <v>22720</v>
      </c>
      <c r="I23" s="33">
        <f t="shared" si="6"/>
        <v>25368</v>
      </c>
      <c r="J23" s="34">
        <f t="shared" si="6"/>
        <v>24870.279924825394</v>
      </c>
      <c r="K23" s="1"/>
      <c r="L23" s="1"/>
    </row>
    <row r="24" ht="15" customHeight="1">
      <c r="A24" s="1"/>
      <c r="B24" s="5" t="s">
        <v>73</v>
      </c>
      <c r="C24" s="28">
        <f>C23/('Segment - Collins Aerospace'!C71+'Segment - Pratt &amp; Whitney'!C78+'Segment - Raytheon'!C60)-1</f>
        <v>0.05735799474428949</v>
      </c>
      <c r="D24" s="28">
        <f>D23/('Segment - Collins Aerospace'!D71+'Segment - Pratt &amp; Whitney'!D78+'Segment - Raytheon'!D60)-1</f>
        <v>0.09184574624668818</v>
      </c>
      <c r="E24" s="28">
        <f>E23/('Segment - Collins Aerospace'!E71+'Segment - Pratt &amp; Whitney'!E78+'Segment - Raytheon'!E60)-1</f>
        <v>0.11541062801932367</v>
      </c>
      <c r="F24" s="28">
        <f>F23/('Segment - Collins Aerospace'!F71+'Segment - Pratt &amp; Whitney'!F78+'Segment - Raytheon'!F60)-1</f>
        <v>0.11795355522615991</v>
      </c>
      <c r="G24" s="28">
        <f>G23/('Segment - Collins Aerospace'!G71+'Segment - Pratt &amp; Whitney'!G78+'Segment - Raytheon'!G60)-1</f>
        <v>0.09649597632709028</v>
      </c>
      <c r="H24" s="28">
        <f>H23/('Segment - Collins Aerospace'!H71+'Segment - Pratt &amp; Whitney'!H78+'Segment - Raytheon'!H60)-1</f>
        <v>0.08588634517038662</v>
      </c>
      <c r="I24" s="28">
        <f>I23/('Segment - Collins Aerospace'!I71+'Segment - Pratt &amp; Whitney'!I78+'Segment - Raytheon'!I60)-1</f>
        <v>0.13992990024265306</v>
      </c>
      <c r="J24" s="31">
        <f>J23/('Segment - Collins Aerospace'!J71+'Segment - Pratt &amp; Whitney'!J78+'Segment - Raytheon'!J60)-1</f>
        <v>0.07714842240137698</v>
      </c>
      <c r="K24" s="1"/>
      <c r="L24" s="1"/>
    </row>
    <row r="25" ht="15" customHeight="1">
      <c r="A25" s="1"/>
      <c r="B25" s="5" t="s">
        <v>74</v>
      </c>
      <c r="C25" s="19"/>
      <c r="D25" s="19">
        <f t="shared" si="1"/>
        <v>0.06361420446398691</v>
      </c>
      <c r="E25" s="19">
        <f t="shared" si="1"/>
        <v>0.03752134447739741</v>
      </c>
      <c r="F25" s="19">
        <f t="shared" si="1"/>
        <v>0.07795920135129286</v>
      </c>
      <c r="G25" s="19"/>
      <c r="H25" s="19">
        <f t="shared" si="3"/>
        <v>-0.08714693237976612</v>
      </c>
      <c r="I25" s="19">
        <f t="shared" si="1"/>
        <v>0.1165492957746479</v>
      </c>
      <c r="J25" s="32">
        <f t="shared" si="1"/>
        <v>-0.019619996656204952</v>
      </c>
      <c r="K25" s="1"/>
      <c r="L25" s="1"/>
    </row>
    <row r="26" ht="15" customHeight="1">
      <c r="A26" s="1"/>
      <c r="B26" s="5" t="s">
        <v>75</v>
      </c>
      <c r="C26" s="19">
        <f t="shared" si="7" ref="C26:J26">C23/C50</f>
        <v>1.0303851078498967</v>
      </c>
      <c r="D26" s="19">
        <f t="shared" si="7"/>
        <v>1.0311848385153608</v>
      </c>
      <c r="E26" s="19">
        <f t="shared" si="7"/>
        <v>1.027182133641783</v>
      </c>
      <c r="F26" s="19">
        <f t="shared" si="7"/>
        <v>1.026858651703936</v>
      </c>
      <c r="G26" s="19">
        <f t="shared" si="7"/>
        <v>1.0288026364795775</v>
      </c>
      <c r="H26" s="19">
        <f t="shared" si="7"/>
        <v>1.0291719514404782</v>
      </c>
      <c r="I26" s="19">
        <f t="shared" si="7"/>
        <v>1.0267119961146187</v>
      </c>
      <c r="J26" s="32">
        <f t="shared" si="7"/>
        <v>1.0266125897697944</v>
      </c>
      <c r="K26" s="1"/>
      <c r="L26" s="1"/>
    </row>
    <row r="27" ht="15" customHeight="1">
      <c r="A27" s="1"/>
      <c r="B27" s="4" t="s">
        <v>79</v>
      </c>
      <c r="C27" s="1"/>
      <c r="D27" s="1"/>
      <c r="E27" s="1"/>
      <c r="F27" s="1"/>
      <c r="G27" s="1"/>
      <c r="H27" s="1"/>
      <c r="I27" s="1"/>
      <c r="J27" s="29"/>
      <c r="K27" s="1"/>
      <c r="L27" s="1"/>
    </row>
    <row r="28" ht="15" customHeight="1">
      <c r="A28" s="1"/>
      <c r="B28" s="1" t="s">
        <v>80</v>
      </c>
      <c r="C28" s="35">
        <v>43</v>
      </c>
      <c r="D28" s="35">
        <v>45</v>
      </c>
      <c r="E28" s="35">
        <v>43</v>
      </c>
      <c r="F28" s="35">
        <v>43</v>
      </c>
      <c r="G28" s="18">
        <f t="shared" si="10" ref="G28:G116">SUM(C28:F28)</f>
        <v>174</v>
      </c>
      <c r="H28" s="35">
        <v>47</v>
      </c>
      <c r="I28" s="35">
        <v>46</v>
      </c>
      <c r="J28" s="36">
        <f t="shared" si="11" ref="J28:J32">I28</f>
        <v>46</v>
      </c>
      <c r="K28" s="1" t="s">
        <v>81</v>
      </c>
      <c r="L28" s="1" t="s">
        <v>82</v>
      </c>
    </row>
    <row r="29" ht="15" customHeight="1">
      <c r="A29" s="1"/>
      <c r="B29" s="5" t="s">
        <v>83</v>
      </c>
      <c r="C29" s="19"/>
      <c r="D29" s="19"/>
      <c r="E29" s="19"/>
      <c r="F29" s="19"/>
      <c r="G29" s="19"/>
      <c r="H29" s="19">
        <f t="shared" si="8" ref="H29:J150">IF(COUNT(H28,C28)&lt;2,"n/a",IF(H28*C28&lt;=0,"n/m",H28/C28-1))</f>
        <v>0.09302325581395343</v>
      </c>
      <c r="I29" s="19">
        <f t="shared" si="8"/>
        <v>0.022222222222222143</v>
      </c>
      <c r="J29" s="32">
        <f t="shared" si="8"/>
        <v>0.06976744186046502</v>
      </c>
      <c r="K29" s="1"/>
      <c r="L29" s="1"/>
    </row>
    <row r="30" ht="15" customHeight="1">
      <c r="A30" s="1"/>
      <c r="B30" s="1" t="s">
        <v>84</v>
      </c>
      <c r="C30" s="18"/>
      <c r="D30" s="18">
        <f t="shared" si="9" ref="D30:J151">IF(COUNT(D28,C28)&lt;2,"n/a",D28-C28)</f>
        <v>2</v>
      </c>
      <c r="E30" s="18">
        <f t="shared" si="9"/>
        <v>-2</v>
      </c>
      <c r="F30" s="18">
        <f t="shared" si="9"/>
        <v>0</v>
      </c>
      <c r="G30" s="18"/>
      <c r="H30" s="18">
        <f t="shared" si="12" ref="H30:H151">IF(COUNT(H28,F28)&lt;2,"n/a",H28-F28)</f>
        <v>4</v>
      </c>
      <c r="I30" s="18">
        <f t="shared" si="9"/>
        <v>-1</v>
      </c>
      <c r="J30" s="36">
        <f t="shared" si="9"/>
        <v>0</v>
      </c>
      <c r="K30" s="1"/>
      <c r="L30" s="1"/>
    </row>
    <row r="31" ht="15" customHeight="1">
      <c r="A31" s="1"/>
      <c r="B31" s="1" t="s">
        <v>85</v>
      </c>
      <c r="C31" s="37" t="s">
        <v>86</v>
      </c>
      <c r="D31" s="37" t="s">
        <v>86</v>
      </c>
      <c r="E31" s="37" t="s">
        <v>86</v>
      </c>
      <c r="F31" s="37" t="s">
        <v>86</v>
      </c>
      <c r="G31" s="37" t="s">
        <v>86</v>
      </c>
      <c r="H31" s="37" t="s">
        <v>86</v>
      </c>
      <c r="I31" s="37" t="s">
        <v>86</v>
      </c>
      <c r="J31" s="38" t="s">
        <v>86</v>
      </c>
      <c r="K31" s="1"/>
      <c r="L31" s="1" t="s">
        <v>87</v>
      </c>
    </row>
    <row r="32" ht="15" customHeight="1">
      <c r="A32" s="1"/>
      <c r="B32" s="1" t="s">
        <v>88</v>
      </c>
      <c r="C32" s="35">
        <v>11</v>
      </c>
      <c r="D32" s="35">
        <v>9</v>
      </c>
      <c r="E32" s="35">
        <v>8</v>
      </c>
      <c r="F32" s="35">
        <v>8</v>
      </c>
      <c r="G32" s="18">
        <f t="shared" si="10"/>
        <v>36</v>
      </c>
      <c r="H32" s="35">
        <v>8</v>
      </c>
      <c r="I32" s="35">
        <v>9</v>
      </c>
      <c r="J32" s="36">
        <f t="shared" si="11"/>
        <v>9</v>
      </c>
      <c r="K32" s="1" t="s">
        <v>81</v>
      </c>
      <c r="L32" s="1" t="s">
        <v>82</v>
      </c>
    </row>
    <row r="33" ht="15" customHeight="1">
      <c r="A33" s="1"/>
      <c r="B33" s="5" t="s">
        <v>83</v>
      </c>
      <c r="C33" s="19"/>
      <c r="D33" s="19"/>
      <c r="E33" s="19"/>
      <c r="F33" s="19"/>
      <c r="G33" s="19"/>
      <c r="H33" s="19">
        <f t="shared" si="8"/>
        <v>-0.2727272727272727</v>
      </c>
      <c r="I33" s="19">
        <f t="shared" si="8"/>
        <v>0</v>
      </c>
      <c r="J33" s="32">
        <f t="shared" si="8"/>
        <v>0.125</v>
      </c>
      <c r="K33" s="1"/>
      <c r="L33" s="1"/>
    </row>
    <row r="34" ht="15" customHeight="1">
      <c r="A34" s="1"/>
      <c r="B34" s="1" t="s">
        <v>84</v>
      </c>
      <c r="C34" s="18"/>
      <c r="D34" s="18">
        <f t="shared" si="9"/>
        <v>-2</v>
      </c>
      <c r="E34" s="18">
        <f t="shared" si="9"/>
        <v>-1</v>
      </c>
      <c r="F34" s="18">
        <f t="shared" si="9"/>
        <v>0</v>
      </c>
      <c r="G34" s="18"/>
      <c r="H34" s="18">
        <f t="shared" si="12"/>
        <v>0</v>
      </c>
      <c r="I34" s="18">
        <f t="shared" si="9"/>
        <v>1</v>
      </c>
      <c r="J34" s="36">
        <f t="shared" si="9"/>
        <v>0</v>
      </c>
      <c r="K34" s="1"/>
      <c r="L34" s="1"/>
    </row>
    <row r="35" ht="15" customHeight="1">
      <c r="A35" s="1"/>
      <c r="B35" s="1" t="s">
        <v>85</v>
      </c>
      <c r="C35" s="37" t="s">
        <v>86</v>
      </c>
      <c r="D35" s="37" t="s">
        <v>86</v>
      </c>
      <c r="E35" s="37" t="s">
        <v>86</v>
      </c>
      <c r="F35" s="37" t="s">
        <v>86</v>
      </c>
      <c r="G35" s="37" t="s">
        <v>86</v>
      </c>
      <c r="H35" s="37" t="s">
        <v>86</v>
      </c>
      <c r="I35" s="37" t="s">
        <v>86</v>
      </c>
      <c r="J35" s="38" t="s">
        <v>86</v>
      </c>
      <c r="K35" s="1"/>
      <c r="L35" s="1" t="s">
        <v>87</v>
      </c>
    </row>
    <row r="36" ht="15" customHeight="1">
      <c r="A36" s="1"/>
      <c r="B36" s="4" t="s">
        <v>89</v>
      </c>
      <c r="C36" s="33">
        <f t="shared" si="13" ref="C36:J44">C28+C32</f>
        <v>54</v>
      </c>
      <c r="D36" s="33">
        <f t="shared" si="13"/>
        <v>54</v>
      </c>
      <c r="E36" s="33">
        <f t="shared" si="13"/>
        <v>51</v>
      </c>
      <c r="F36" s="33">
        <f t="shared" si="13"/>
        <v>51</v>
      </c>
      <c r="G36" s="33">
        <f t="shared" si="13"/>
        <v>210</v>
      </c>
      <c r="H36" s="33">
        <f t="shared" si="13"/>
        <v>55</v>
      </c>
      <c r="I36" s="33">
        <f t="shared" si="13"/>
        <v>55</v>
      </c>
      <c r="J36" s="34">
        <f t="shared" si="13"/>
        <v>55</v>
      </c>
      <c r="K36" s="1"/>
      <c r="L36" s="1"/>
    </row>
    <row r="37" ht="15" customHeight="1">
      <c r="A37" s="1"/>
      <c r="B37" s="5" t="s">
        <v>73</v>
      </c>
      <c r="C37" s="19"/>
      <c r="D37" s="19"/>
      <c r="E37" s="19"/>
      <c r="F37" s="19"/>
      <c r="G37" s="19"/>
      <c r="H37" s="19">
        <f t="shared" si="8"/>
        <v>0.0185185185185186</v>
      </c>
      <c r="I37" s="19">
        <f t="shared" si="8"/>
        <v>0.0185185185185186</v>
      </c>
      <c r="J37" s="32">
        <f t="shared" si="8"/>
        <v>0.07843137254901955</v>
      </c>
      <c r="K37" s="1"/>
      <c r="L37" s="1"/>
    </row>
    <row r="38" ht="15" customHeight="1">
      <c r="A38" s="1"/>
      <c r="B38" s="1" t="s">
        <v>90</v>
      </c>
      <c r="C38" s="18"/>
      <c r="D38" s="18">
        <f t="shared" si="9"/>
        <v>0</v>
      </c>
      <c r="E38" s="18">
        <f t="shared" si="9"/>
        <v>-3</v>
      </c>
      <c r="F38" s="18">
        <f t="shared" si="9"/>
        <v>0</v>
      </c>
      <c r="G38" s="18"/>
      <c r="H38" s="18">
        <f t="shared" si="12"/>
        <v>4</v>
      </c>
      <c r="I38" s="18">
        <f t="shared" si="9"/>
        <v>0</v>
      </c>
      <c r="J38" s="36">
        <f t="shared" si="9"/>
        <v>0</v>
      </c>
      <c r="K38" s="1"/>
      <c r="L38" s="1"/>
    </row>
    <row r="39" ht="15" customHeight="1">
      <c r="A39" s="1"/>
      <c r="B39" s="1" t="s">
        <v>91</v>
      </c>
      <c r="C39" s="37" t="s">
        <v>86</v>
      </c>
      <c r="D39" s="37" t="s">
        <v>86</v>
      </c>
      <c r="E39" s="37" t="s">
        <v>86</v>
      </c>
      <c r="F39" s="37" t="s">
        <v>86</v>
      </c>
      <c r="G39" s="37" t="s">
        <v>86</v>
      </c>
      <c r="H39" s="37" t="s">
        <v>86</v>
      </c>
      <c r="I39" s="37" t="s">
        <v>86</v>
      </c>
      <c r="J39" s="38" t="s">
        <v>86</v>
      </c>
      <c r="K39" s="1"/>
      <c r="L39" s="1" t="s">
        <v>87</v>
      </c>
    </row>
    <row r="40" ht="15" customHeight="1">
      <c r="A40" s="1"/>
      <c r="B40" s="1" t="s">
        <v>92</v>
      </c>
      <c r="C40" s="35">
        <v>-671</v>
      </c>
      <c r="D40" s="35">
        <v>-727</v>
      </c>
      <c r="E40" s="35">
        <v>-662</v>
      </c>
      <c r="F40" s="35">
        <v>-702</v>
      </c>
      <c r="G40" s="18">
        <f t="shared" si="10"/>
        <v>-2762</v>
      </c>
      <c r="H40" s="35">
        <v>-699</v>
      </c>
      <c r="I40" s="35">
        <v>-715</v>
      </c>
      <c r="J40" s="30">
        <f>-('Segment - Collins Aerospace'!J66+'Segment - Pratt &amp; Whitney'!J73+'Segment - Raytheon'!J55)</f>
        <v>-699.7052799613012</v>
      </c>
      <c r="K40" s="1" t="s">
        <v>81</v>
      </c>
      <c r="L40" s="1" t="s">
        <v>93</v>
      </c>
    </row>
    <row r="41" ht="15" customHeight="1">
      <c r="A41" s="1"/>
      <c r="B41" s="5" t="s">
        <v>73</v>
      </c>
      <c r="C41" s="19"/>
      <c r="D41" s="19"/>
      <c r="E41" s="19"/>
      <c r="F41" s="19"/>
      <c r="G41" s="19"/>
      <c r="H41" s="19">
        <f t="shared" si="8"/>
        <v>0.04172876304023854</v>
      </c>
      <c r="I41" s="19">
        <f t="shared" si="8"/>
        <v>-0.016506189821182904</v>
      </c>
      <c r="J41" s="32">
        <f t="shared" si="8"/>
        <v>0.056956616255742</v>
      </c>
      <c r="K41" s="1"/>
      <c r="L41" s="1"/>
    </row>
    <row r="42" ht="15" customHeight="1">
      <c r="A42" s="1"/>
      <c r="B42" s="1" t="s">
        <v>90</v>
      </c>
      <c r="C42" s="18"/>
      <c r="D42" s="18">
        <f t="shared" si="9"/>
        <v>-56</v>
      </c>
      <c r="E42" s="18">
        <f t="shared" si="9"/>
        <v>65</v>
      </c>
      <c r="F42" s="18">
        <f t="shared" si="9"/>
        <v>-40</v>
      </c>
      <c r="G42" s="18"/>
      <c r="H42" s="18">
        <f t="shared" si="12"/>
        <v>3</v>
      </c>
      <c r="I42" s="18">
        <f t="shared" si="9"/>
        <v>-16</v>
      </c>
      <c r="J42" s="36">
        <f t="shared" si="9"/>
        <v>15.294720038698756</v>
      </c>
      <c r="K42" s="1"/>
      <c r="L42" s="1"/>
    </row>
    <row r="43" ht="15" customHeight="1">
      <c r="A43" s="1"/>
      <c r="B43" s="1" t="s">
        <v>91</v>
      </c>
      <c r="C43" s="37" t="s">
        <v>86</v>
      </c>
      <c r="D43" s="37" t="s">
        <v>86</v>
      </c>
      <c r="E43" s="37" t="s">
        <v>86</v>
      </c>
      <c r="F43" s="37" t="s">
        <v>86</v>
      </c>
      <c r="G43" s="37" t="s">
        <v>86</v>
      </c>
      <c r="H43" s="37" t="s">
        <v>86</v>
      </c>
      <c r="I43" s="37" t="s">
        <v>86</v>
      </c>
      <c r="J43" s="38" t="s">
        <v>86</v>
      </c>
      <c r="K43" s="1"/>
      <c r="L43" s="1" t="s">
        <v>87</v>
      </c>
    </row>
    <row r="44" ht="15" customHeight="1">
      <c r="A44" s="1"/>
      <c r="B44" s="4" t="s">
        <v>79</v>
      </c>
      <c r="C44" s="33">
        <f t="shared" si="13"/>
        <v>-617</v>
      </c>
      <c r="D44" s="33">
        <f t="shared" si="13"/>
        <v>-673</v>
      </c>
      <c r="E44" s="33">
        <f t="shared" si="13"/>
        <v>-611</v>
      </c>
      <c r="F44" s="33">
        <f t="shared" si="13"/>
        <v>-651</v>
      </c>
      <c r="G44" s="33">
        <f t="shared" si="13"/>
        <v>-2552</v>
      </c>
      <c r="H44" s="33">
        <f t="shared" si="13"/>
        <v>-644</v>
      </c>
      <c r="I44" s="33">
        <f t="shared" si="13"/>
        <v>-660</v>
      </c>
      <c r="J44" s="34">
        <f t="shared" si="13"/>
        <v>-644.7052799613012</v>
      </c>
      <c r="K44" s="1"/>
      <c r="L44" s="1"/>
    </row>
    <row r="45" ht="15" customHeight="1">
      <c r="A45" s="1"/>
      <c r="B45" s="5" t="s">
        <v>73</v>
      </c>
      <c r="C45" s="19"/>
      <c r="D45" s="19"/>
      <c r="E45" s="19"/>
      <c r="F45" s="19"/>
      <c r="G45" s="19"/>
      <c r="H45" s="19">
        <f t="shared" si="8"/>
        <v>0.04376012965964349</v>
      </c>
      <c r="I45" s="19">
        <f t="shared" si="8"/>
        <v>-0.019316493313521588</v>
      </c>
      <c r="J45" s="32">
        <f t="shared" si="8"/>
        <v>0.05516412432291529</v>
      </c>
      <c r="K45" s="1"/>
      <c r="L45" s="1"/>
    </row>
    <row r="46" ht="15" customHeight="1">
      <c r="A46" s="1"/>
      <c r="B46" s="1" t="s">
        <v>90</v>
      </c>
      <c r="C46" s="18"/>
      <c r="D46" s="18">
        <f t="shared" si="9"/>
        <v>-56</v>
      </c>
      <c r="E46" s="18">
        <f t="shared" si="9"/>
        <v>62</v>
      </c>
      <c r="F46" s="18">
        <f t="shared" si="9"/>
        <v>-40</v>
      </c>
      <c r="G46" s="18"/>
      <c r="H46" s="18">
        <f t="shared" si="12"/>
        <v>7</v>
      </c>
      <c r="I46" s="18">
        <f t="shared" si="9"/>
        <v>-16</v>
      </c>
      <c r="J46" s="36">
        <f t="shared" si="9"/>
        <v>15.294720038698756</v>
      </c>
      <c r="K46" s="1"/>
      <c r="L46" s="1"/>
    </row>
    <row r="47" ht="15" customHeight="1">
      <c r="A47" s="1"/>
      <c r="B47" s="5" t="s">
        <v>75</v>
      </c>
      <c r="C47" s="19">
        <f t="shared" si="14" ref="C47:J47">C44/C50</f>
        <v>-0.03038510784989658</v>
      </c>
      <c r="D47" s="19">
        <f t="shared" si="14"/>
        <v>-0.031184838515360733</v>
      </c>
      <c r="E47" s="19">
        <f t="shared" si="14"/>
        <v>-0.027182133641783075</v>
      </c>
      <c r="F47" s="19">
        <f t="shared" si="14"/>
        <v>-0.02685865170393597</v>
      </c>
      <c r="G47" s="19">
        <f t="shared" si="14"/>
        <v>-0.02880263647957744</v>
      </c>
      <c r="H47" s="19">
        <f t="shared" si="14"/>
        <v>-0.029171951440478346</v>
      </c>
      <c r="I47" s="19">
        <f t="shared" si="14"/>
        <v>-0.026711996114618747</v>
      </c>
      <c r="J47" s="32">
        <f t="shared" si="14"/>
        <v>-0.026612589769794418</v>
      </c>
      <c r="K47" s="1"/>
      <c r="L47" s="1"/>
    </row>
    <row r="48" ht="15" customHeight="1">
      <c r="A48" s="1"/>
      <c r="B48" s="1" t="s">
        <v>94</v>
      </c>
      <c r="C48" s="35">
        <v>-617</v>
      </c>
      <c r="D48" s="35">
        <v>-673</v>
      </c>
      <c r="E48" s="35">
        <v>-611</v>
      </c>
      <c r="F48" s="35">
        <v>-651</v>
      </c>
      <c r="G48" s="18">
        <f t="shared" si="10"/>
        <v>-2552</v>
      </c>
      <c r="H48" s="35">
        <v>-644</v>
      </c>
      <c r="I48" s="35">
        <v>-660</v>
      </c>
      <c r="J48" s="36"/>
      <c r="K48" s="1" t="s">
        <v>95</v>
      </c>
      <c r="L48" s="1"/>
    </row>
    <row r="49" ht="15" customHeight="1">
      <c r="A49" s="1"/>
      <c r="B49" s="1" t="s">
        <v>96</v>
      </c>
      <c r="C49" s="18">
        <f t="shared" si="15" ref="C49:I49">C44-C48</f>
        <v>0</v>
      </c>
      <c r="D49" s="18">
        <f t="shared" si="15"/>
        <v>0</v>
      </c>
      <c r="E49" s="18">
        <f t="shared" si="15"/>
        <v>0</v>
      </c>
      <c r="F49" s="18">
        <f t="shared" si="15"/>
        <v>0</v>
      </c>
      <c r="G49" s="18">
        <f t="shared" si="15"/>
        <v>0</v>
      </c>
      <c r="H49" s="18">
        <f t="shared" si="15"/>
        <v>0</v>
      </c>
      <c r="I49" s="18">
        <f t="shared" si="15"/>
        <v>0</v>
      </c>
      <c r="J49" s="36"/>
      <c r="K49" s="1"/>
      <c r="L49" s="1"/>
    </row>
    <row r="50" ht="15" customHeight="1">
      <c r="A50" s="1"/>
      <c r="B50" s="4" t="s">
        <v>97</v>
      </c>
      <c r="C50" s="33">
        <f t="shared" si="16" ref="C50:J50">C23+C44</f>
        <v>20306</v>
      </c>
      <c r="D50" s="33">
        <f t="shared" si="16"/>
        <v>21581</v>
      </c>
      <c r="E50" s="33">
        <f t="shared" si="16"/>
        <v>22478</v>
      </c>
      <c r="F50" s="33">
        <f t="shared" si="16"/>
        <v>24238</v>
      </c>
      <c r="G50" s="33">
        <f t="shared" si="16"/>
        <v>88603</v>
      </c>
      <c r="H50" s="33">
        <f t="shared" si="16"/>
        <v>22076</v>
      </c>
      <c r="I50" s="33">
        <f t="shared" si="16"/>
        <v>24708</v>
      </c>
      <c r="J50" s="34">
        <f t="shared" si="16"/>
        <v>24225.574644864093</v>
      </c>
      <c r="K50" s="1"/>
      <c r="L50" s="1"/>
    </row>
    <row r="51" ht="15" customHeight="1">
      <c r="A51" s="1"/>
      <c r="B51" s="1" t="s">
        <v>98</v>
      </c>
      <c r="C51" s="35">
        <v>-483</v>
      </c>
      <c r="D51" s="35">
        <v>-591</v>
      </c>
      <c r="E51" s="35">
        <v>-611</v>
      </c>
      <c r="F51" s="35">
        <v>-640</v>
      </c>
      <c r="G51" s="18">
        <f t="shared" si="10"/>
        <v>-2325</v>
      </c>
      <c r="H51" s="18">
        <f t="shared" si="17" ref="H51:J51">C44</f>
        <v>-617</v>
      </c>
      <c r="I51" s="18">
        <f t="shared" si="17"/>
        <v>-673</v>
      </c>
      <c r="J51" s="36">
        <f t="shared" si="17"/>
        <v>-611</v>
      </c>
      <c r="K51" s="1" t="s">
        <v>95</v>
      </c>
      <c r="L51" s="1" t="s">
        <v>99</v>
      </c>
    </row>
    <row r="52" ht="15" customHeight="1">
      <c r="A52" s="1"/>
      <c r="B52" s="1" t="s">
        <v>100</v>
      </c>
      <c r="C52" s="17">
        <f>'Segment - Collins Aerospace'!C71+'Segment - Pratt &amp; Whitney'!C78+'Segment - Raytheon'!C60+C51</f>
        <v>19305</v>
      </c>
      <c r="D52" s="17">
        <f>'Segment - Collins Aerospace'!D71+'Segment - Pratt &amp; Whitney'!D78+'Segment - Raytheon'!D60+D51</f>
        <v>19791</v>
      </c>
      <c r="E52" s="17">
        <f>'Segment - Collins Aerospace'!E71+'Segment - Pratt &amp; Whitney'!E78+'Segment - Raytheon'!E60+E51</f>
        <v>20089</v>
      </c>
      <c r="F52" s="17">
        <f>'Segment - Collins Aerospace'!F71+'Segment - Pratt &amp; Whitney'!F78+'Segment - Raytheon'!F60+F51</f>
        <v>21623</v>
      </c>
      <c r="G52" s="17">
        <f>'Segment - Collins Aerospace'!G71+'Segment - Pratt &amp; Whitney'!G78+'Segment - Raytheon'!G60+G51</f>
        <v>80808</v>
      </c>
      <c r="H52" s="17">
        <f>'Segment - Collins Aerospace'!H71+'Segment - Pratt &amp; Whitney'!H78+'Segment - Raytheon'!H60+H51</f>
        <v>20306</v>
      </c>
      <c r="I52" s="17">
        <f>'Segment - Collins Aerospace'!I71+'Segment - Pratt &amp; Whitney'!I78+'Segment - Raytheon'!I60+I51</f>
        <v>21581</v>
      </c>
      <c r="J52" s="30">
        <f>'Segment - Collins Aerospace'!J71+'Segment - Pratt &amp; Whitney'!J78+'Segment - Raytheon'!J60+J51</f>
        <v>22478</v>
      </c>
      <c r="K52" s="1"/>
      <c r="L52" s="1"/>
    </row>
    <row r="53" ht="15" customHeight="1">
      <c r="A53" s="1"/>
      <c r="B53" s="5" t="s">
        <v>73</v>
      </c>
      <c r="C53" s="19">
        <f t="shared" si="18" ref="C53:J53">IF(COUNT(C50,C52)&lt;2,"n/a",IF(C50*C52&lt;=0,"n/m",C50/C52-1))</f>
        <v>0.051851851851851816</v>
      </c>
      <c r="D53" s="19">
        <f t="shared" si="18"/>
        <v>0.09044515183669355</v>
      </c>
      <c r="E53" s="19">
        <f t="shared" si="18"/>
        <v>0.11892080242919012</v>
      </c>
      <c r="F53" s="19">
        <f t="shared" si="18"/>
        <v>0.1209360403274291</v>
      </c>
      <c r="G53" s="19">
        <f t="shared" si="18"/>
        <v>0.0964632214632215</v>
      </c>
      <c r="H53" s="19">
        <f t="shared" si="18"/>
        <v>0.08716635477198853</v>
      </c>
      <c r="I53" s="19">
        <f t="shared" si="18"/>
        <v>0.14489597330985582</v>
      </c>
      <c r="J53" s="32">
        <f t="shared" si="18"/>
        <v>0.07774600252976649</v>
      </c>
      <c r="K53" s="1"/>
      <c r="L53" s="1"/>
    </row>
    <row r="54" ht="15" customHeight="1">
      <c r="A54" s="1"/>
      <c r="B54" s="5" t="s">
        <v>74</v>
      </c>
      <c r="C54" s="19"/>
      <c r="D54" s="19">
        <f t="shared" si="19" ref="D54:J54">IF(COUNT(D50,C50)&lt;2,"n/a",IF(D50*C50&lt;=0,"n/m",D50/C50-1))</f>
        <v>0.06278932335270371</v>
      </c>
      <c r="E54" s="19">
        <f t="shared" si="19"/>
        <v>0.04156433900189982</v>
      </c>
      <c r="F54" s="19">
        <f t="shared" si="19"/>
        <v>0.07829878103034082</v>
      </c>
      <c r="G54" s="19"/>
      <c r="H54" s="19">
        <f>IF(COUNT(H50,F50)&lt;2,"n/a",IF(H50*F50&lt;=0,"n/m",H50/F50-1))</f>
        <v>-0.08919877877712679</v>
      </c>
      <c r="I54" s="19">
        <f t="shared" si="19"/>
        <v>0.11922449719152017</v>
      </c>
      <c r="J54" s="32">
        <f t="shared" si="19"/>
        <v>-0.01952506698785439</v>
      </c>
      <c r="K54" s="1"/>
      <c r="L54" s="1"/>
    </row>
    <row r="55" ht="15" customHeight="1">
      <c r="A55" s="1"/>
      <c r="B55" s="1" t="s">
        <v>90</v>
      </c>
      <c r="C55" s="18"/>
      <c r="D55" s="18">
        <f t="shared" si="20" ref="D55:J55">IF(COUNT(D50,C50)&lt;2,"n/a",D50-C50)</f>
        <v>1275</v>
      </c>
      <c r="E55" s="18">
        <f t="shared" si="20"/>
        <v>897</v>
      </c>
      <c r="F55" s="18">
        <f t="shared" si="20"/>
        <v>1760</v>
      </c>
      <c r="G55" s="18"/>
      <c r="H55" s="18">
        <f>IF(COUNT(H50,F50)&lt;2,"n/a",H50-F50)</f>
        <v>-2162</v>
      </c>
      <c r="I55" s="18">
        <f t="shared" si="20"/>
        <v>2632</v>
      </c>
      <c r="J55" s="36">
        <f t="shared" si="20"/>
        <v>-482.425355135907</v>
      </c>
      <c r="K55" s="1"/>
      <c r="L55" s="1"/>
    </row>
    <row r="56" ht="15" customHeight="1">
      <c r="A56" s="1"/>
      <c r="B56" s="39" t="s">
        <v>101</v>
      </c>
      <c r="C56" s="40">
        <f t="shared" si="21" ref="C56:J56">C50/C50</f>
        <v>1</v>
      </c>
      <c r="D56" s="40">
        <f t="shared" si="21"/>
        <v>1</v>
      </c>
      <c r="E56" s="40">
        <f t="shared" si="21"/>
        <v>1</v>
      </c>
      <c r="F56" s="40">
        <f t="shared" si="21"/>
        <v>1</v>
      </c>
      <c r="G56" s="40">
        <f t="shared" si="21"/>
        <v>1</v>
      </c>
      <c r="H56" s="40">
        <f t="shared" si="21"/>
        <v>1</v>
      </c>
      <c r="I56" s="40">
        <f t="shared" si="21"/>
        <v>1</v>
      </c>
      <c r="J56" s="41">
        <f t="shared" si="21"/>
        <v>1</v>
      </c>
      <c r="K56" s="1"/>
      <c r="L56" s="1"/>
    </row>
    <row r="57" ht="15" customHeight="1">
      <c r="A57" s="1"/>
      <c r="B57" s="1" t="s">
        <v>102</v>
      </c>
      <c r="C57" s="17">
        <f>Inputs!I107</f>
        <v>20306</v>
      </c>
      <c r="D57" s="17">
        <f>Inputs!I108</f>
        <v>21581</v>
      </c>
      <c r="E57" s="17">
        <f>Inputs!I109</f>
        <v>22478</v>
      </c>
      <c r="F57" s="17">
        <f>Inputs!I110</f>
        <v>24238</v>
      </c>
      <c r="G57" s="18"/>
      <c r="H57" s="17">
        <f>Inputs!I111</f>
        <v>22076</v>
      </c>
      <c r="I57" s="17">
        <f>Inputs!I112</f>
        <v>24708</v>
      </c>
      <c r="J57" s="36"/>
      <c r="K57" s="1" t="s">
        <v>103</v>
      </c>
      <c r="L57" s="1"/>
    </row>
    <row r="58" ht="15" customHeight="1">
      <c r="A58" s="1"/>
      <c r="B58" s="1" t="s">
        <v>104</v>
      </c>
      <c r="C58" s="18">
        <f t="shared" si="22" ref="C58:I58">C50-C57</f>
        <v>0</v>
      </c>
      <c r="D58" s="18">
        <f t="shared" si="22"/>
        <v>0</v>
      </c>
      <c r="E58" s="18">
        <f t="shared" si="22"/>
        <v>0</v>
      </c>
      <c r="F58" s="18">
        <f t="shared" si="22"/>
        <v>0</v>
      </c>
      <c r="G58" s="18"/>
      <c r="H58" s="18">
        <f t="shared" si="22"/>
        <v>0</v>
      </c>
      <c r="I58" s="18">
        <f t="shared" si="22"/>
        <v>0</v>
      </c>
      <c r="J58" s="36"/>
      <c r="K58" s="1"/>
      <c r="L58" s="1"/>
    </row>
    <row r="59" ht="15" customHeight="1">
      <c r="A59" s="1"/>
      <c r="B59" s="1" t="s">
        <v>105</v>
      </c>
      <c r="C59" s="17">
        <f>Inputs!H107</f>
        <v>19796.52</v>
      </c>
      <c r="D59" s="17">
        <f>Inputs!H108</f>
        <v>20632.09</v>
      </c>
      <c r="E59" s="17">
        <f>Inputs!H109</f>
        <v>21322.5</v>
      </c>
      <c r="F59" s="17">
        <f>Inputs!H110</f>
        <v>22704.06</v>
      </c>
      <c r="G59" s="18"/>
      <c r="H59" s="17">
        <f>Inputs!H111</f>
        <v>21472.25</v>
      </c>
      <c r="I59" s="17">
        <f>Inputs!H112</f>
        <v>22880.25</v>
      </c>
      <c r="J59" s="30">
        <f>Inputs!C67</f>
        <v>24105.4</v>
      </c>
      <c r="K59" s="1" t="s">
        <v>106</v>
      </c>
      <c r="L59" s="1"/>
    </row>
    <row r="60" ht="15" customHeight="1">
      <c r="A60" s="1"/>
      <c r="B60" s="1" t="s">
        <v>107</v>
      </c>
      <c r="C60" s="18">
        <f t="shared" si="23" ref="C60:J60">C50-C59</f>
        <v>509.47999999999956</v>
      </c>
      <c r="D60" s="18">
        <f t="shared" si="23"/>
        <v>948.9099999999999</v>
      </c>
      <c r="E60" s="18">
        <f t="shared" si="23"/>
        <v>1155.5</v>
      </c>
      <c r="F60" s="18">
        <f t="shared" si="23"/>
        <v>1533.9399999999987</v>
      </c>
      <c r="G60" s="18"/>
      <c r="H60" s="18">
        <f t="shared" si="23"/>
        <v>603.75</v>
      </c>
      <c r="I60" s="18">
        <f t="shared" si="23"/>
        <v>1827.75</v>
      </c>
      <c r="J60" s="36">
        <f t="shared" si="23"/>
        <v>120.17464486409153</v>
      </c>
      <c r="K60" s="1"/>
      <c r="L60" s="1"/>
    </row>
    <row r="61" ht="15" customHeight="1">
      <c r="A61" s="1"/>
      <c r="B61" s="5" t="s">
        <v>108</v>
      </c>
      <c r="C61" s="19">
        <f t="shared" si="24" ref="C61:J61">C50/C59-1</f>
        <v>0.02573583639952881</v>
      </c>
      <c r="D61" s="19">
        <f t="shared" si="24"/>
        <v>0.04599194749538227</v>
      </c>
      <c r="E61" s="19">
        <f t="shared" si="24"/>
        <v>0.054191581662563104</v>
      </c>
      <c r="F61" s="19">
        <f t="shared" si="24"/>
        <v>0.06756236549762451</v>
      </c>
      <c r="G61" s="19"/>
      <c r="H61" s="19">
        <f t="shared" si="24"/>
        <v>0.028117686781776507</v>
      </c>
      <c r="I61" s="19">
        <f t="shared" si="24"/>
        <v>0.07988330547087563</v>
      </c>
      <c r="J61" s="32">
        <f t="shared" si="24"/>
        <v>0.004985382730180454</v>
      </c>
      <c r="K61" s="1"/>
      <c r="L61" s="1"/>
    </row>
    <row r="62" ht="15" customHeight="1">
      <c r="A62" s="1"/>
      <c r="B62" s="1"/>
      <c r="C62" s="1"/>
      <c r="D62" s="1"/>
      <c r="E62" s="1"/>
      <c r="F62" s="1"/>
      <c r="G62" s="1"/>
      <c r="H62" s="1"/>
      <c r="I62" s="1"/>
      <c r="J62" s="29"/>
      <c r="K62" s="1"/>
      <c r="L62" s="1"/>
    </row>
    <row r="63" ht="15" customHeight="1">
      <c r="A63" s="1"/>
      <c r="B63" s="4" t="s">
        <v>109</v>
      </c>
      <c r="C63" s="1"/>
      <c r="D63" s="1"/>
      <c r="E63" s="1"/>
      <c r="F63" s="1"/>
      <c r="G63" s="1"/>
      <c r="H63" s="1"/>
      <c r="I63" s="1"/>
      <c r="J63" s="29"/>
      <c r="K63" s="1"/>
      <c r="L63" s="1"/>
    </row>
    <row r="64" ht="15" customHeight="1">
      <c r="A64" s="1"/>
      <c r="B64" s="1" t="s">
        <v>110</v>
      </c>
      <c r="C64" s="35">
        <v>-134</v>
      </c>
      <c r="D64" s="35">
        <v>-82</v>
      </c>
      <c r="E64" s="35">
        <v>0</v>
      </c>
      <c r="F64" s="35">
        <v>-11</v>
      </c>
      <c r="G64" s="18">
        <f t="shared" si="10"/>
        <v>-227</v>
      </c>
      <c r="H64" s="35">
        <v>-27</v>
      </c>
      <c r="I64" s="35">
        <v>13</v>
      </c>
      <c r="J64" s="36">
        <f>J44-J51</f>
        <v>-33.705279961301244</v>
      </c>
      <c r="K64" s="1" t="s">
        <v>95</v>
      </c>
      <c r="L64" s="1"/>
    </row>
    <row r="65" ht="15" customHeight="1">
      <c r="A65" s="1"/>
      <c r="B65" s="1" t="s">
        <v>111</v>
      </c>
      <c r="C65" s="17">
        <f>'Segment - Collins Aerospace'!C107+'Segment - Pratt &amp; Whitney'!C114+'Segment - Raytheon'!C105+C64</f>
        <v>1001</v>
      </c>
      <c r="D65" s="17">
        <f>'Segment - Collins Aerospace'!D107+'Segment - Pratt &amp; Whitney'!D114+'Segment - Raytheon'!D105+D64</f>
        <v>1860</v>
      </c>
      <c r="E65" s="17">
        <f>'Segment - Collins Aerospace'!E107+'Segment - Pratt &amp; Whitney'!E114+'Segment - Raytheon'!E105+E64</f>
        <v>2389</v>
      </c>
      <c r="F65" s="17">
        <f>'Segment - Collins Aerospace'!F107+'Segment - Pratt &amp; Whitney'!F114+'Segment - Raytheon'!F105+F64</f>
        <v>2615</v>
      </c>
      <c r="G65" s="17">
        <f>'Segment - Collins Aerospace'!G107+'Segment - Pratt &amp; Whitney'!G114+'Segment - Raytheon'!G105+G64</f>
        <v>7865</v>
      </c>
      <c r="H65" s="17">
        <f>'Segment - Collins Aerospace'!H107+'Segment - Pratt &amp; Whitney'!H114+'Segment - Raytheon'!H105+H64</f>
        <v>1770</v>
      </c>
      <c r="I65" s="17">
        <f>'Segment - Collins Aerospace'!I107+'Segment - Pratt &amp; Whitney'!I114+'Segment - Raytheon'!I105+I64</f>
        <v>3127</v>
      </c>
      <c r="J65" s="30">
        <f>'Segment - Collins Aerospace'!J107+'Segment - Pratt &amp; Whitney'!J114+'Segment - Raytheon'!J105+J64</f>
        <v>1747.574644864092</v>
      </c>
      <c r="K65" s="1"/>
      <c r="L65" s="1"/>
    </row>
    <row r="66" ht="15" customHeight="1">
      <c r="A66" s="1"/>
      <c r="B66" s="1" t="s">
        <v>112</v>
      </c>
      <c r="C66" s="35">
        <v>0</v>
      </c>
      <c r="D66" s="35">
        <v>1</v>
      </c>
      <c r="E66" s="35">
        <v>8</v>
      </c>
      <c r="F66" s="35">
        <v>26</v>
      </c>
      <c r="G66" s="18">
        <f t="shared" si="10"/>
        <v>35</v>
      </c>
      <c r="H66" s="35">
        <v>13</v>
      </c>
      <c r="I66" s="35">
        <v>13</v>
      </c>
      <c r="J66" s="42">
        <v>0</v>
      </c>
      <c r="K66" s="1" t="s">
        <v>95</v>
      </c>
      <c r="L66" s="1"/>
    </row>
    <row r="67" ht="15" customHeight="1">
      <c r="A67" s="1"/>
      <c r="B67" s="5" t="s">
        <v>83</v>
      </c>
      <c r="C67" s="43"/>
      <c r="D67" s="43"/>
      <c r="E67" s="43"/>
      <c r="F67" s="43"/>
      <c r="G67" s="43"/>
      <c r="H67" s="43" t="str">
        <f t="shared" si="8"/>
        <v>n/m</v>
      </c>
      <c r="I67" s="43">
        <f t="shared" si="8"/>
        <v>12</v>
      </c>
      <c r="J67" s="44" t="str">
        <f t="shared" si="8"/>
        <v>n/m</v>
      </c>
      <c r="K67" s="1"/>
      <c r="L67" s="1"/>
    </row>
    <row r="68" ht="15" customHeight="1">
      <c r="A68" s="1"/>
      <c r="B68" s="1" t="s">
        <v>84</v>
      </c>
      <c r="C68" s="18"/>
      <c r="D68" s="18">
        <f t="shared" si="9"/>
        <v>1</v>
      </c>
      <c r="E68" s="18">
        <f t="shared" si="9"/>
        <v>7</v>
      </c>
      <c r="F68" s="18">
        <f t="shared" si="9"/>
        <v>18</v>
      </c>
      <c r="G68" s="18"/>
      <c r="H68" s="18">
        <f t="shared" si="12"/>
        <v>-13</v>
      </c>
      <c r="I68" s="18">
        <f t="shared" si="9"/>
        <v>0</v>
      </c>
      <c r="J68" s="36">
        <f t="shared" si="9"/>
        <v>-13</v>
      </c>
      <c r="K68" s="1"/>
      <c r="L68" s="1"/>
    </row>
    <row r="69" ht="15" customHeight="1">
      <c r="A69" s="1"/>
      <c r="B69" s="1" t="s">
        <v>114</v>
      </c>
      <c r="C69" s="35">
        <v>13</v>
      </c>
      <c r="D69" s="35">
        <v>-9</v>
      </c>
      <c r="E69" s="35">
        <v>-4</v>
      </c>
      <c r="F69" s="35">
        <v>-25</v>
      </c>
      <c r="G69" s="18">
        <f t="shared" si="10"/>
        <v>-25</v>
      </c>
      <c r="H69" s="35">
        <v>-31</v>
      </c>
      <c r="I69" s="35">
        <v>0</v>
      </c>
      <c r="J69" s="42">
        <v>0</v>
      </c>
      <c r="K69" s="1" t="s">
        <v>95</v>
      </c>
      <c r="L69" s="1" t="s">
        <v>115</v>
      </c>
    </row>
    <row r="70" ht="15" customHeight="1">
      <c r="A70" s="1"/>
      <c r="B70" s="5" t="s">
        <v>83</v>
      </c>
      <c r="C70" s="43"/>
      <c r="D70" s="43"/>
      <c r="E70" s="43"/>
      <c r="F70" s="43"/>
      <c r="G70" s="43"/>
      <c r="H70" s="43" t="str">
        <f t="shared" si="8"/>
        <v>n/m</v>
      </c>
      <c r="I70" s="43" t="str">
        <f t="shared" si="8"/>
        <v>n/m</v>
      </c>
      <c r="J70" s="44" t="str">
        <f t="shared" si="8"/>
        <v>n/m</v>
      </c>
      <c r="K70" s="1"/>
      <c r="L70" s="1"/>
    </row>
    <row r="71" ht="15" customHeight="1">
      <c r="A71" s="1"/>
      <c r="B71" s="1" t="s">
        <v>84</v>
      </c>
      <c r="C71" s="18"/>
      <c r="D71" s="18">
        <f t="shared" si="9"/>
        <v>-22</v>
      </c>
      <c r="E71" s="18">
        <f t="shared" si="9"/>
        <v>5</v>
      </c>
      <c r="F71" s="18">
        <f t="shared" si="9"/>
        <v>-21</v>
      </c>
      <c r="G71" s="18"/>
      <c r="H71" s="18">
        <f t="shared" si="12"/>
        <v>-6</v>
      </c>
      <c r="I71" s="18">
        <f t="shared" si="9"/>
        <v>31</v>
      </c>
      <c r="J71" s="36">
        <f t="shared" si="9"/>
        <v>0</v>
      </c>
      <c r="K71" s="1"/>
      <c r="L71" s="1"/>
    </row>
    <row r="72" ht="15" customHeight="1">
      <c r="A72" s="1"/>
      <c r="B72" s="1" t="s">
        <v>116</v>
      </c>
      <c r="C72" s="17">
        <f>'Segment - Collins Aerospace'!C108+'Segment - Pratt &amp; Whitney'!C115+'Segment - Raytheon'!C106+C66</f>
        <v>-492</v>
      </c>
      <c r="D72" s="17">
        <f>'Segment - Collins Aerospace'!D108+'Segment - Pratt &amp; Whitney'!D115+'Segment - Raytheon'!D106+D66</f>
        <v>-30</v>
      </c>
      <c r="E72" s="17">
        <f>'Segment - Collins Aerospace'!E108+'Segment - Pratt &amp; Whitney'!E115+'Segment - Raytheon'!E106+E66</f>
        <v>-255</v>
      </c>
      <c r="F72" s="17">
        <f>'Segment - Collins Aerospace'!F108+'Segment - Pratt &amp; Whitney'!F115+'Segment - Raytheon'!F106+F66</f>
        <v>-402</v>
      </c>
      <c r="G72" s="17">
        <f>'Segment - Collins Aerospace'!G108+'Segment - Pratt &amp; Whitney'!G115+'Segment - Raytheon'!G106+G66</f>
        <v>-1179</v>
      </c>
      <c r="H72" s="17">
        <f>'Segment - Collins Aerospace'!H108+'Segment - Pratt &amp; Whitney'!H115+'Segment - Raytheon'!H106+H66</f>
        <v>-370</v>
      </c>
      <c r="I72" s="17">
        <f>'Segment - Collins Aerospace'!I108+'Segment - Pratt &amp; Whitney'!I115+'Segment - Raytheon'!I106+I66</f>
        <v>-391</v>
      </c>
      <c r="J72" s="30">
        <f>'Segment - Collins Aerospace'!J108+'Segment - Pratt &amp; Whitney'!J115+'Segment - Raytheon'!J106+J66</f>
        <v>-170</v>
      </c>
      <c r="K72" s="1"/>
      <c r="L72" s="1"/>
    </row>
    <row r="73" ht="15" customHeight="1">
      <c r="A73" s="1"/>
      <c r="B73" s="1" t="s">
        <v>117</v>
      </c>
      <c r="C73" s="17">
        <f>'Segment - Collins Aerospace'!C111+'Segment - Pratt &amp; Whitney'!C118+'Segment - Raytheon'!C109+C69</f>
        <v>-28</v>
      </c>
      <c r="D73" s="17">
        <f>'Segment - Collins Aerospace'!D111+'Segment - Pratt &amp; Whitney'!D118+'Segment - Raytheon'!D109+D69</f>
        <v>107</v>
      </c>
      <c r="E73" s="17">
        <f>'Segment - Collins Aerospace'!E111+'Segment - Pratt &amp; Whitney'!E118+'Segment - Raytheon'!E109+E69</f>
        <v>26</v>
      </c>
      <c r="F73" s="17">
        <f>'Segment - Collins Aerospace'!F111+'Segment - Pratt &amp; Whitney'!F118+'Segment - Raytheon'!F109+F69</f>
        <v>45</v>
      </c>
      <c r="G73" s="17">
        <f>'Segment - Collins Aerospace'!G111+'Segment - Pratt &amp; Whitney'!G118+'Segment - Raytheon'!G109+G69</f>
        <v>150</v>
      </c>
      <c r="H73" s="17">
        <f>'Segment - Collins Aerospace'!H111+'Segment - Pratt &amp; Whitney'!H118+'Segment - Raytheon'!H109+H69</f>
        <v>63</v>
      </c>
      <c r="I73" s="17">
        <f>'Segment - Collins Aerospace'!I111+'Segment - Pratt &amp; Whitney'!I118+'Segment - Raytheon'!I109+I69</f>
        <v>7</v>
      </c>
      <c r="J73" s="30">
        <f>'Segment - Collins Aerospace'!J111+'Segment - Pratt &amp; Whitney'!J118+'Segment - Raytheon'!J109+J69</f>
        <v>0</v>
      </c>
      <c r="K73" s="1"/>
      <c r="L73" s="1"/>
    </row>
    <row r="74" ht="15" customHeight="1">
      <c r="A74" s="1"/>
      <c r="B74" s="1" t="s">
        <v>118</v>
      </c>
      <c r="C74" s="18">
        <f t="shared" si="25" ref="C74:J74">C65-C72-C73</f>
        <v>1521</v>
      </c>
      <c r="D74" s="18">
        <f t="shared" si="25"/>
        <v>1783</v>
      </c>
      <c r="E74" s="18">
        <f t="shared" si="25"/>
        <v>2618</v>
      </c>
      <c r="F74" s="18">
        <f t="shared" si="25"/>
        <v>2972</v>
      </c>
      <c r="G74" s="18">
        <f t="shared" si="25"/>
        <v>8894</v>
      </c>
      <c r="H74" s="18">
        <f t="shared" si="25"/>
        <v>2077</v>
      </c>
      <c r="I74" s="18">
        <f t="shared" si="25"/>
        <v>3511</v>
      </c>
      <c r="J74" s="36">
        <f t="shared" si="25"/>
        <v>1917.574644864092</v>
      </c>
      <c r="K74" s="1"/>
      <c r="L74" s="1"/>
    </row>
    <row r="75" ht="15" customHeight="1">
      <c r="A75" s="1"/>
      <c r="B75" s="1" t="s">
        <v>119</v>
      </c>
      <c r="C75" s="35">
        <v>-147</v>
      </c>
      <c r="D75" s="35">
        <v>-74</v>
      </c>
      <c r="E75" s="35">
        <v>-4</v>
      </c>
      <c r="F75" s="35">
        <v>-12</v>
      </c>
      <c r="G75" s="18">
        <f t="shared" si="10"/>
        <v>-237</v>
      </c>
      <c r="H75" s="35">
        <v>-9</v>
      </c>
      <c r="I75" s="35">
        <v>0</v>
      </c>
      <c r="J75" s="36">
        <f>J64-J66-J69</f>
        <v>-33.705279961301244</v>
      </c>
      <c r="K75" s="1" t="s">
        <v>95</v>
      </c>
      <c r="L75" s="1"/>
    </row>
    <row r="76" ht="15" customHeight="1">
      <c r="A76" s="1"/>
      <c r="B76" s="1" t="s">
        <v>120</v>
      </c>
      <c r="C76" s="17">
        <f>C74-('Segment - Collins Aerospace'!C114+'Segment - Pratt &amp; Whitney'!C121+'Segment - Raytheon'!C112+C75)</f>
        <v>0</v>
      </c>
      <c r="D76" s="17">
        <f>D74-('Segment - Collins Aerospace'!D114+'Segment - Pratt &amp; Whitney'!D121+'Segment - Raytheon'!D112+D75)</f>
        <v>0</v>
      </c>
      <c r="E76" s="17">
        <f>E74-('Segment - Collins Aerospace'!E114+'Segment - Pratt &amp; Whitney'!E121+'Segment - Raytheon'!E112+E75)</f>
        <v>0</v>
      </c>
      <c r="F76" s="17">
        <f>F74-('Segment - Collins Aerospace'!F114+'Segment - Pratt &amp; Whitney'!F121+'Segment - Raytheon'!F112+F75)</f>
        <v>0</v>
      </c>
      <c r="G76" s="17">
        <f>G74-('Segment - Collins Aerospace'!G114+'Segment - Pratt &amp; Whitney'!G121+'Segment - Raytheon'!G112+G75)</f>
        <v>0</v>
      </c>
      <c r="H76" s="17">
        <f>H74-('Segment - Collins Aerospace'!H114+'Segment - Pratt &amp; Whitney'!H121+'Segment - Raytheon'!H112+H75)</f>
        <v>0</v>
      </c>
      <c r="I76" s="17">
        <f>I74-('Segment - Collins Aerospace'!I114+'Segment - Pratt &amp; Whitney'!I121+'Segment - Raytheon'!I112+I75)</f>
        <v>0</v>
      </c>
      <c r="J76" s="30">
        <f>J74-('Segment - Collins Aerospace'!J114+'Segment - Pratt &amp; Whitney'!J121+'Segment - Raytheon'!J112+J75)</f>
        <v>0</v>
      </c>
      <c r="K76" s="1"/>
      <c r="L76" s="1"/>
    </row>
    <row r="77" ht="15" customHeight="1">
      <c r="A77" s="1"/>
      <c r="B77" s="5" t="s">
        <v>121</v>
      </c>
      <c r="C77" s="19">
        <f t="shared" si="26" ref="C77:J77">C65/C52</f>
        <v>0.05185185185185185</v>
      </c>
      <c r="D77" s="19">
        <f t="shared" si="26"/>
        <v>0.0939821130817038</v>
      </c>
      <c r="E77" s="19">
        <f t="shared" si="26"/>
        <v>0.1189208024291901</v>
      </c>
      <c r="F77" s="19">
        <f t="shared" si="26"/>
        <v>0.12093604032742912</v>
      </c>
      <c r="G77" s="19">
        <f t="shared" si="26"/>
        <v>0.09732947232947232</v>
      </c>
      <c r="H77" s="19">
        <f t="shared" si="26"/>
        <v>0.08716635477198857</v>
      </c>
      <c r="I77" s="19">
        <f t="shared" si="26"/>
        <v>0.1448959733098559</v>
      </c>
      <c r="J77" s="32">
        <f t="shared" si="26"/>
        <v>0.07774600252976653</v>
      </c>
      <c r="K77" s="1"/>
      <c r="L77" s="1"/>
    </row>
    <row r="78" ht="15" customHeight="1">
      <c r="A78" s="1"/>
      <c r="B78" s="5" t="s">
        <v>122</v>
      </c>
      <c r="C78" s="19">
        <f t="shared" si="27" ref="C78:J78">C72/C52</f>
        <v>-0.025485625485625486</v>
      </c>
      <c r="D78" s="19">
        <f t="shared" si="27"/>
        <v>-0.0015158405335758678</v>
      </c>
      <c r="E78" s="19">
        <f t="shared" si="27"/>
        <v>-0.012693513863308277</v>
      </c>
      <c r="F78" s="19">
        <f t="shared" si="27"/>
        <v>-0.018591314803681265</v>
      </c>
      <c r="G78" s="19">
        <f t="shared" si="27"/>
        <v>-0.01459013959013959</v>
      </c>
      <c r="H78" s="19">
        <f t="shared" si="27"/>
        <v>-0.018221215404313994</v>
      </c>
      <c r="I78" s="19">
        <f t="shared" si="27"/>
        <v>-0.018117788795699922</v>
      </c>
      <c r="J78" s="32">
        <f t="shared" si="27"/>
        <v>-0.007562950440430643</v>
      </c>
      <c r="K78" s="1"/>
      <c r="L78" s="1"/>
    </row>
    <row r="79" ht="15" customHeight="1">
      <c r="A79" s="1"/>
      <c r="B79" s="5" t="s">
        <v>123</v>
      </c>
      <c r="C79" s="19">
        <f t="shared" si="28" ref="C79:J79">C73/C52</f>
        <v>-0.0014504014504014503</v>
      </c>
      <c r="D79" s="19">
        <f t="shared" si="28"/>
        <v>0.005406497903087262</v>
      </c>
      <c r="E79" s="19">
        <f t="shared" si="28"/>
        <v>0.0012942406292000598</v>
      </c>
      <c r="F79" s="19">
        <f t="shared" si="28"/>
        <v>0.002081117328770291</v>
      </c>
      <c r="G79" s="19">
        <f t="shared" si="28"/>
        <v>0.0018562518562518563</v>
      </c>
      <c r="H79" s="19">
        <f t="shared" si="28"/>
        <v>0.003102531271545356</v>
      </c>
      <c r="I79" s="19">
        <f t="shared" si="28"/>
        <v>0.0003243593902043464</v>
      </c>
      <c r="J79" s="32">
        <f t="shared" si="28"/>
        <v>0</v>
      </c>
      <c r="K79" s="1"/>
      <c r="L79" s="1"/>
    </row>
    <row r="80" ht="15" customHeight="1">
      <c r="A80" s="1"/>
      <c r="B80" s="45" t="s">
        <v>124</v>
      </c>
      <c r="C80" s="46">
        <f t="shared" si="29" ref="C80:J80">(1+C77)/((1+C78)*(1+C79))-1</f>
        <v>0.0809277962529793</v>
      </c>
      <c r="D80" s="46">
        <f t="shared" si="29"/>
        <v>0.0897511954966077</v>
      </c>
      <c r="E80" s="46">
        <f t="shared" si="29"/>
        <v>0.13184156813759018</v>
      </c>
      <c r="F80" s="46">
        <f t="shared" si="29"/>
        <v>0.1397984372152805</v>
      </c>
      <c r="G80" s="46">
        <f t="shared" si="29"/>
        <v>0.11151346307283094</v>
      </c>
      <c r="H80" s="46">
        <f t="shared" si="29"/>
        <v>0.10391855735200783</v>
      </c>
      <c r="I80" s="46">
        <f t="shared" si="29"/>
        <v>0.16564362089892626</v>
      </c>
      <c r="J80" s="47">
        <f t="shared" si="29"/>
        <v>0.08595905705863771</v>
      </c>
      <c r="K80" s="1"/>
      <c r="L80" s="1" t="s">
        <v>125</v>
      </c>
    </row>
    <row r="81" ht="15" customHeight="1">
      <c r="A81" s="1"/>
      <c r="B81" s="5" t="s">
        <v>126</v>
      </c>
      <c r="C81" s="19">
        <f t="shared" si="30" ref="C81:J81">C74/C52</f>
        <v>0.07878787878787878</v>
      </c>
      <c r="D81" s="19">
        <f t="shared" si="30"/>
        <v>0.09009145571219242</v>
      </c>
      <c r="E81" s="19">
        <f t="shared" si="30"/>
        <v>0.1303200756632983</v>
      </c>
      <c r="F81" s="19">
        <f t="shared" si="30"/>
        <v>0.1374462378023401</v>
      </c>
      <c r="G81" s="19">
        <f t="shared" si="30"/>
        <v>0.11006336006336007</v>
      </c>
      <c r="H81" s="19">
        <f t="shared" si="30"/>
        <v>0.10228503890475721</v>
      </c>
      <c r="I81" s="19">
        <f t="shared" si="30"/>
        <v>0.16268940271535146</v>
      </c>
      <c r="J81" s="32">
        <f t="shared" si="30"/>
        <v>0.08530895297019718</v>
      </c>
      <c r="K81" s="1"/>
      <c r="L81" s="1"/>
    </row>
    <row r="82" ht="15" customHeight="1">
      <c r="A82" s="1"/>
      <c r="B82" s="5" t="s">
        <v>127</v>
      </c>
      <c r="C82" s="48"/>
      <c r="D82" s="48"/>
      <c r="E82" s="48"/>
      <c r="F82" s="48"/>
      <c r="G82" s="48"/>
      <c r="H82" s="48">
        <f t="shared" si="31" ref="H82:J82">IF(COUNT(H80,C80)&lt;2,"n/a",(H80-C80)*10000)</f>
        <v>229.90761099028535</v>
      </c>
      <c r="I82" s="48">
        <f t="shared" si="31"/>
        <v>758.9242540231855</v>
      </c>
      <c r="J82" s="49">
        <f t="shared" si="31"/>
        <v>-458.82511078952473</v>
      </c>
      <c r="K82" s="1"/>
      <c r="L82" s="1"/>
    </row>
    <row r="83" ht="15" customHeight="1">
      <c r="A83" s="1"/>
      <c r="B83" s="5" t="s">
        <v>128</v>
      </c>
      <c r="C83" s="48"/>
      <c r="D83" s="48">
        <f t="shared" si="32" ref="D83:J83">IF(COUNT(D80,C80)&lt;2,"n/a",(D80-C80)*10000)</f>
        <v>88.23399243628404</v>
      </c>
      <c r="E83" s="48">
        <f t="shared" si="32"/>
        <v>420.90372640982474</v>
      </c>
      <c r="F83" s="48">
        <f t="shared" si="32"/>
        <v>79.56869077690331</v>
      </c>
      <c r="G83" s="48"/>
      <c r="H83" s="48">
        <f>IF(COUNT(H80,F80)&lt;2,"n/a",(H80-F80)*10000)</f>
        <v>-358.7987986327268</v>
      </c>
      <c r="I83" s="48">
        <f t="shared" si="32"/>
        <v>617.2506354691842</v>
      </c>
      <c r="J83" s="49">
        <f t="shared" si="32"/>
        <v>-796.8456384028855</v>
      </c>
      <c r="K83" s="1"/>
      <c r="L83" s="1"/>
    </row>
    <row r="84" ht="15" customHeight="1">
      <c r="A84" s="1"/>
      <c r="B84" s="1"/>
      <c r="C84" s="1"/>
      <c r="D84" s="1"/>
      <c r="E84" s="1"/>
      <c r="F84" s="1"/>
      <c r="G84" s="1"/>
      <c r="H84" s="1"/>
      <c r="I84" s="1"/>
      <c r="J84" s="29"/>
      <c r="K84" s="1"/>
      <c r="L84" s="1"/>
    </row>
    <row r="85" ht="15" customHeight="1">
      <c r="A85" s="1"/>
      <c r="B85" s="4" t="s">
        <v>129</v>
      </c>
      <c r="C85" s="1"/>
      <c r="D85" s="1"/>
      <c r="E85" s="1"/>
      <c r="F85" s="1"/>
      <c r="G85" s="1"/>
      <c r="H85" s="1"/>
      <c r="I85" s="1"/>
      <c r="J85" s="29"/>
      <c r="K85" s="1"/>
      <c r="L85" s="1"/>
    </row>
    <row r="86" ht="15" customHeight="1">
      <c r="A86" s="1"/>
      <c r="B86" s="1" t="s">
        <v>130</v>
      </c>
      <c r="C86" s="35">
        <v>53</v>
      </c>
      <c r="D86" s="35">
        <v>51</v>
      </c>
      <c r="E86" s="35">
        <v>50</v>
      </c>
      <c r="F86" s="35">
        <v>49</v>
      </c>
      <c r="G86" s="18">
        <f t="shared" si="10"/>
        <v>203</v>
      </c>
      <c r="H86" s="35">
        <v>52</v>
      </c>
      <c r="I86" s="35">
        <v>53</v>
      </c>
      <c r="J86" s="36">
        <f>I86/I36*J36</f>
        <v>53</v>
      </c>
      <c r="K86" s="1" t="s">
        <v>81</v>
      </c>
      <c r="L86" s="1" t="s">
        <v>131</v>
      </c>
    </row>
    <row r="87" ht="15" customHeight="1">
      <c r="A87" s="1"/>
      <c r="B87" s="5" t="s">
        <v>83</v>
      </c>
      <c r="C87" s="19"/>
      <c r="D87" s="19"/>
      <c r="E87" s="19"/>
      <c r="F87" s="19"/>
      <c r="G87" s="19"/>
      <c r="H87" s="19">
        <f t="shared" si="8"/>
        <v>-0.018867924528301883</v>
      </c>
      <c r="I87" s="19">
        <f t="shared" si="8"/>
        <v>0.03921568627450989</v>
      </c>
      <c r="J87" s="32">
        <f t="shared" si="8"/>
        <v>0.06000000000000005</v>
      </c>
      <c r="K87" s="1"/>
      <c r="L87" s="1"/>
    </row>
    <row r="88" ht="15" customHeight="1">
      <c r="A88" s="1"/>
      <c r="B88" s="1" t="s">
        <v>84</v>
      </c>
      <c r="C88" s="18"/>
      <c r="D88" s="18">
        <f t="shared" si="9"/>
        <v>-2</v>
      </c>
      <c r="E88" s="18">
        <f t="shared" si="9"/>
        <v>-1</v>
      </c>
      <c r="F88" s="18">
        <f t="shared" si="9"/>
        <v>-1</v>
      </c>
      <c r="G88" s="18"/>
      <c r="H88" s="18">
        <f t="shared" si="12"/>
        <v>3</v>
      </c>
      <c r="I88" s="18">
        <f t="shared" si="9"/>
        <v>1</v>
      </c>
      <c r="J88" s="36">
        <f t="shared" si="9"/>
        <v>0</v>
      </c>
      <c r="K88" s="1"/>
      <c r="L88" s="1"/>
    </row>
    <row r="89" ht="15" customHeight="1">
      <c r="A89" s="1"/>
      <c r="B89" s="1" t="s">
        <v>132</v>
      </c>
      <c r="C89" s="17">
        <f>'Segment - Collins Aerospace'!C42+'Segment - Pratt &amp; Whitney'!C49+'Segment - Raytheon'!C31+C86</f>
        <v>7732</v>
      </c>
      <c r="D89" s="17">
        <f>'Segment - Collins Aerospace'!D42+'Segment - Pratt &amp; Whitney'!D49+'Segment - Raytheon'!D31+D86</f>
        <v>8273</v>
      </c>
      <c r="E89" s="17">
        <f>'Segment - Collins Aerospace'!E42+'Segment - Pratt &amp; Whitney'!E49+'Segment - Raytheon'!E31+E86</f>
        <v>8409</v>
      </c>
      <c r="F89" s="17">
        <f>'Segment - Collins Aerospace'!F42+'Segment - Pratt &amp; Whitney'!F49+'Segment - Raytheon'!F31+F86</f>
        <v>8865</v>
      </c>
      <c r="G89" s="17">
        <f>'Segment - Collins Aerospace'!G42+'Segment - Pratt &amp; Whitney'!G49+'Segment - Raytheon'!G31+G86</f>
        <v>33279</v>
      </c>
      <c r="H89" s="17">
        <f>'Segment - Collins Aerospace'!H42+'Segment - Pratt &amp; Whitney'!H49+'Segment - Raytheon'!H31+H86</f>
        <v>7970</v>
      </c>
      <c r="I89" s="17">
        <f>'Segment - Collins Aerospace'!I42+'Segment - Pratt &amp; Whitney'!I49+'Segment - Raytheon'!I31+I86</f>
        <v>9298</v>
      </c>
      <c r="J89" s="30">
        <f>'Segment - Collins Aerospace'!J42+'Segment - Pratt &amp; Whitney'!J49+'Segment - Raytheon'!J31+J86</f>
        <v>8926.416436079526</v>
      </c>
      <c r="K89" s="1"/>
      <c r="L89" s="1"/>
    </row>
    <row r="90" ht="15" customHeight="1">
      <c r="A90" s="1"/>
      <c r="B90" s="5" t="s">
        <v>73</v>
      </c>
      <c r="C90" s="19"/>
      <c r="D90" s="19"/>
      <c r="E90" s="19"/>
      <c r="F90" s="19"/>
      <c r="G90" s="19"/>
      <c r="H90" s="19">
        <f t="shared" si="8"/>
        <v>0.030781169167097833</v>
      </c>
      <c r="I90" s="19">
        <f t="shared" si="8"/>
        <v>0.12389701438414114</v>
      </c>
      <c r="J90" s="32">
        <f t="shared" si="8"/>
        <v>0.061531268412358786</v>
      </c>
      <c r="K90" s="1"/>
      <c r="L90" s="1"/>
    </row>
    <row r="91" ht="15" customHeight="1">
      <c r="A91" s="1"/>
      <c r="B91" s="1" t="s">
        <v>90</v>
      </c>
      <c r="C91" s="18"/>
      <c r="D91" s="18">
        <f t="shared" si="9"/>
        <v>541</v>
      </c>
      <c r="E91" s="18">
        <f t="shared" si="9"/>
        <v>136</v>
      </c>
      <c r="F91" s="18">
        <f t="shared" si="9"/>
        <v>456</v>
      </c>
      <c r="G91" s="18"/>
      <c r="H91" s="18">
        <f t="shared" si="12"/>
        <v>-895</v>
      </c>
      <c r="I91" s="18">
        <f t="shared" si="9"/>
        <v>1328</v>
      </c>
      <c r="J91" s="36">
        <f t="shared" si="9"/>
        <v>-371.58356392047426</v>
      </c>
      <c r="K91" s="1"/>
      <c r="L91" s="1"/>
    </row>
    <row r="92" ht="15" customHeight="1">
      <c r="A92" s="1"/>
      <c r="B92" s="5" t="s">
        <v>75</v>
      </c>
      <c r="C92" s="19">
        <f t="shared" si="33" ref="C92:J92">IF(COUNT(C89,C50)&lt;2,"n/a",C89/C50)</f>
        <v>0.38077415542204274</v>
      </c>
      <c r="D92" s="19">
        <f t="shared" si="33"/>
        <v>0.383346462165794</v>
      </c>
      <c r="E92" s="19">
        <f t="shared" si="33"/>
        <v>0.3740991191387134</v>
      </c>
      <c r="F92" s="19">
        <f t="shared" si="33"/>
        <v>0.3657479990098193</v>
      </c>
      <c r="G92" s="19">
        <f t="shared" si="33"/>
        <v>0.3755967630892859</v>
      </c>
      <c r="H92" s="19">
        <f t="shared" si="33"/>
        <v>0.361025548106541</v>
      </c>
      <c r="I92" s="19">
        <f t="shared" si="33"/>
        <v>0.376315363445038</v>
      </c>
      <c r="J92" s="32">
        <f t="shared" si="33"/>
        <v>0.3684707820944077</v>
      </c>
      <c r="K92" s="1"/>
      <c r="L92" s="1"/>
    </row>
    <row r="93" ht="15" customHeight="1">
      <c r="A93" s="1"/>
      <c r="B93" s="5" t="s">
        <v>133</v>
      </c>
      <c r="C93" s="48"/>
      <c r="D93" s="48"/>
      <c r="E93" s="48"/>
      <c r="F93" s="48"/>
      <c r="G93" s="48"/>
      <c r="H93" s="48">
        <f t="shared" si="34" ref="H93:J130">IF(COUNT(H92,C92)&lt;2,"n/a",(H92-C92)*10000)</f>
        <v>-197.4860731550171</v>
      </c>
      <c r="I93" s="48">
        <f t="shared" si="34"/>
        <v>-70.31098720755968</v>
      </c>
      <c r="J93" s="49">
        <f t="shared" si="34"/>
        <v>-56.28337044305709</v>
      </c>
      <c r="K93" s="1"/>
      <c r="L93" s="1"/>
    </row>
    <row r="94" ht="15" customHeight="1">
      <c r="A94" s="1"/>
      <c r="B94" s="5" t="s">
        <v>134</v>
      </c>
      <c r="C94" s="48"/>
      <c r="D94" s="48">
        <f t="shared" si="35" ref="D94:J131">IF(COUNT(D92,C92)&lt;2,"n/a",(D92-C92)*10000)</f>
        <v>25.723067437512515</v>
      </c>
      <c r="E94" s="48">
        <f t="shared" si="35"/>
        <v>-92.47343027080579</v>
      </c>
      <c r="F94" s="48">
        <f t="shared" si="35"/>
        <v>-83.51120128894107</v>
      </c>
      <c r="G94" s="48"/>
      <c r="H94" s="48">
        <f t="shared" si="37" ref="H94:H131">IF(COUNT(H92,F92)&lt;2,"n/a",(H92-F92)*10000)</f>
        <v>-47.22450903278275</v>
      </c>
      <c r="I94" s="48">
        <f t="shared" si="35"/>
        <v>152.89815338496993</v>
      </c>
      <c r="J94" s="49">
        <f t="shared" si="35"/>
        <v>-78.4458135063032</v>
      </c>
      <c r="K94" s="1"/>
      <c r="L94" s="1"/>
    </row>
    <row r="95" ht="15" customHeight="1">
      <c r="A95" s="1"/>
      <c r="B95" s="1" t="s">
        <v>91</v>
      </c>
      <c r="C95" s="37" t="s">
        <v>86</v>
      </c>
      <c r="D95" s="37" t="s">
        <v>86</v>
      </c>
      <c r="E95" s="37" t="s">
        <v>86</v>
      </c>
      <c r="F95" s="37" t="s">
        <v>86</v>
      </c>
      <c r="G95" s="37" t="s">
        <v>86</v>
      </c>
      <c r="H95" s="37" t="s">
        <v>86</v>
      </c>
      <c r="I95" s="37" t="s">
        <v>86</v>
      </c>
      <c r="J95" s="38" t="s">
        <v>86</v>
      </c>
      <c r="K95" s="1"/>
      <c r="L95" s="1" t="s">
        <v>135</v>
      </c>
    </row>
    <row r="96" ht="15" customHeight="1">
      <c r="A96" s="1"/>
      <c r="B96" s="1" t="s">
        <v>136</v>
      </c>
      <c r="C96" s="35">
        <v>0</v>
      </c>
      <c r="D96" s="35">
        <v>0</v>
      </c>
      <c r="E96" s="35">
        <v>0</v>
      </c>
      <c r="F96" s="35">
        <v>0</v>
      </c>
      <c r="G96" s="18">
        <f t="shared" si="10"/>
        <v>0</v>
      </c>
      <c r="H96" s="35">
        <v>0</v>
      </c>
      <c r="I96" s="35">
        <v>0</v>
      </c>
      <c r="J96" s="36">
        <f>I96/I36*J36</f>
        <v>0</v>
      </c>
      <c r="K96" s="1" t="s">
        <v>81</v>
      </c>
      <c r="L96" s="1" t="s">
        <v>131</v>
      </c>
    </row>
    <row r="97" ht="15" customHeight="1">
      <c r="A97" s="1"/>
      <c r="B97" s="5" t="s">
        <v>83</v>
      </c>
      <c r="C97" s="43"/>
      <c r="D97" s="43"/>
      <c r="E97" s="43"/>
      <c r="F97" s="43"/>
      <c r="G97" s="43"/>
      <c r="H97" s="43" t="str">
        <f t="shared" si="8"/>
        <v>n/m</v>
      </c>
      <c r="I97" s="43" t="str">
        <f t="shared" si="8"/>
        <v>n/m</v>
      </c>
      <c r="J97" s="44" t="str">
        <f t="shared" si="8"/>
        <v>n/m</v>
      </c>
      <c r="K97" s="1"/>
      <c r="L97" s="1"/>
    </row>
    <row r="98" ht="15" customHeight="1">
      <c r="A98" s="1"/>
      <c r="B98" s="1" t="s">
        <v>84</v>
      </c>
      <c r="C98" s="18"/>
      <c r="D98" s="18">
        <f t="shared" si="9"/>
        <v>0</v>
      </c>
      <c r="E98" s="18">
        <f t="shared" si="9"/>
        <v>0</v>
      </c>
      <c r="F98" s="18">
        <f t="shared" si="9"/>
        <v>0</v>
      </c>
      <c r="G98" s="18"/>
      <c r="H98" s="18">
        <f t="shared" si="12"/>
        <v>0</v>
      </c>
      <c r="I98" s="18">
        <f t="shared" si="9"/>
        <v>0</v>
      </c>
      <c r="J98" s="36">
        <f t="shared" si="9"/>
        <v>0</v>
      </c>
      <c r="K98" s="1"/>
      <c r="L98" s="1"/>
    </row>
    <row r="99" ht="15" customHeight="1">
      <c r="A99" s="1"/>
      <c r="B99" s="1" t="s">
        <v>137</v>
      </c>
      <c r="C99" s="17">
        <f>'Segment - Collins Aerospace'!C46+'Segment - Pratt &amp; Whitney'!C53+'Segment - Raytheon'!C35+C96</f>
        <v>1471</v>
      </c>
      <c r="D99" s="17">
        <f>'Segment - Collins Aerospace'!D46+'Segment - Pratt &amp; Whitney'!D53+'Segment - Raytheon'!D35+D96</f>
        <v>1635</v>
      </c>
      <c r="E99" s="17">
        <f>'Segment - Collins Aerospace'!E46+'Segment - Pratt &amp; Whitney'!E53+'Segment - Raytheon'!E35+E96</f>
        <v>1867</v>
      </c>
      <c r="F99" s="17">
        <f>'Segment - Collins Aerospace'!F46+'Segment - Pratt &amp; Whitney'!F53+'Segment - Raytheon'!F35+F96</f>
        <v>1729</v>
      </c>
      <c r="G99" s="17">
        <f>'Segment - Collins Aerospace'!G46+'Segment - Pratt &amp; Whitney'!G53+'Segment - Raytheon'!G35+G96</f>
        <v>6702</v>
      </c>
      <c r="H99" s="17">
        <f>'Segment - Collins Aerospace'!H46+'Segment - Pratt &amp; Whitney'!H53+'Segment - Raytheon'!H35+H96</f>
        <v>1781</v>
      </c>
      <c r="I99" s="17">
        <f>'Segment - Collins Aerospace'!I46+'Segment - Pratt &amp; Whitney'!I53+'Segment - Raytheon'!I35+I96</f>
        <v>2020</v>
      </c>
      <c r="J99" s="30">
        <f>'Segment - Collins Aerospace'!J46+'Segment - Pratt &amp; Whitney'!J53+'Segment - Raytheon'!J35+J96</f>
        <v>1852.6308364139923</v>
      </c>
      <c r="K99" s="1"/>
      <c r="L99" s="1"/>
    </row>
    <row r="100" ht="15" customHeight="1">
      <c r="A100" s="1"/>
      <c r="B100" s="5" t="s">
        <v>73</v>
      </c>
      <c r="C100" s="19"/>
      <c r="D100" s="19"/>
      <c r="E100" s="19"/>
      <c r="F100" s="19"/>
      <c r="G100" s="19"/>
      <c r="H100" s="19">
        <f t="shared" si="8"/>
        <v>0.21074099252209377</v>
      </c>
      <c r="I100" s="19">
        <f t="shared" si="8"/>
        <v>0.23547400611620795</v>
      </c>
      <c r="J100" s="32">
        <f t="shared" si="8"/>
        <v>-0.007696391851102158</v>
      </c>
      <c r="K100" s="1"/>
      <c r="L100" s="1"/>
    </row>
    <row r="101" ht="15" customHeight="1">
      <c r="A101" s="1"/>
      <c r="B101" s="1" t="s">
        <v>90</v>
      </c>
      <c r="C101" s="18"/>
      <c r="D101" s="18">
        <f t="shared" si="9"/>
        <v>164</v>
      </c>
      <c r="E101" s="18">
        <f t="shared" si="9"/>
        <v>232</v>
      </c>
      <c r="F101" s="18">
        <f t="shared" si="9"/>
        <v>-138</v>
      </c>
      <c r="G101" s="18"/>
      <c r="H101" s="18">
        <f t="shared" si="12"/>
        <v>52</v>
      </c>
      <c r="I101" s="18">
        <f t="shared" si="9"/>
        <v>239</v>
      </c>
      <c r="J101" s="36">
        <f t="shared" si="9"/>
        <v>-167.36916358600774</v>
      </c>
      <c r="K101" s="1"/>
      <c r="L101" s="1"/>
    </row>
    <row r="102" ht="15" customHeight="1">
      <c r="A102" s="1"/>
      <c r="B102" s="5" t="s">
        <v>75</v>
      </c>
      <c r="C102" s="19">
        <f t="shared" si="36" ref="C102:J102">IF(COUNT(C99,C50)&lt;2,"n/a",C99/C50)</f>
        <v>0.07244164286417808</v>
      </c>
      <c r="D102" s="19">
        <f t="shared" si="36"/>
        <v>0.07576108614058663</v>
      </c>
      <c r="E102" s="19">
        <f t="shared" si="36"/>
        <v>0.08305899101343536</v>
      </c>
      <c r="F102" s="19">
        <f t="shared" si="36"/>
        <v>0.07133426850400199</v>
      </c>
      <c r="G102" s="19">
        <f t="shared" si="36"/>
        <v>0.07564077965757367</v>
      </c>
      <c r="H102" s="19">
        <f t="shared" si="36"/>
        <v>0.08067584707374524</v>
      </c>
      <c r="I102" s="19">
        <f t="shared" si="36"/>
        <v>0.08175489719928768</v>
      </c>
      <c r="J102" s="32">
        <f t="shared" si="36"/>
        <v>0.07647417506386196</v>
      </c>
      <c r="K102" s="1"/>
      <c r="L102" s="1"/>
    </row>
    <row r="103" ht="15" customHeight="1">
      <c r="A103" s="1"/>
      <c r="B103" s="5" t="s">
        <v>133</v>
      </c>
      <c r="C103" s="48"/>
      <c r="D103" s="48"/>
      <c r="E103" s="48"/>
      <c r="F103" s="48"/>
      <c r="G103" s="48"/>
      <c r="H103" s="48">
        <f t="shared" si="34"/>
        <v>82.34204209567164</v>
      </c>
      <c r="I103" s="48">
        <f t="shared" si="34"/>
        <v>59.938110587010456</v>
      </c>
      <c r="J103" s="49">
        <f t="shared" si="34"/>
        <v>-65.848159495734</v>
      </c>
      <c r="K103" s="1"/>
      <c r="L103" s="1"/>
    </row>
    <row r="104" ht="15" customHeight="1">
      <c r="A104" s="1"/>
      <c r="B104" s="5" t="s">
        <v>134</v>
      </c>
      <c r="C104" s="48"/>
      <c r="D104" s="48">
        <f t="shared" si="35"/>
        <v>33.19443276408554</v>
      </c>
      <c r="E104" s="48">
        <f t="shared" si="35"/>
        <v>72.97904872848731</v>
      </c>
      <c r="F104" s="48">
        <f t="shared" si="35"/>
        <v>-117.24722509433377</v>
      </c>
      <c r="G104" s="48"/>
      <c r="H104" s="48">
        <f t="shared" si="37"/>
        <v>93.41578569743255</v>
      </c>
      <c r="I104" s="48">
        <f t="shared" si="35"/>
        <v>10.790501255424356</v>
      </c>
      <c r="J104" s="49">
        <f t="shared" si="35"/>
        <v>-52.80722135425714</v>
      </c>
      <c r="K104" s="1"/>
      <c r="L104" s="1"/>
    </row>
    <row r="105" ht="15" customHeight="1">
      <c r="A105" s="1"/>
      <c r="B105" s="1" t="s">
        <v>91</v>
      </c>
      <c r="C105" s="37" t="s">
        <v>86</v>
      </c>
      <c r="D105" s="37" t="s">
        <v>86</v>
      </c>
      <c r="E105" s="37" t="s">
        <v>86</v>
      </c>
      <c r="F105" s="37" t="s">
        <v>86</v>
      </c>
      <c r="G105" s="37" t="s">
        <v>86</v>
      </c>
      <c r="H105" s="37" t="s">
        <v>86</v>
      </c>
      <c r="I105" s="37" t="s">
        <v>86</v>
      </c>
      <c r="J105" s="38" t="s">
        <v>86</v>
      </c>
      <c r="K105" s="1"/>
      <c r="L105" s="1" t="s">
        <v>135</v>
      </c>
    </row>
    <row r="106" ht="15" customHeight="1">
      <c r="A106" s="1"/>
      <c r="B106" s="1" t="s">
        <v>138</v>
      </c>
      <c r="C106" s="35">
        <v>1</v>
      </c>
      <c r="D106" s="35">
        <v>0</v>
      </c>
      <c r="E106" s="35">
        <v>0</v>
      </c>
      <c r="F106" s="35">
        <v>1</v>
      </c>
      <c r="G106" s="18">
        <f t="shared" si="10"/>
        <v>2</v>
      </c>
      <c r="H106" s="35">
        <v>1</v>
      </c>
      <c r="I106" s="35">
        <v>5</v>
      </c>
      <c r="J106" s="36">
        <f>I106/I36*J36</f>
        <v>5</v>
      </c>
      <c r="K106" s="1" t="s">
        <v>81</v>
      </c>
      <c r="L106" s="1" t="s">
        <v>131</v>
      </c>
    </row>
    <row r="107" ht="15" customHeight="1">
      <c r="A107" s="1"/>
      <c r="B107" s="5" t="s">
        <v>83</v>
      </c>
      <c r="C107" s="43"/>
      <c r="D107" s="43"/>
      <c r="E107" s="43"/>
      <c r="F107" s="43"/>
      <c r="G107" s="43"/>
      <c r="H107" s="43">
        <f t="shared" si="8"/>
        <v>0</v>
      </c>
      <c r="I107" s="43" t="str">
        <f t="shared" si="8"/>
        <v>n/m</v>
      </c>
      <c r="J107" s="44" t="str">
        <f t="shared" si="8"/>
        <v>n/m</v>
      </c>
      <c r="K107" s="1"/>
      <c r="L107" s="1"/>
    </row>
    <row r="108" ht="15" customHeight="1">
      <c r="A108" s="1"/>
      <c r="B108" s="1" t="s">
        <v>84</v>
      </c>
      <c r="C108" s="18"/>
      <c r="D108" s="18">
        <f t="shared" si="9"/>
        <v>-1</v>
      </c>
      <c r="E108" s="18">
        <f t="shared" si="9"/>
        <v>0</v>
      </c>
      <c r="F108" s="18">
        <f t="shared" si="9"/>
        <v>1</v>
      </c>
      <c r="G108" s="18"/>
      <c r="H108" s="18">
        <f t="shared" si="12"/>
        <v>0</v>
      </c>
      <c r="I108" s="18">
        <f t="shared" si="9"/>
        <v>4</v>
      </c>
      <c r="J108" s="36">
        <f t="shared" si="9"/>
        <v>0</v>
      </c>
      <c r="K108" s="1"/>
      <c r="L108" s="1"/>
    </row>
    <row r="109" ht="15" customHeight="1">
      <c r="A109" s="1"/>
      <c r="B109" s="1" t="s">
        <v>139</v>
      </c>
      <c r="C109" s="17">
        <f>'Segment - Collins Aerospace'!C50+'Segment - Pratt &amp; Whitney'!C57+'Segment - Raytheon'!C39+C106</f>
        <v>1352</v>
      </c>
      <c r="D109" s="17">
        <f>'Segment - Collins Aerospace'!D50+'Segment - Pratt &amp; Whitney'!D57+'Segment - Raytheon'!D39+D106</f>
        <v>1433</v>
      </c>
      <c r="E109" s="17">
        <f>'Segment - Collins Aerospace'!E50+'Segment - Pratt &amp; Whitney'!E57+'Segment - Raytheon'!E39+E106</f>
        <v>1477</v>
      </c>
      <c r="F109" s="17">
        <f>'Segment - Collins Aerospace'!F50+'Segment - Pratt &amp; Whitney'!F57+'Segment - Raytheon'!F39+F106</f>
        <v>1861</v>
      </c>
      <c r="G109" s="17">
        <f>'Segment - Collins Aerospace'!G50+'Segment - Pratt &amp; Whitney'!G57+'Segment - Raytheon'!G39+G106</f>
        <v>6123</v>
      </c>
      <c r="H109" s="17">
        <f>'Segment - Collins Aerospace'!H50+'Segment - Pratt &amp; Whitney'!H57+'Segment - Raytheon'!H39+H106</f>
        <v>1547</v>
      </c>
      <c r="I109" s="17">
        <f>'Segment - Collins Aerospace'!I50+'Segment - Pratt &amp; Whitney'!I57+'Segment - Raytheon'!I39+I106</f>
        <v>1718</v>
      </c>
      <c r="J109" s="30">
        <f>'Segment - Collins Aerospace'!J50+'Segment - Pratt &amp; Whitney'!J57+'Segment - Raytheon'!J39+J106</f>
        <v>1610.99983866735</v>
      </c>
      <c r="K109" s="1"/>
      <c r="L109" s="1"/>
    </row>
    <row r="110" ht="15" customHeight="1">
      <c r="A110" s="1"/>
      <c r="B110" s="5" t="s">
        <v>73</v>
      </c>
      <c r="C110" s="19"/>
      <c r="D110" s="19"/>
      <c r="E110" s="19"/>
      <c r="F110" s="19"/>
      <c r="G110" s="19"/>
      <c r="H110" s="19">
        <f t="shared" si="8"/>
        <v>0.14423076923076916</v>
      </c>
      <c r="I110" s="19">
        <f t="shared" si="8"/>
        <v>0.19888346127006273</v>
      </c>
      <c r="J110" s="32">
        <f t="shared" si="8"/>
        <v>0.09072433220538256</v>
      </c>
      <c r="K110" s="1"/>
      <c r="L110" s="1"/>
    </row>
    <row r="111" ht="15" customHeight="1">
      <c r="A111" s="1"/>
      <c r="B111" s="1" t="s">
        <v>90</v>
      </c>
      <c r="C111" s="18"/>
      <c r="D111" s="18">
        <f t="shared" si="9"/>
        <v>81</v>
      </c>
      <c r="E111" s="18">
        <f t="shared" si="9"/>
        <v>44</v>
      </c>
      <c r="F111" s="18">
        <f t="shared" si="9"/>
        <v>384</v>
      </c>
      <c r="G111" s="18"/>
      <c r="H111" s="18">
        <f t="shared" si="12"/>
        <v>-314</v>
      </c>
      <c r="I111" s="18">
        <f t="shared" si="9"/>
        <v>171</v>
      </c>
      <c r="J111" s="36">
        <f t="shared" si="9"/>
        <v>-107.0001613326499</v>
      </c>
      <c r="K111" s="1"/>
      <c r="L111" s="1"/>
    </row>
    <row r="112" ht="15" customHeight="1">
      <c r="A112" s="1"/>
      <c r="B112" s="5" t="s">
        <v>75</v>
      </c>
      <c r="C112" s="19">
        <f t="shared" si="38" ref="C112:J112">IF(COUNT(C109,C50)&lt;2,"n/a",C109/C50)</f>
        <v>0.06658130601792574</v>
      </c>
      <c r="D112" s="19">
        <f t="shared" si="38"/>
        <v>0.06640100088040406</v>
      </c>
      <c r="E112" s="19">
        <f t="shared" si="38"/>
        <v>0.06570869294421212</v>
      </c>
      <c r="F112" s="19">
        <f t="shared" si="38"/>
        <v>0.07678026239788761</v>
      </c>
      <c r="G112" s="19">
        <f t="shared" si="38"/>
        <v>0.06910601221177612</v>
      </c>
      <c r="H112" s="19">
        <f t="shared" si="38"/>
        <v>0.0700761007428882</v>
      </c>
      <c r="I112" s="19">
        <f t="shared" si="38"/>
        <v>0.06953213534078032</v>
      </c>
      <c r="J112" s="32">
        <f t="shared" si="38"/>
        <v>0.06649996387222491</v>
      </c>
      <c r="K112" s="1"/>
      <c r="L112" s="1"/>
    </row>
    <row r="113" ht="15" customHeight="1">
      <c r="A113" s="1"/>
      <c r="B113" s="5" t="s">
        <v>133</v>
      </c>
      <c r="C113" s="48"/>
      <c r="D113" s="48"/>
      <c r="E113" s="48"/>
      <c r="F113" s="48"/>
      <c r="G113" s="48"/>
      <c r="H113" s="48">
        <f t="shared" si="34"/>
        <v>34.947947249624605</v>
      </c>
      <c r="I113" s="48">
        <f t="shared" si="34"/>
        <v>31.311344603762585</v>
      </c>
      <c r="J113" s="49">
        <f t="shared" si="34"/>
        <v>7.912709280127883</v>
      </c>
      <c r="K113" s="1"/>
      <c r="L113" s="1"/>
    </row>
    <row r="114" ht="15" customHeight="1">
      <c r="A114" s="1"/>
      <c r="B114" s="5" t="s">
        <v>134</v>
      </c>
      <c r="C114" s="48"/>
      <c r="D114" s="48">
        <f t="shared" si="35"/>
        <v>-1.803051375216802</v>
      </c>
      <c r="E114" s="48">
        <f t="shared" si="35"/>
        <v>-6.923079361919326</v>
      </c>
      <c r="F114" s="48">
        <f t="shared" si="35"/>
        <v>110.7156945367549</v>
      </c>
      <c r="G114" s="48"/>
      <c r="H114" s="48">
        <f t="shared" si="37"/>
        <v>-67.04161654999416</v>
      </c>
      <c r="I114" s="48">
        <f t="shared" si="35"/>
        <v>-5.439654021078821</v>
      </c>
      <c r="J114" s="49">
        <f t="shared" si="35"/>
        <v>-30.32171468555403</v>
      </c>
      <c r="K114" s="1"/>
      <c r="L114" s="1"/>
    </row>
    <row r="115" ht="15" customHeight="1">
      <c r="A115" s="1"/>
      <c r="B115" s="1" t="s">
        <v>91</v>
      </c>
      <c r="C115" s="37" t="s">
        <v>86</v>
      </c>
      <c r="D115" s="37" t="s">
        <v>86</v>
      </c>
      <c r="E115" s="37" t="s">
        <v>86</v>
      </c>
      <c r="F115" s="37" t="s">
        <v>86</v>
      </c>
      <c r="G115" s="37" t="s">
        <v>86</v>
      </c>
      <c r="H115" s="37" t="s">
        <v>86</v>
      </c>
      <c r="I115" s="37" t="s">
        <v>86</v>
      </c>
      <c r="J115" s="38" t="s">
        <v>86</v>
      </c>
      <c r="K115" s="1"/>
      <c r="L115" s="1" t="s">
        <v>135</v>
      </c>
    </row>
    <row r="116" ht="15" customHeight="1">
      <c r="A116" s="1"/>
      <c r="B116" s="1" t="s">
        <v>140</v>
      </c>
      <c r="C116" s="35">
        <v>0</v>
      </c>
      <c r="D116" s="35">
        <v>3</v>
      </c>
      <c r="E116" s="35">
        <v>1</v>
      </c>
      <c r="F116" s="35">
        <v>1</v>
      </c>
      <c r="G116" s="18">
        <f t="shared" si="10"/>
        <v>5</v>
      </c>
      <c r="H116" s="35">
        <v>2</v>
      </c>
      <c r="I116" s="35">
        <v>-3</v>
      </c>
      <c r="J116" s="36">
        <f>I116/I36*J36</f>
        <v>-3</v>
      </c>
      <c r="K116" s="1" t="s">
        <v>81</v>
      </c>
      <c r="L116" s="1" t="s">
        <v>131</v>
      </c>
    </row>
    <row r="117" ht="15" customHeight="1">
      <c r="A117" s="1"/>
      <c r="B117" s="5" t="s">
        <v>83</v>
      </c>
      <c r="C117" s="43"/>
      <c r="D117" s="43"/>
      <c r="E117" s="43"/>
      <c r="F117" s="43"/>
      <c r="G117" s="43"/>
      <c r="H117" s="43" t="str">
        <f t="shared" si="8"/>
        <v>n/m</v>
      </c>
      <c r="I117" s="43" t="str">
        <f t="shared" si="8"/>
        <v>n/m</v>
      </c>
      <c r="J117" s="44" t="str">
        <f t="shared" si="8"/>
        <v>n/m</v>
      </c>
      <c r="K117" s="1"/>
      <c r="L117" s="1"/>
    </row>
    <row r="118" ht="15" customHeight="1">
      <c r="A118" s="1"/>
      <c r="B118" s="1" t="s">
        <v>84</v>
      </c>
      <c r="C118" s="18"/>
      <c r="D118" s="18">
        <f t="shared" si="9"/>
        <v>3</v>
      </c>
      <c r="E118" s="18">
        <f t="shared" si="9"/>
        <v>-2</v>
      </c>
      <c r="F118" s="18">
        <f t="shared" si="9"/>
        <v>0</v>
      </c>
      <c r="G118" s="18"/>
      <c r="H118" s="18">
        <f t="shared" si="12"/>
        <v>1</v>
      </c>
      <c r="I118" s="18">
        <f t="shared" si="9"/>
        <v>-5</v>
      </c>
      <c r="J118" s="36">
        <f t="shared" si="9"/>
        <v>0</v>
      </c>
      <c r="K118" s="1"/>
      <c r="L118" s="1"/>
    </row>
    <row r="119" ht="15" customHeight="1">
      <c r="A119" s="1"/>
      <c r="B119" s="1" t="s">
        <v>141</v>
      </c>
      <c r="C119" s="17">
        <f>'Segment - Collins Aerospace'!C54+'Segment - Pratt &amp; Whitney'!C61+'Segment - Raytheon'!C43+C116</f>
        <v>9751</v>
      </c>
      <c r="D119" s="17">
        <f>'Segment - Collins Aerospace'!D54+'Segment - Pratt &amp; Whitney'!D61+'Segment - Raytheon'!D43+D116</f>
        <v>10240</v>
      </c>
      <c r="E119" s="17">
        <f>'Segment - Collins Aerospace'!E54+'Segment - Pratt &amp; Whitney'!E61+'Segment - Raytheon'!E43+E116</f>
        <v>10725</v>
      </c>
      <c r="F119" s="17">
        <f>'Segment - Collins Aerospace'!F54+'Segment - Pratt &amp; Whitney'!F61+'Segment - Raytheon'!F43+F116</f>
        <v>11783</v>
      </c>
      <c r="G119" s="17">
        <f>'Segment - Collins Aerospace'!G54+'Segment - Pratt &amp; Whitney'!G61+'Segment - Raytheon'!G43+G116</f>
        <v>42499</v>
      </c>
      <c r="H119" s="17">
        <f>'Segment - Collins Aerospace'!H54+'Segment - Pratt &amp; Whitney'!H61+'Segment - Raytheon'!H43+H116</f>
        <v>10778</v>
      </c>
      <c r="I119" s="17">
        <f>'Segment - Collins Aerospace'!I54+'Segment - Pratt &amp; Whitney'!I61+'Segment - Raytheon'!I43+I116</f>
        <v>11672</v>
      </c>
      <c r="J119" s="30">
        <f>'Segment - Collins Aerospace'!J54+'Segment - Pratt &amp; Whitney'!J61+'Segment - Raytheon'!J43+J116</f>
        <v>11835.527533703227</v>
      </c>
      <c r="K119" s="1"/>
      <c r="L119" s="1"/>
    </row>
    <row r="120" ht="15" customHeight="1">
      <c r="A120" s="1"/>
      <c r="B120" s="5" t="s">
        <v>73</v>
      </c>
      <c r="C120" s="19"/>
      <c r="D120" s="19"/>
      <c r="E120" s="19"/>
      <c r="F120" s="19"/>
      <c r="G120" s="19"/>
      <c r="H120" s="19">
        <f t="shared" si="8"/>
        <v>0.10532253102245925</v>
      </c>
      <c r="I120" s="19">
        <f t="shared" si="8"/>
        <v>0.13984375000000004</v>
      </c>
      <c r="J120" s="32">
        <f t="shared" si="8"/>
        <v>0.10354569078817977</v>
      </c>
      <c r="K120" s="1"/>
      <c r="L120" s="1"/>
    </row>
    <row r="121" ht="15" customHeight="1">
      <c r="A121" s="1"/>
      <c r="B121" s="1" t="s">
        <v>90</v>
      </c>
      <c r="C121" s="18"/>
      <c r="D121" s="18">
        <f t="shared" si="9"/>
        <v>489</v>
      </c>
      <c r="E121" s="18">
        <f t="shared" si="9"/>
        <v>485</v>
      </c>
      <c r="F121" s="18">
        <f t="shared" si="9"/>
        <v>1058</v>
      </c>
      <c r="G121" s="18"/>
      <c r="H121" s="18">
        <f t="shared" si="12"/>
        <v>-1005</v>
      </c>
      <c r="I121" s="18">
        <f t="shared" si="9"/>
        <v>894</v>
      </c>
      <c r="J121" s="36">
        <f t="shared" si="9"/>
        <v>163.52753370322716</v>
      </c>
      <c r="K121" s="1"/>
      <c r="L121" s="1"/>
    </row>
    <row r="122" ht="15" customHeight="1">
      <c r="A122" s="1"/>
      <c r="B122" s="5" t="s">
        <v>75</v>
      </c>
      <c r="C122" s="19">
        <f t="shared" si="39" ref="C122:J122">IF(COUNT(C119,C50)&lt;2,"n/a",C119/C50)</f>
        <v>0.48020289569585345</v>
      </c>
      <c r="D122" s="19">
        <f t="shared" si="39"/>
        <v>0.4744914508132153</v>
      </c>
      <c r="E122" s="19">
        <f t="shared" si="39"/>
        <v>0.4771331969036391</v>
      </c>
      <c r="F122" s="19">
        <f t="shared" si="39"/>
        <v>0.4861374700882911</v>
      </c>
      <c r="G122" s="19">
        <f t="shared" si="39"/>
        <v>0.4796564450413643</v>
      </c>
      <c r="H122" s="19">
        <f t="shared" si="39"/>
        <v>0.4882225040768255</v>
      </c>
      <c r="I122" s="19">
        <f t="shared" si="39"/>
        <v>0.47239760401489395</v>
      </c>
      <c r="J122" s="32">
        <f t="shared" si="39"/>
        <v>0.4885550789695055</v>
      </c>
      <c r="K122" s="1"/>
      <c r="L122" s="1"/>
    </row>
    <row r="123" ht="15" customHeight="1">
      <c r="A123" s="1"/>
      <c r="B123" s="5" t="s">
        <v>133</v>
      </c>
      <c r="C123" s="48"/>
      <c r="D123" s="48"/>
      <c r="E123" s="48"/>
      <c r="F123" s="48"/>
      <c r="G123" s="48"/>
      <c r="H123" s="48">
        <f t="shared" si="34"/>
        <v>80.19608380972043</v>
      </c>
      <c r="I123" s="48">
        <f t="shared" si="34"/>
        <v>-20.938467983213638</v>
      </c>
      <c r="J123" s="49">
        <f t="shared" si="34"/>
        <v>114.21882065866417</v>
      </c>
      <c r="K123" s="1"/>
      <c r="L123" s="1"/>
    </row>
    <row r="124" ht="15" customHeight="1">
      <c r="A124" s="1"/>
      <c r="B124" s="5" t="s">
        <v>134</v>
      </c>
      <c r="C124" s="48"/>
      <c r="D124" s="48">
        <f t="shared" si="35"/>
        <v>-57.11444882638139</v>
      </c>
      <c r="E124" s="48">
        <f t="shared" si="35"/>
        <v>26.4174609042378</v>
      </c>
      <c r="F124" s="48">
        <f t="shared" si="35"/>
        <v>90.04273184652023</v>
      </c>
      <c r="G124" s="48"/>
      <c r="H124" s="48">
        <f t="shared" si="37"/>
        <v>20.850339885343793</v>
      </c>
      <c r="I124" s="48">
        <f t="shared" si="35"/>
        <v>-158.24900061931547</v>
      </c>
      <c r="J124" s="49">
        <f t="shared" si="35"/>
        <v>161.5747495461156</v>
      </c>
      <c r="K124" s="1"/>
      <c r="L124" s="1"/>
    </row>
    <row r="125" ht="15" customHeight="1">
      <c r="A125" s="1"/>
      <c r="B125" s="1" t="s">
        <v>91</v>
      </c>
      <c r="C125" s="37" t="s">
        <v>86</v>
      </c>
      <c r="D125" s="37" t="s">
        <v>86</v>
      </c>
      <c r="E125" s="37" t="s">
        <v>86</v>
      </c>
      <c r="F125" s="37" t="s">
        <v>86</v>
      </c>
      <c r="G125" s="37" t="s">
        <v>86</v>
      </c>
      <c r="H125" s="37" t="s">
        <v>86</v>
      </c>
      <c r="I125" s="37" t="s">
        <v>86</v>
      </c>
      <c r="J125" s="38" t="s">
        <v>86</v>
      </c>
      <c r="K125" s="1"/>
      <c r="L125" s="1" t="s">
        <v>135</v>
      </c>
    </row>
    <row r="126" ht="15" customHeight="1">
      <c r="A126" s="1"/>
      <c r="B126" s="4" t="s">
        <v>142</v>
      </c>
      <c r="C126" s="33">
        <f t="shared" si="40" ref="C126:J126">C89+C99+C109</f>
        <v>10555</v>
      </c>
      <c r="D126" s="33">
        <f t="shared" si="40"/>
        <v>11341</v>
      </c>
      <c r="E126" s="33">
        <f t="shared" si="40"/>
        <v>11753</v>
      </c>
      <c r="F126" s="33">
        <f t="shared" si="40"/>
        <v>12455</v>
      </c>
      <c r="G126" s="33">
        <f t="shared" si="40"/>
        <v>46104</v>
      </c>
      <c r="H126" s="33">
        <f t="shared" si="40"/>
        <v>11298</v>
      </c>
      <c r="I126" s="33">
        <f t="shared" si="40"/>
        <v>13036</v>
      </c>
      <c r="J126" s="34">
        <f t="shared" si="40"/>
        <v>12390.047111160868</v>
      </c>
      <c r="K126" s="1"/>
      <c r="L126" s="1"/>
    </row>
    <row r="127" ht="15" customHeight="1">
      <c r="A127" s="1"/>
      <c r="B127" s="5" t="s">
        <v>73</v>
      </c>
      <c r="C127" s="19"/>
      <c r="D127" s="19"/>
      <c r="E127" s="19"/>
      <c r="F127" s="19"/>
      <c r="G127" s="19"/>
      <c r="H127" s="19">
        <f t="shared" si="8"/>
        <v>0.0703931785883467</v>
      </c>
      <c r="I127" s="19">
        <f t="shared" si="8"/>
        <v>0.14945771977779732</v>
      </c>
      <c r="J127" s="32">
        <f t="shared" si="8"/>
        <v>0.05420293637036222</v>
      </c>
      <c r="K127" s="1"/>
      <c r="L127" s="1"/>
    </row>
    <row r="128" ht="15" customHeight="1">
      <c r="A128" s="1"/>
      <c r="B128" s="1" t="s">
        <v>90</v>
      </c>
      <c r="C128" s="18"/>
      <c r="D128" s="18">
        <f t="shared" si="9"/>
        <v>786</v>
      </c>
      <c r="E128" s="18">
        <f t="shared" si="9"/>
        <v>412</v>
      </c>
      <c r="F128" s="18">
        <f t="shared" si="9"/>
        <v>702</v>
      </c>
      <c r="G128" s="18"/>
      <c r="H128" s="18">
        <f t="shared" si="12"/>
        <v>-1157</v>
      </c>
      <c r="I128" s="18">
        <f t="shared" si="9"/>
        <v>1738</v>
      </c>
      <c r="J128" s="36">
        <f t="shared" si="9"/>
        <v>-645.9528888391324</v>
      </c>
      <c r="K128" s="1"/>
      <c r="L128" s="1"/>
    </row>
    <row r="129" ht="15" customHeight="1">
      <c r="A129" s="1"/>
      <c r="B129" s="5" t="s">
        <v>75</v>
      </c>
      <c r="C129" s="19">
        <f t="shared" si="41" ref="C129:J129">IF(COUNT(C126,C50)&lt;2,"n/a",C126/C50)</f>
        <v>0.5197971043041466</v>
      </c>
      <c r="D129" s="19">
        <f t="shared" si="41"/>
        <v>0.5255085491867847</v>
      </c>
      <c r="E129" s="19">
        <f t="shared" si="41"/>
        <v>0.5228668030963609</v>
      </c>
      <c r="F129" s="19">
        <f t="shared" si="41"/>
        <v>0.5138625299117089</v>
      </c>
      <c r="G129" s="19">
        <f t="shared" si="41"/>
        <v>0.5203435549586357</v>
      </c>
      <c r="H129" s="19">
        <f t="shared" si="41"/>
        <v>0.5117774959231745</v>
      </c>
      <c r="I129" s="19">
        <f t="shared" si="41"/>
        <v>0.527602395985106</v>
      </c>
      <c r="J129" s="32">
        <f t="shared" si="41"/>
        <v>0.5114449210304945</v>
      </c>
      <c r="K129" s="1"/>
      <c r="L129" s="1"/>
    </row>
    <row r="130" ht="15" customHeight="1">
      <c r="A130" s="1"/>
      <c r="B130" s="5" t="s">
        <v>143</v>
      </c>
      <c r="C130" s="48"/>
      <c r="D130" s="48"/>
      <c r="E130" s="48"/>
      <c r="F130" s="48"/>
      <c r="G130" s="48"/>
      <c r="H130" s="48">
        <f t="shared" si="34"/>
        <v>-80.19608380972154</v>
      </c>
      <c r="I130" s="48">
        <f t="shared" si="34"/>
        <v>20.938467983213638</v>
      </c>
      <c r="J130" s="49">
        <f t="shared" si="34"/>
        <v>-114.21882065866362</v>
      </c>
      <c r="K130" s="1"/>
      <c r="L130" s="1"/>
    </row>
    <row r="131" ht="15" customHeight="1">
      <c r="A131" s="1"/>
      <c r="B131" s="5" t="s">
        <v>128</v>
      </c>
      <c r="C131" s="48"/>
      <c r="D131" s="48">
        <f t="shared" si="35"/>
        <v>57.11444882638084</v>
      </c>
      <c r="E131" s="48">
        <f t="shared" si="35"/>
        <v>-26.4174609042378</v>
      </c>
      <c r="F131" s="48">
        <f t="shared" si="35"/>
        <v>-90.04273184652023</v>
      </c>
      <c r="G131" s="48"/>
      <c r="H131" s="48">
        <f t="shared" si="37"/>
        <v>-20.850339885344347</v>
      </c>
      <c r="I131" s="48">
        <f t="shared" si="35"/>
        <v>158.249000619316</v>
      </c>
      <c r="J131" s="49">
        <f t="shared" si="35"/>
        <v>-161.57474954611507</v>
      </c>
      <c r="K131" s="1"/>
      <c r="L131" s="1"/>
    </row>
    <row r="132" ht="15" customHeight="1">
      <c r="A132" s="1"/>
      <c r="B132" s="4" t="s">
        <v>144</v>
      </c>
      <c r="C132" s="33">
        <f t="shared" si="42" ref="C132:J132">C126+C119</f>
        <v>20306</v>
      </c>
      <c r="D132" s="33">
        <f t="shared" si="42"/>
        <v>21581</v>
      </c>
      <c r="E132" s="33">
        <f t="shared" si="42"/>
        <v>22478</v>
      </c>
      <c r="F132" s="33">
        <f t="shared" si="42"/>
        <v>24238</v>
      </c>
      <c r="G132" s="33">
        <f t="shared" si="42"/>
        <v>88603</v>
      </c>
      <c r="H132" s="33">
        <f t="shared" si="42"/>
        <v>22076</v>
      </c>
      <c r="I132" s="33">
        <f t="shared" si="42"/>
        <v>24708</v>
      </c>
      <c r="J132" s="34">
        <f t="shared" si="42"/>
        <v>24225.574644864093</v>
      </c>
      <c r="K132" s="1"/>
      <c r="L132" s="1"/>
    </row>
    <row r="133" ht="15" customHeight="1">
      <c r="A133" s="1"/>
      <c r="B133" s="1" t="s">
        <v>145</v>
      </c>
      <c r="C133" s="18">
        <f t="shared" si="43" ref="C133:J133">C132-C50</f>
        <v>0</v>
      </c>
      <c r="D133" s="18">
        <f t="shared" si="43"/>
        <v>0</v>
      </c>
      <c r="E133" s="18">
        <f t="shared" si="43"/>
        <v>0</v>
      </c>
      <c r="F133" s="18">
        <f t="shared" si="43"/>
        <v>0</v>
      </c>
      <c r="G133" s="18">
        <f t="shared" si="43"/>
        <v>0</v>
      </c>
      <c r="H133" s="18">
        <f t="shared" si="43"/>
        <v>0</v>
      </c>
      <c r="I133" s="18">
        <f t="shared" si="43"/>
        <v>0</v>
      </c>
      <c r="J133" s="36">
        <f t="shared" si="43"/>
        <v>0</v>
      </c>
      <c r="K133" s="1"/>
      <c r="L133" s="1"/>
    </row>
    <row r="134" ht="15" customHeight="1">
      <c r="A134" s="1"/>
      <c r="B134" s="1"/>
      <c r="C134" s="1"/>
      <c r="D134" s="1"/>
      <c r="E134" s="1"/>
      <c r="F134" s="1"/>
      <c r="G134" s="1"/>
      <c r="H134" s="1"/>
      <c r="I134" s="1"/>
      <c r="J134" s="29"/>
      <c r="K134" s="1"/>
      <c r="L134" s="1"/>
    </row>
    <row r="135" ht="15" customHeight="1">
      <c r="A135" s="1"/>
      <c r="B135" s="4" t="s">
        <v>146</v>
      </c>
      <c r="C135" s="1"/>
      <c r="D135" s="1"/>
      <c r="E135" s="1"/>
      <c r="F135" s="1"/>
      <c r="G135" s="1"/>
      <c r="H135" s="1"/>
      <c r="I135" s="1"/>
      <c r="J135" s="29"/>
      <c r="K135" s="1"/>
      <c r="L135" s="1"/>
    </row>
    <row r="136" ht="15" customHeight="1">
      <c r="A136" s="1"/>
      <c r="B136" s="1" t="s">
        <v>147</v>
      </c>
      <c r="C136" s="18"/>
      <c r="D136" s="18">
        <f t="shared" si="44" ref="D136:J136">C140</f>
        <v>217000</v>
      </c>
      <c r="E136" s="18">
        <f t="shared" si="44"/>
        <v>236000</v>
      </c>
      <c r="F136" s="18">
        <f t="shared" si="44"/>
        <v>251000</v>
      </c>
      <c r="G136" s="18"/>
      <c r="H136" s="18">
        <f>F140</f>
        <v>268000</v>
      </c>
      <c r="I136" s="18">
        <f t="shared" si="44"/>
        <v>271000</v>
      </c>
      <c r="J136" s="36">
        <f t="shared" si="44"/>
        <v>289000</v>
      </c>
      <c r="K136" s="1"/>
      <c r="L136" s="1"/>
    </row>
    <row r="137" ht="15" customHeight="1">
      <c r="A137" s="1"/>
      <c r="B137" s="1" t="s">
        <v>148</v>
      </c>
      <c r="C137" s="18"/>
      <c r="D137" s="18">
        <f t="shared" si="45" ref="D137:J137">-D50</f>
        <v>-21581</v>
      </c>
      <c r="E137" s="18">
        <f t="shared" si="45"/>
        <v>-22478</v>
      </c>
      <c r="F137" s="18">
        <f t="shared" si="45"/>
        <v>-24238</v>
      </c>
      <c r="G137" s="18"/>
      <c r="H137" s="18">
        <f t="shared" si="45"/>
        <v>-22076</v>
      </c>
      <c r="I137" s="18">
        <f t="shared" si="45"/>
        <v>-24708</v>
      </c>
      <c r="J137" s="36">
        <f t="shared" si="45"/>
        <v>-24225.574644864093</v>
      </c>
      <c r="K137" s="1"/>
      <c r="L137" s="1"/>
    </row>
    <row r="138" ht="15" customHeight="1">
      <c r="A138" s="1"/>
      <c r="B138" s="1" t="s">
        <v>149</v>
      </c>
      <c r="C138" s="18"/>
      <c r="D138" s="18">
        <f t="shared" si="46" ref="D138:I138">D140-D136-D137</f>
        <v>40581</v>
      </c>
      <c r="E138" s="18">
        <f t="shared" si="46"/>
        <v>37478</v>
      </c>
      <c r="F138" s="18">
        <f t="shared" si="46"/>
        <v>41238</v>
      </c>
      <c r="G138" s="18"/>
      <c r="H138" s="18">
        <f t="shared" si="46"/>
        <v>25076</v>
      </c>
      <c r="I138" s="18">
        <f t="shared" si="46"/>
        <v>42708</v>
      </c>
      <c r="J138" s="36">
        <f>-J137*J139</f>
        <v>31493.247038323323</v>
      </c>
      <c r="K138" s="1"/>
      <c r="L138" s="1"/>
    </row>
    <row r="139" ht="15" customHeight="1">
      <c r="A139" s="1"/>
      <c r="B139" s="1" t="s">
        <v>150</v>
      </c>
      <c r="C139" s="50"/>
      <c r="D139" s="50">
        <f t="shared" si="47" ref="D139:I139">D138/-D137</f>
        <v>1.880404059126083</v>
      </c>
      <c r="E139" s="50">
        <f t="shared" si="47"/>
        <v>1.667319156508586</v>
      </c>
      <c r="F139" s="50">
        <f t="shared" si="47"/>
        <v>1.701378001485271</v>
      </c>
      <c r="G139" s="50"/>
      <c r="H139" s="50">
        <f t="shared" si="47"/>
        <v>1.1358941837289365</v>
      </c>
      <c r="I139" s="50">
        <f t="shared" si="47"/>
        <v>1.7285089849441477</v>
      </c>
      <c r="J139" s="51">
        <v>1.3</v>
      </c>
      <c r="K139" s="1"/>
      <c r="L139" s="1" t="s">
        <v>151</v>
      </c>
    </row>
    <row r="140" ht="15" customHeight="1">
      <c r="A140" s="1"/>
      <c r="B140" s="4" t="s">
        <v>152</v>
      </c>
      <c r="C140" s="52">
        <v>217000</v>
      </c>
      <c r="D140" s="52">
        <v>236000</v>
      </c>
      <c r="E140" s="52">
        <v>251000</v>
      </c>
      <c r="F140" s="52">
        <v>268000</v>
      </c>
      <c r="G140" s="33">
        <f t="shared" si="49" ref="G140:G145">F140</f>
        <v>268000</v>
      </c>
      <c r="H140" s="52">
        <v>271000</v>
      </c>
      <c r="I140" s="52">
        <v>289000</v>
      </c>
      <c r="J140" s="34">
        <f>J136+J137+J138</f>
        <v>296267.67239345924</v>
      </c>
      <c r="K140" s="1" t="s">
        <v>95</v>
      </c>
      <c r="L140" s="1" t="s">
        <v>153</v>
      </c>
    </row>
    <row r="141" ht="15" customHeight="1">
      <c r="A141" s="1"/>
      <c r="B141" s="1" t="s">
        <v>154</v>
      </c>
      <c r="C141" s="53"/>
      <c r="D141" s="53" t="str">
        <f t="shared" si="9"/>
        <v>n/a</v>
      </c>
      <c r="E141" s="53">
        <f t="shared" si="9"/>
        <v>-0.21308490261749702</v>
      </c>
      <c r="F141" s="53">
        <f t="shared" si="9"/>
        <v>0.03405884497668499</v>
      </c>
      <c r="G141" s="53"/>
      <c r="H141" s="53">
        <f t="shared" si="12"/>
        <v>-0.5654838177563346</v>
      </c>
      <c r="I141" s="53">
        <f t="shared" si="9"/>
        <v>0.5926148012152113</v>
      </c>
      <c r="J141" s="54">
        <f t="shared" si="9"/>
        <v>-0.4285089849441477</v>
      </c>
      <c r="K141" s="1"/>
      <c r="L141" s="1"/>
    </row>
    <row r="142" ht="15" customHeight="1">
      <c r="A142" s="1"/>
      <c r="B142" s="1" t="s">
        <v>155</v>
      </c>
      <c r="C142" s="53"/>
      <c r="D142" s="53"/>
      <c r="E142" s="53"/>
      <c r="F142" s="53"/>
      <c r="G142" s="53"/>
      <c r="H142" s="53" t="str">
        <f t="shared" si="48" ref="H142:J142">IF(COUNT(H139,C139)&lt;2,"n/a",H139-C139)</f>
        <v>n/a</v>
      </c>
      <c r="I142" s="53">
        <f t="shared" si="48"/>
        <v>-0.15189507418193537</v>
      </c>
      <c r="J142" s="54">
        <f t="shared" si="48"/>
        <v>-0.36731915650858604</v>
      </c>
      <c r="K142" s="1"/>
      <c r="L142" s="1"/>
    </row>
    <row r="143" ht="15" customHeight="1">
      <c r="A143" s="1"/>
      <c r="B143" s="1" t="s">
        <v>156</v>
      </c>
      <c r="C143" s="35">
        <v>125000</v>
      </c>
      <c r="D143" s="35">
        <v>144000</v>
      </c>
      <c r="E143" s="35">
        <v>148000</v>
      </c>
      <c r="F143" s="35">
        <v>161000</v>
      </c>
      <c r="G143" s="18">
        <f t="shared" si="49"/>
        <v>161000</v>
      </c>
      <c r="H143" s="35">
        <v>162000</v>
      </c>
      <c r="I143" s="35">
        <v>170000</v>
      </c>
      <c r="J143" s="36"/>
      <c r="K143" s="1" t="s">
        <v>95</v>
      </c>
      <c r="L143" s="1" t="s">
        <v>157</v>
      </c>
    </row>
    <row r="144" ht="15" customHeight="1">
      <c r="A144" s="1"/>
      <c r="B144" s="5" t="s">
        <v>73</v>
      </c>
      <c r="C144" s="19"/>
      <c r="D144" s="19"/>
      <c r="E144" s="19"/>
      <c r="F144" s="19"/>
      <c r="G144" s="19"/>
      <c r="H144" s="19">
        <f t="shared" si="8"/>
        <v>0.29600000000000004</v>
      </c>
      <c r="I144" s="19">
        <f t="shared" si="8"/>
        <v>0.18055555555555558</v>
      </c>
      <c r="J144" s="32"/>
      <c r="K144" s="1"/>
      <c r="L144" s="1"/>
    </row>
    <row r="145" ht="15" customHeight="1">
      <c r="A145" s="1"/>
      <c r="B145" s="1" t="s">
        <v>158</v>
      </c>
      <c r="C145" s="35">
        <v>92000</v>
      </c>
      <c r="D145" s="35">
        <v>92000</v>
      </c>
      <c r="E145" s="35">
        <v>103000</v>
      </c>
      <c r="F145" s="35">
        <v>107000</v>
      </c>
      <c r="G145" s="18">
        <f t="shared" si="49"/>
        <v>107000</v>
      </c>
      <c r="H145" s="35">
        <v>109000</v>
      </c>
      <c r="I145" s="35">
        <v>119000</v>
      </c>
      <c r="J145" s="36"/>
      <c r="K145" s="1" t="s">
        <v>95</v>
      </c>
      <c r="L145" s="1" t="s">
        <v>157</v>
      </c>
    </row>
    <row r="146" ht="15" customHeight="1">
      <c r="A146" s="1"/>
      <c r="B146" s="5" t="s">
        <v>73</v>
      </c>
      <c r="C146" s="19"/>
      <c r="D146" s="19"/>
      <c r="E146" s="19"/>
      <c r="F146" s="19"/>
      <c r="G146" s="19"/>
      <c r="H146" s="19">
        <f t="shared" si="8"/>
        <v>0.1847826086956521</v>
      </c>
      <c r="I146" s="19">
        <f t="shared" si="8"/>
        <v>0.2934782608695652</v>
      </c>
      <c r="J146" s="32"/>
      <c r="K146" s="1"/>
      <c r="L146" s="1"/>
    </row>
    <row r="147" ht="15" customHeight="1">
      <c r="A147" s="1"/>
      <c r="B147" s="5" t="s">
        <v>159</v>
      </c>
      <c r="C147" s="19"/>
      <c r="D147" s="19"/>
      <c r="E147" s="19"/>
      <c r="F147" s="19"/>
      <c r="G147" s="19"/>
      <c r="H147" s="19">
        <f t="shared" si="50" ref="H147:J147">IF(COUNT(H140,C140)&lt;2,"n/a",IF(H140*C140&lt;=0,"n/m",H140/C140-1))</f>
        <v>0.24884792626728114</v>
      </c>
      <c r="I147" s="19">
        <f t="shared" si="50"/>
        <v>0.22457627118644075</v>
      </c>
      <c r="J147" s="32">
        <f t="shared" si="50"/>
        <v>0.18034929240422004</v>
      </c>
      <c r="K147" s="1"/>
      <c r="L147" s="1"/>
    </row>
    <row r="148" ht="15" customHeight="1">
      <c r="A148" s="1"/>
      <c r="B148" s="1" t="s">
        <v>160</v>
      </c>
      <c r="C148" s="18"/>
      <c r="D148" s="18">
        <f t="shared" si="51" ref="D148:J148">IF(COUNT(D140,C140)&lt;2,"n/a",D140-C140)</f>
        <v>19000</v>
      </c>
      <c r="E148" s="18">
        <f t="shared" si="51"/>
        <v>15000</v>
      </c>
      <c r="F148" s="18">
        <f t="shared" si="51"/>
        <v>17000</v>
      </c>
      <c r="G148" s="18"/>
      <c r="H148" s="18">
        <f>IF(COUNT(H140,F140)&lt;2,"n/a",H140-F140)</f>
        <v>3000</v>
      </c>
      <c r="I148" s="18">
        <f t="shared" si="51"/>
        <v>18000</v>
      </c>
      <c r="J148" s="36">
        <f t="shared" si="51"/>
        <v>7267.672393459245</v>
      </c>
      <c r="K148" s="1"/>
      <c r="L148" s="1"/>
    </row>
    <row r="149" ht="15" customHeight="1">
      <c r="A149" s="1"/>
      <c r="B149" s="1" t="s">
        <v>161</v>
      </c>
      <c r="C149" s="18"/>
      <c r="D149" s="18">
        <f t="shared" si="52" ref="D149:J149">(D136+D140)/2</f>
        <v>226500</v>
      </c>
      <c r="E149" s="18">
        <f t="shared" si="52"/>
        <v>243500</v>
      </c>
      <c r="F149" s="18">
        <f t="shared" si="52"/>
        <v>259500</v>
      </c>
      <c r="G149" s="18"/>
      <c r="H149" s="18">
        <f t="shared" si="52"/>
        <v>269500</v>
      </c>
      <c r="I149" s="18">
        <f t="shared" si="52"/>
        <v>280000</v>
      </c>
      <c r="J149" s="36">
        <f t="shared" si="52"/>
        <v>292633.8361967296</v>
      </c>
      <c r="K149" s="1"/>
      <c r="L149" s="1"/>
    </row>
    <row r="150" ht="15" customHeight="1">
      <c r="A150" s="1"/>
      <c r="B150" s="5" t="s">
        <v>73</v>
      </c>
      <c r="C150" s="43"/>
      <c r="D150" s="43"/>
      <c r="E150" s="43"/>
      <c r="F150" s="43"/>
      <c r="G150" s="43"/>
      <c r="H150" s="43" t="str">
        <f t="shared" si="8"/>
        <v>n/a</v>
      </c>
      <c r="I150" s="43">
        <f t="shared" si="8"/>
        <v>0.23620309050772637</v>
      </c>
      <c r="J150" s="44">
        <f t="shared" si="8"/>
        <v>0.20178166815905385</v>
      </c>
      <c r="K150" s="1"/>
      <c r="L150" s="1"/>
    </row>
    <row r="151" ht="15" customHeight="1">
      <c r="A151" s="1"/>
      <c r="B151" s="1" t="s">
        <v>162</v>
      </c>
      <c r="C151" s="55"/>
      <c r="D151" s="55" t="str">
        <f t="shared" si="9"/>
        <v>n/a</v>
      </c>
      <c r="E151" s="55">
        <f t="shared" si="9"/>
        <v>17000</v>
      </c>
      <c r="F151" s="55">
        <f t="shared" si="9"/>
        <v>16000</v>
      </c>
      <c r="G151" s="55"/>
      <c r="H151" s="55">
        <f t="shared" si="12"/>
        <v>10000</v>
      </c>
      <c r="I151" s="55">
        <f t="shared" si="9"/>
        <v>10500</v>
      </c>
      <c r="J151" s="56">
        <f t="shared" si="9"/>
        <v>12633.836196729622</v>
      </c>
      <c r="K151" s="1"/>
      <c r="L151" s="1"/>
    </row>
    <row r="152" ht="15" customHeight="1">
      <c r="A152" s="1"/>
      <c r="B152" s="5" t="s">
        <v>163</v>
      </c>
      <c r="C152" s="19"/>
      <c r="D152" s="19"/>
      <c r="E152" s="19"/>
      <c r="F152" s="19"/>
      <c r="G152" s="19"/>
      <c r="H152" s="19"/>
      <c r="I152" s="19">
        <f t="shared" si="53" ref="I152:J152">IF(COUNT(I138,D138)&lt;2,"n/a",IF(I138*D138&lt;=0,"n/m",I138/D138-1))</f>
        <v>0.052413691136246054</v>
      </c>
      <c r="J152" s="32">
        <f t="shared" si="53"/>
        <v>-0.15968709540735038</v>
      </c>
      <c r="K152" s="1"/>
      <c r="L152" s="1"/>
    </row>
    <row r="153" ht="15" customHeight="1">
      <c r="A153" s="1"/>
      <c r="B153" s="1" t="s">
        <v>164</v>
      </c>
      <c r="C153" s="50">
        <f t="shared" si="54" ref="C153:J153">C140/C50</f>
        <v>10.68649660198956</v>
      </c>
      <c r="D153" s="50">
        <f t="shared" si="54"/>
        <v>10.935545155460822</v>
      </c>
      <c r="E153" s="50">
        <f t="shared" si="54"/>
        <v>11.166473885577009</v>
      </c>
      <c r="F153" s="50">
        <f t="shared" si="54"/>
        <v>11.057017905767802</v>
      </c>
      <c r="G153" s="50"/>
      <c r="H153" s="50">
        <f t="shared" si="54"/>
        <v>12.275774596847254</v>
      </c>
      <c r="I153" s="50">
        <f t="shared" si="54"/>
        <v>11.696616480492148</v>
      </c>
      <c r="J153" s="57">
        <f t="shared" si="54"/>
        <v>12.229541578955653</v>
      </c>
      <c r="K153" s="1"/>
      <c r="L153" s="1"/>
    </row>
    <row r="154" ht="15" customHeight="1">
      <c r="A154" s="1"/>
      <c r="B154" s="1"/>
      <c r="C154" s="1"/>
      <c r="D154" s="1"/>
      <c r="E154" s="1"/>
      <c r="F154" s="1"/>
      <c r="G154" s="1"/>
      <c r="H154" s="1"/>
      <c r="I154" s="1"/>
      <c r="J154" s="29"/>
      <c r="K154" s="1"/>
      <c r="L154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3EC28338-BD28-64E8-23B8-AB4872D737E6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6.00390625" customWidth="1"/>
    <col min="3" max="10" width="12.00390625" customWidth="1"/>
    <col min="11" max="11" width="20.00390625" customWidth="1"/>
    <col min="12" max="12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4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ht="15" customHeight="1">
      <c r="A6" s="1"/>
      <c r="B6" s="6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8" t="s">
        <v>12</v>
      </c>
      <c r="K6" s="6" t="s">
        <v>13</v>
      </c>
      <c r="L6" s="6" t="s">
        <v>14</v>
      </c>
    </row>
    <row r="7" ht="15" customHeight="1">
      <c r="A7" s="1"/>
      <c r="B7" s="9" t="s">
        <v>15</v>
      </c>
      <c r="C7" s="10">
        <v>45747</v>
      </c>
      <c r="D7" s="10">
        <v>45838</v>
      </c>
      <c r="E7" s="10">
        <v>45930</v>
      </c>
      <c r="F7" s="10">
        <v>46022</v>
      </c>
      <c r="G7" s="10">
        <v>46022</v>
      </c>
      <c r="H7" s="10">
        <v>46112</v>
      </c>
      <c r="I7" s="10">
        <v>46203</v>
      </c>
      <c r="J7" s="11">
        <v>46295</v>
      </c>
      <c r="K7" s="9"/>
      <c r="L7" s="9"/>
    </row>
    <row r="8" ht="15" customHeight="1">
      <c r="A8" s="1"/>
      <c r="B8" s="12" t="s">
        <v>16</v>
      </c>
      <c r="C8" s="13">
        <f>C7-EOMONTH(C7,-3)</f>
        <v>90</v>
      </c>
      <c r="D8" s="13">
        <f t="shared" si="0" ref="D8:J8">D7-C7</f>
        <v>91</v>
      </c>
      <c r="E8" s="13">
        <f t="shared" si="0"/>
        <v>92</v>
      </c>
      <c r="F8" s="13">
        <f t="shared" si="0"/>
        <v>92</v>
      </c>
      <c r="G8" s="13">
        <f>G7-EOMONTH(G7,-12)</f>
        <v>365</v>
      </c>
      <c r="H8" s="13">
        <f>H7-F7</f>
        <v>90</v>
      </c>
      <c r="I8" s="13">
        <f t="shared" si="0"/>
        <v>91</v>
      </c>
      <c r="J8" s="14">
        <f t="shared" si="0"/>
        <v>92</v>
      </c>
      <c r="K8" s="12"/>
      <c r="L8" s="12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15" customHeight="1">
      <c r="A10" s="1"/>
      <c r="B10" s="4" t="s">
        <v>166</v>
      </c>
      <c r="C10" s="1"/>
      <c r="D10" s="1"/>
      <c r="E10" s="1"/>
      <c r="F10" s="1"/>
      <c r="G10" s="1"/>
      <c r="H10" s="1"/>
      <c r="I10" s="1"/>
      <c r="J10" s="29"/>
      <c r="K10" s="1"/>
      <c r="L10" s="1"/>
    </row>
    <row r="11" ht="15" customHeight="1">
      <c r="A11" s="1"/>
      <c r="B11" s="1" t="s">
        <v>167</v>
      </c>
      <c r="C11" s="58">
        <v>136</v>
      </c>
      <c r="D11" s="58">
        <v>170</v>
      </c>
      <c r="E11" s="58">
        <v>201</v>
      </c>
      <c r="F11" s="58">
        <v>286</v>
      </c>
      <c r="G11" s="21">
        <f t="shared" si="9" ref="G11:G170">SUM(C11:F11)</f>
        <v>793</v>
      </c>
      <c r="H11" s="58">
        <v>114</v>
      </c>
      <c r="I11" s="58">
        <v>237</v>
      </c>
      <c r="J11" s="59">
        <v>196</v>
      </c>
      <c r="K11" s="1" t="s">
        <v>168</v>
      </c>
      <c r="L11" s="1" t="s">
        <v>169</v>
      </c>
    </row>
    <row r="12" ht="15" customHeight="1">
      <c r="A12" s="1"/>
      <c r="B12" s="5" t="s">
        <v>73</v>
      </c>
      <c r="C12" s="19"/>
      <c r="D12" s="19"/>
      <c r="E12" s="19"/>
      <c r="F12" s="19"/>
      <c r="G12" s="19"/>
      <c r="H12" s="19">
        <f t="shared" si="1" ref="H12:J177">IF(COUNT(H11,C11)&lt;2,"n/a",IF(H11*C11&lt;=0,"n/m",H11/C11-1))</f>
        <v>-0.16176470588235292</v>
      </c>
      <c r="I12" s="19">
        <f t="shared" si="1"/>
        <v>0.39411764705882346</v>
      </c>
      <c r="J12" s="32">
        <f t="shared" si="1"/>
        <v>-0.02487562189054726</v>
      </c>
      <c r="K12" s="1"/>
      <c r="L12" s="1"/>
    </row>
    <row r="13" ht="15" customHeight="1">
      <c r="A13" s="1"/>
      <c r="B13" s="1" t="s">
        <v>170</v>
      </c>
      <c r="C13" s="21"/>
      <c r="D13" s="21">
        <f t="shared" si="2" ref="D13:J172">IF(COUNT(D11,C11)&lt;2,"n/a",D11-C11)</f>
        <v>34</v>
      </c>
      <c r="E13" s="21">
        <f t="shared" si="2"/>
        <v>31</v>
      </c>
      <c r="F13" s="21">
        <f t="shared" si="2"/>
        <v>85</v>
      </c>
      <c r="G13" s="21"/>
      <c r="H13" s="21">
        <f t="shared" si="3" ref="H13:H172">IF(COUNT(H11,F11)&lt;2,"n/a",H11-F11)</f>
        <v>-172</v>
      </c>
      <c r="I13" s="21">
        <f t="shared" si="2"/>
        <v>123</v>
      </c>
      <c r="J13" s="60">
        <f t="shared" si="2"/>
        <v>-41</v>
      </c>
      <c r="K13" s="1"/>
      <c r="L13" s="1"/>
    </row>
    <row r="14" ht="15" customHeight="1">
      <c r="A14" s="1"/>
      <c r="B14" s="1" t="s">
        <v>171</v>
      </c>
      <c r="C14" s="58">
        <v>130</v>
      </c>
      <c r="D14" s="58">
        <v>150</v>
      </c>
      <c r="E14" s="58">
        <v>160</v>
      </c>
      <c r="F14" s="21"/>
      <c r="G14" s="21"/>
      <c r="H14" s="58">
        <v>143</v>
      </c>
      <c r="I14" s="58">
        <v>171</v>
      </c>
      <c r="J14" s="59">
        <v>161</v>
      </c>
      <c r="K14" s="1" t="s">
        <v>172</v>
      </c>
      <c r="L14" s="1" t="s">
        <v>173</v>
      </c>
    </row>
    <row r="15" ht="15" customHeight="1">
      <c r="A15" s="1"/>
      <c r="B15" s="5" t="s">
        <v>73</v>
      </c>
      <c r="C15" s="19"/>
      <c r="D15" s="19"/>
      <c r="E15" s="19"/>
      <c r="F15" s="19"/>
      <c r="G15" s="19"/>
      <c r="H15" s="19">
        <f t="shared" si="1"/>
        <v>0.10000000000000009</v>
      </c>
      <c r="I15" s="19">
        <f t="shared" si="1"/>
        <v>0.1399999999999999</v>
      </c>
      <c r="J15" s="32">
        <f t="shared" si="1"/>
        <v>0.006250000000000089</v>
      </c>
      <c r="K15" s="1"/>
      <c r="L15" s="1"/>
    </row>
    <row r="16" ht="15" customHeight="1">
      <c r="A16" s="1"/>
      <c r="B16" s="1" t="s">
        <v>170</v>
      </c>
      <c r="C16" s="61"/>
      <c r="D16" s="61">
        <f t="shared" si="2"/>
        <v>20</v>
      </c>
      <c r="E16" s="61">
        <f t="shared" si="2"/>
        <v>10</v>
      </c>
      <c r="F16" s="61" t="str">
        <f t="shared" si="2"/>
        <v>n/a</v>
      </c>
      <c r="G16" s="61"/>
      <c r="H16" s="61" t="str">
        <f t="shared" si="3"/>
        <v>n/a</v>
      </c>
      <c r="I16" s="61">
        <f t="shared" si="2"/>
        <v>28</v>
      </c>
      <c r="J16" s="62">
        <f t="shared" si="2"/>
        <v>-10</v>
      </c>
      <c r="K16" s="1"/>
      <c r="L16" s="1"/>
    </row>
    <row r="17" ht="15" customHeight="1">
      <c r="A17" s="1"/>
      <c r="B17" s="4" t="s">
        <v>174</v>
      </c>
      <c r="C17" s="63">
        <f t="shared" si="4" ref="C17:J17">IF(COUNT(C11,C14)=2,C11+C14,"n/a")</f>
        <v>266</v>
      </c>
      <c r="D17" s="63">
        <f t="shared" si="4"/>
        <v>320</v>
      </c>
      <c r="E17" s="63">
        <f t="shared" si="4"/>
        <v>361</v>
      </c>
      <c r="F17" s="63" t="str">
        <f t="shared" si="4"/>
        <v>n/a</v>
      </c>
      <c r="G17" s="63" t="str">
        <f t="shared" si="4"/>
        <v>n/a</v>
      </c>
      <c r="H17" s="63">
        <f t="shared" si="4"/>
        <v>257</v>
      </c>
      <c r="I17" s="63">
        <f t="shared" si="4"/>
        <v>408</v>
      </c>
      <c r="J17" s="64">
        <f t="shared" si="4"/>
        <v>357</v>
      </c>
      <c r="K17" s="1"/>
      <c r="L17" s="1"/>
    </row>
    <row r="18" ht="15" customHeight="1">
      <c r="A18" s="1"/>
      <c r="B18" s="5" t="s">
        <v>73</v>
      </c>
      <c r="C18" s="19"/>
      <c r="D18" s="19"/>
      <c r="E18" s="19"/>
      <c r="F18" s="19"/>
      <c r="G18" s="19"/>
      <c r="H18" s="19">
        <f t="shared" si="1"/>
        <v>-0.03383458646616544</v>
      </c>
      <c r="I18" s="19">
        <f t="shared" si="1"/>
        <v>0.2749999999999999</v>
      </c>
      <c r="J18" s="32">
        <f t="shared" si="1"/>
        <v>-0.011080332409972304</v>
      </c>
      <c r="K18" s="1"/>
      <c r="L18" s="1"/>
    </row>
    <row r="19" ht="15" customHeight="1">
      <c r="A19" s="1"/>
      <c r="B19" s="1" t="s">
        <v>170</v>
      </c>
      <c r="C19" s="61"/>
      <c r="D19" s="61">
        <f t="shared" si="2"/>
        <v>54</v>
      </c>
      <c r="E19" s="61">
        <f t="shared" si="2"/>
        <v>41</v>
      </c>
      <c r="F19" s="61" t="str">
        <f t="shared" si="2"/>
        <v>n/a</v>
      </c>
      <c r="G19" s="61"/>
      <c r="H19" s="61" t="str">
        <f t="shared" si="3"/>
        <v>n/a</v>
      </c>
      <c r="I19" s="61">
        <f t="shared" si="2"/>
        <v>151</v>
      </c>
      <c r="J19" s="62">
        <f t="shared" si="2"/>
        <v>-51</v>
      </c>
      <c r="K19" s="1"/>
      <c r="L19" s="1"/>
    </row>
    <row r="20" ht="15" customHeight="1">
      <c r="A20" s="1"/>
      <c r="B20" s="1"/>
      <c r="C20" s="1"/>
      <c r="D20" s="1"/>
      <c r="E20" s="1"/>
      <c r="F20" s="1"/>
      <c r="G20" s="1"/>
      <c r="H20" s="1"/>
      <c r="I20" s="1"/>
      <c r="J20" s="29"/>
      <c r="K20" s="1"/>
      <c r="L20" s="1"/>
    </row>
    <row r="21" ht="15" customHeight="1">
      <c r="A21" s="1"/>
      <c r="B21" s="4" t="s">
        <v>175</v>
      </c>
      <c r="C21" s="1"/>
      <c r="D21" s="1"/>
      <c r="E21" s="1"/>
      <c r="F21" s="1"/>
      <c r="G21" s="1"/>
      <c r="H21" s="1"/>
      <c r="I21" s="1"/>
      <c r="J21" s="29"/>
      <c r="K21" s="1"/>
      <c r="L21" s="1"/>
    </row>
    <row r="22" ht="15" customHeight="1">
      <c r="A22" s="1"/>
      <c r="B22" s="5" t="s">
        <v>176</v>
      </c>
      <c r="C22" s="65">
        <v>0.02</v>
      </c>
      <c r="D22" s="65">
        <v>0.01</v>
      </c>
      <c r="E22" s="65">
        <v>0.16</v>
      </c>
      <c r="F22" s="65">
        <v>0.09</v>
      </c>
      <c r="G22" s="19"/>
      <c r="H22" s="65">
        <v>0.15</v>
      </c>
      <c r="I22" s="65">
        <v>0.26</v>
      </c>
      <c r="J22" s="32">
        <f>(1+J18)*(1+J31)-1</f>
        <v>0.17997894736842102</v>
      </c>
      <c r="K22" s="1" t="s">
        <v>95</v>
      </c>
      <c r="L22" s="1" t="s">
        <v>177</v>
      </c>
    </row>
    <row r="23" ht="15" customHeight="1">
      <c r="A23" s="1"/>
      <c r="B23" s="5" t="s">
        <v>143</v>
      </c>
      <c r="C23" s="48"/>
      <c r="D23" s="48"/>
      <c r="E23" s="48"/>
      <c r="F23" s="48"/>
      <c r="G23" s="48"/>
      <c r="H23" s="48">
        <f t="shared" si="5" ref="H23:J174">IF(COUNT(H22,C22)&lt;2,"n/a",(H22-C22)*10000)</f>
        <v>1300</v>
      </c>
      <c r="I23" s="48">
        <f t="shared" si="5"/>
        <v>2500</v>
      </c>
      <c r="J23" s="49">
        <f t="shared" si="5"/>
        <v>199.78947368421012</v>
      </c>
      <c r="K23" s="1"/>
      <c r="L23" s="1"/>
    </row>
    <row r="24" ht="15" customHeight="1">
      <c r="A24" s="1"/>
      <c r="B24" s="5" t="s">
        <v>128</v>
      </c>
      <c r="C24" s="48"/>
      <c r="D24" s="48">
        <f t="shared" si="6" ref="D24:J175">IF(COUNT(D22,C22)&lt;2,"n/a",(D22-C22)*10000)</f>
        <v>-100</v>
      </c>
      <c r="E24" s="48">
        <f t="shared" si="6"/>
        <v>1500</v>
      </c>
      <c r="F24" s="48">
        <f t="shared" si="6"/>
        <v>-700.0000000000001</v>
      </c>
      <c r="G24" s="48"/>
      <c r="H24" s="48">
        <f t="shared" si="7" ref="H24:H175">IF(COUNT(H22,F22)&lt;2,"n/a",(H22-F22)*10000)</f>
        <v>600</v>
      </c>
      <c r="I24" s="48">
        <f t="shared" si="6"/>
        <v>1100.0000000000002</v>
      </c>
      <c r="J24" s="49">
        <f t="shared" si="6"/>
        <v>-800.2105263157899</v>
      </c>
      <c r="K24" s="1"/>
      <c r="L24" s="1"/>
    </row>
    <row r="25" ht="15" customHeight="1">
      <c r="A25" s="1"/>
      <c r="B25" s="5" t="s">
        <v>178</v>
      </c>
      <c r="C25" s="65">
        <v>0.13</v>
      </c>
      <c r="D25" s="65">
        <v>0.13</v>
      </c>
      <c r="E25" s="65">
        <v>0.13</v>
      </c>
      <c r="F25" s="65">
        <v>0.13</v>
      </c>
      <c r="G25" s="19"/>
      <c r="H25" s="65">
        <v>0.07</v>
      </c>
      <c r="I25" s="65">
        <v>0.1</v>
      </c>
      <c r="J25" s="66">
        <v>0.09</v>
      </c>
      <c r="K25" s="1" t="s">
        <v>95</v>
      </c>
      <c r="L25" s="1" t="s">
        <v>179</v>
      </c>
    </row>
    <row r="26" ht="15" customHeight="1">
      <c r="A26" s="1"/>
      <c r="B26" s="5" t="s">
        <v>143</v>
      </c>
      <c r="C26" s="48"/>
      <c r="D26" s="48"/>
      <c r="E26" s="48"/>
      <c r="F26" s="48"/>
      <c r="G26" s="48"/>
      <c r="H26" s="48">
        <f t="shared" si="5"/>
        <v>-600</v>
      </c>
      <c r="I26" s="48">
        <f t="shared" si="5"/>
        <v>-300</v>
      </c>
      <c r="J26" s="49">
        <f t="shared" si="5"/>
        <v>-400.00000000000006</v>
      </c>
      <c r="K26" s="1"/>
      <c r="L26" s="1"/>
    </row>
    <row r="27" ht="15" customHeight="1">
      <c r="A27" s="1"/>
      <c r="B27" s="5" t="s">
        <v>128</v>
      </c>
      <c r="C27" s="48"/>
      <c r="D27" s="48">
        <f t="shared" si="6"/>
        <v>0</v>
      </c>
      <c r="E27" s="48">
        <f t="shared" si="6"/>
        <v>0</v>
      </c>
      <c r="F27" s="48">
        <f t="shared" si="6"/>
        <v>0</v>
      </c>
      <c r="G27" s="48"/>
      <c r="H27" s="48">
        <f t="shared" si="7"/>
        <v>-600</v>
      </c>
      <c r="I27" s="48">
        <f t="shared" si="6"/>
        <v>300</v>
      </c>
      <c r="J27" s="49">
        <f t="shared" si="6"/>
        <v>-100.00000000000009</v>
      </c>
      <c r="K27" s="1"/>
      <c r="L27" s="1"/>
    </row>
    <row r="28" ht="15" customHeight="1">
      <c r="A28" s="1"/>
      <c r="B28" s="5" t="s">
        <v>180</v>
      </c>
      <c r="C28" s="65">
        <v>0.1</v>
      </c>
      <c r="D28" s="65">
        <v>0.11</v>
      </c>
      <c r="E28" s="65">
        <v>0.06</v>
      </c>
      <c r="F28" s="65">
        <v>0.02</v>
      </c>
      <c r="G28" s="19"/>
      <c r="H28" s="65">
        <v>0.09</v>
      </c>
      <c r="I28" s="65">
        <v>0.07</v>
      </c>
      <c r="J28" s="66">
        <v>0.06</v>
      </c>
      <c r="K28" s="1" t="s">
        <v>95</v>
      </c>
      <c r="L28" s="1" t="s">
        <v>179</v>
      </c>
    </row>
    <row r="29" ht="15" customHeight="1">
      <c r="A29" s="1"/>
      <c r="B29" s="5" t="s">
        <v>143</v>
      </c>
      <c r="C29" s="48"/>
      <c r="D29" s="48"/>
      <c r="E29" s="48"/>
      <c r="F29" s="48"/>
      <c r="G29" s="48"/>
      <c r="H29" s="48">
        <f t="shared" si="5"/>
        <v>-100.00000000000009</v>
      </c>
      <c r="I29" s="48">
        <f t="shared" si="5"/>
        <v>-399.99999999999994</v>
      </c>
      <c r="J29" s="49">
        <f t="shared" si="5"/>
        <v>0</v>
      </c>
      <c r="K29" s="1"/>
      <c r="L29" s="1"/>
    </row>
    <row r="30" ht="15" customHeight="1">
      <c r="A30" s="1"/>
      <c r="B30" s="5" t="s">
        <v>128</v>
      </c>
      <c r="C30" s="48"/>
      <c r="D30" s="48">
        <f t="shared" si="6"/>
        <v>99.99999999999994</v>
      </c>
      <c r="E30" s="48">
        <f t="shared" si="6"/>
        <v>-500</v>
      </c>
      <c r="F30" s="48">
        <f t="shared" si="6"/>
        <v>-399.99999999999994</v>
      </c>
      <c r="G30" s="48"/>
      <c r="H30" s="48">
        <f t="shared" si="7"/>
        <v>699.9999999999999</v>
      </c>
      <c r="I30" s="48">
        <f t="shared" si="6"/>
        <v>-199.9999999999999</v>
      </c>
      <c r="J30" s="49">
        <f t="shared" si="6"/>
        <v>-100.00000000000009</v>
      </c>
      <c r="K30" s="1"/>
      <c r="L30" s="1"/>
    </row>
    <row r="31" ht="15" customHeight="1">
      <c r="A31" s="1"/>
      <c r="B31" s="5" t="s">
        <v>181</v>
      </c>
      <c r="C31" s="19"/>
      <c r="D31" s="19"/>
      <c r="E31" s="19"/>
      <c r="F31" s="19"/>
      <c r="G31" s="19"/>
      <c r="H31" s="19">
        <f t="shared" si="8" ref="H31:I31">IF(COUNT(H22,H18)&lt;2,"n/a",(1+H22)/(1+H18)-1)</f>
        <v>0.19027237354085602</v>
      </c>
      <c r="I31" s="19">
        <f t="shared" si="8"/>
        <v>-0.0117647058823529</v>
      </c>
      <c r="J31" s="66">
        <v>0.1932</v>
      </c>
      <c r="K31" s="1"/>
      <c r="L31" s="1" t="s">
        <v>182</v>
      </c>
    </row>
    <row r="32" ht="15" customHeight="1">
      <c r="A32" s="1"/>
      <c r="B32" s="5" t="s">
        <v>143</v>
      </c>
      <c r="C32" s="67"/>
      <c r="D32" s="67"/>
      <c r="E32" s="67"/>
      <c r="F32" s="67"/>
      <c r="G32" s="67"/>
      <c r="H32" s="67" t="str">
        <f t="shared" si="5"/>
        <v>n/a</v>
      </c>
      <c r="I32" s="67" t="str">
        <f t="shared" si="5"/>
        <v>n/a</v>
      </c>
      <c r="J32" s="68" t="str">
        <f t="shared" si="5"/>
        <v>n/a</v>
      </c>
      <c r="K32" s="1"/>
      <c r="L32" s="1"/>
    </row>
    <row r="33" ht="15" customHeight="1">
      <c r="A33" s="1"/>
      <c r="B33" s="5" t="s">
        <v>128</v>
      </c>
      <c r="C33" s="67"/>
      <c r="D33" s="67" t="str">
        <f t="shared" si="6"/>
        <v>n/a</v>
      </c>
      <c r="E33" s="67" t="str">
        <f t="shared" si="6"/>
        <v>n/a</v>
      </c>
      <c r="F33" s="67" t="str">
        <f t="shared" si="6"/>
        <v>n/a</v>
      </c>
      <c r="G33" s="67"/>
      <c r="H33" s="67" t="str">
        <f t="shared" si="7"/>
        <v>n/a</v>
      </c>
      <c r="I33" s="67">
        <f t="shared" si="6"/>
        <v>-2020.370794232089</v>
      </c>
      <c r="J33" s="68">
        <f t="shared" si="6"/>
        <v>2049.6470588235293</v>
      </c>
      <c r="K33" s="1"/>
      <c r="L33" s="1"/>
    </row>
    <row r="34" ht="15" customHeight="1">
      <c r="A34" s="1"/>
      <c r="B34" s="5" t="s">
        <v>183</v>
      </c>
      <c r="C34" s="19"/>
      <c r="D34" s="19"/>
      <c r="E34" s="19"/>
      <c r="F34" s="19"/>
      <c r="G34" s="19"/>
      <c r="H34" s="19"/>
      <c r="I34" s="19"/>
      <c r="J34" s="66">
        <v>0.62</v>
      </c>
      <c r="K34" s="1" t="s">
        <v>184</v>
      </c>
      <c r="L34" s="1" t="s">
        <v>185</v>
      </c>
    </row>
    <row r="35" ht="15" customHeight="1">
      <c r="A35" s="1"/>
      <c r="B35" s="5" t="s">
        <v>143</v>
      </c>
      <c r="C35" s="67"/>
      <c r="D35" s="67"/>
      <c r="E35" s="67"/>
      <c r="F35" s="67"/>
      <c r="G35" s="67"/>
      <c r="H35" s="67" t="str">
        <f t="shared" si="5"/>
        <v>n/a</v>
      </c>
      <c r="I35" s="67" t="str">
        <f t="shared" si="5"/>
        <v>n/a</v>
      </c>
      <c r="J35" s="68" t="str">
        <f t="shared" si="5"/>
        <v>n/a</v>
      </c>
      <c r="K35" s="1"/>
      <c r="L35" s="1"/>
    </row>
    <row r="36" ht="15" customHeight="1">
      <c r="A36" s="1"/>
      <c r="B36" s="5" t="s">
        <v>128</v>
      </c>
      <c r="C36" s="67"/>
      <c r="D36" s="67" t="str">
        <f t="shared" si="6"/>
        <v>n/a</v>
      </c>
      <c r="E36" s="67" t="str">
        <f t="shared" si="6"/>
        <v>n/a</v>
      </c>
      <c r="F36" s="67" t="str">
        <f t="shared" si="6"/>
        <v>n/a</v>
      </c>
      <c r="G36" s="67"/>
      <c r="H36" s="67" t="str">
        <f t="shared" si="7"/>
        <v>n/a</v>
      </c>
      <c r="I36" s="67" t="str">
        <f t="shared" si="6"/>
        <v>n/a</v>
      </c>
      <c r="J36" s="68" t="str">
        <f t="shared" si="6"/>
        <v>n/a</v>
      </c>
      <c r="K36" s="1"/>
      <c r="L36" s="1"/>
    </row>
    <row r="37" ht="15" customHeight="1">
      <c r="A37" s="1"/>
      <c r="B37" s="5" t="s">
        <v>186</v>
      </c>
      <c r="C37" s="19"/>
      <c r="D37" s="19"/>
      <c r="E37" s="19"/>
      <c r="F37" s="19"/>
      <c r="G37" s="19"/>
      <c r="H37" s="19"/>
      <c r="I37" s="19"/>
      <c r="J37" s="32">
        <f>J34*J25+(1-J34)*J22</f>
        <v>0.12419199999999997</v>
      </c>
      <c r="K37" s="1"/>
      <c r="L37" s="1"/>
    </row>
    <row r="38" ht="15" customHeight="1">
      <c r="A38" s="1"/>
      <c r="B38" s="5" t="s">
        <v>143</v>
      </c>
      <c r="C38" s="67"/>
      <c r="D38" s="67"/>
      <c r="E38" s="67"/>
      <c r="F38" s="67"/>
      <c r="G38" s="67"/>
      <c r="H38" s="67" t="str">
        <f t="shared" si="5"/>
        <v>n/a</v>
      </c>
      <c r="I38" s="67" t="str">
        <f t="shared" si="5"/>
        <v>n/a</v>
      </c>
      <c r="J38" s="68" t="str">
        <f t="shared" si="5"/>
        <v>n/a</v>
      </c>
      <c r="K38" s="1"/>
      <c r="L38" s="1"/>
    </row>
    <row r="39" ht="15" customHeight="1">
      <c r="A39" s="1"/>
      <c r="B39" s="5" t="s">
        <v>128</v>
      </c>
      <c r="C39" s="67"/>
      <c r="D39" s="67" t="str">
        <f t="shared" si="6"/>
        <v>n/a</v>
      </c>
      <c r="E39" s="67" t="str">
        <f t="shared" si="6"/>
        <v>n/a</v>
      </c>
      <c r="F39" s="67" t="str">
        <f t="shared" si="6"/>
        <v>n/a</v>
      </c>
      <c r="G39" s="67"/>
      <c r="H39" s="67" t="str">
        <f t="shared" si="7"/>
        <v>n/a</v>
      </c>
      <c r="I39" s="67" t="str">
        <f t="shared" si="6"/>
        <v>n/a</v>
      </c>
      <c r="J39" s="68" t="str">
        <f t="shared" si="6"/>
        <v>n/a</v>
      </c>
      <c r="K39" s="1"/>
      <c r="L39" s="1"/>
    </row>
    <row r="40" ht="15" customHeight="1">
      <c r="A40" s="1"/>
      <c r="B40" s="1"/>
      <c r="C40" s="1"/>
      <c r="D40" s="1"/>
      <c r="E40" s="1"/>
      <c r="F40" s="1"/>
      <c r="G40" s="1"/>
      <c r="H40" s="1"/>
      <c r="I40" s="1"/>
      <c r="J40" s="29"/>
      <c r="K40" s="1"/>
      <c r="L40" s="1"/>
    </row>
    <row r="41" ht="15" customHeight="1">
      <c r="A41" s="1"/>
      <c r="B41" s="4" t="s">
        <v>187</v>
      </c>
      <c r="C41" s="1"/>
      <c r="D41" s="1"/>
      <c r="E41" s="1"/>
      <c r="F41" s="1"/>
      <c r="G41" s="1"/>
      <c r="H41" s="1"/>
      <c r="I41" s="1"/>
      <c r="J41" s="29"/>
      <c r="K41" s="1"/>
      <c r="L41" s="1"/>
    </row>
    <row r="42" ht="15" customHeight="1">
      <c r="A42" s="1"/>
      <c r="B42" s="1" t="s">
        <v>132</v>
      </c>
      <c r="C42" s="35">
        <v>1659</v>
      </c>
      <c r="D42" s="35">
        <v>1852</v>
      </c>
      <c r="E42" s="35">
        <v>1766</v>
      </c>
      <c r="F42" s="35">
        <v>1784</v>
      </c>
      <c r="G42" s="18">
        <f t="shared" si="9"/>
        <v>7061</v>
      </c>
      <c r="H42" s="35">
        <v>1717</v>
      </c>
      <c r="I42" s="35">
        <v>1871</v>
      </c>
      <c r="J42" s="36">
        <f>E42*(1+J28)+J130</f>
        <v>1820.96</v>
      </c>
      <c r="K42" s="1" t="s">
        <v>81</v>
      </c>
      <c r="L42" s="1"/>
    </row>
    <row r="43" ht="15" customHeight="1">
      <c r="A43" s="1"/>
      <c r="B43" s="5" t="s">
        <v>73</v>
      </c>
      <c r="C43" s="19"/>
      <c r="D43" s="19"/>
      <c r="E43" s="19"/>
      <c r="F43" s="19"/>
      <c r="G43" s="19"/>
      <c r="H43" s="19">
        <f t="shared" si="1"/>
        <v>0.03496081977094634</v>
      </c>
      <c r="I43" s="19">
        <f t="shared" si="1"/>
        <v>0.01025917926565878</v>
      </c>
      <c r="J43" s="32">
        <f t="shared" si="1"/>
        <v>0.031121177802944544</v>
      </c>
      <c r="K43" s="1"/>
      <c r="L43" s="1"/>
    </row>
    <row r="44" ht="15" customHeight="1">
      <c r="A44" s="1"/>
      <c r="B44" s="1" t="s">
        <v>90</v>
      </c>
      <c r="C44" s="18"/>
      <c r="D44" s="18">
        <f t="shared" si="2"/>
        <v>193</v>
      </c>
      <c r="E44" s="18">
        <f t="shared" si="2"/>
        <v>-86</v>
      </c>
      <c r="F44" s="18">
        <f t="shared" si="2"/>
        <v>18</v>
      </c>
      <c r="G44" s="18"/>
      <c r="H44" s="18">
        <f t="shared" si="3"/>
        <v>-67</v>
      </c>
      <c r="I44" s="18">
        <f t="shared" si="2"/>
        <v>154</v>
      </c>
      <c r="J44" s="36">
        <f t="shared" si="2"/>
        <v>-50.039999999999964</v>
      </c>
      <c r="K44" s="1"/>
      <c r="L44" s="1"/>
    </row>
    <row r="45" ht="15" customHeight="1">
      <c r="A45" s="1"/>
      <c r="B45" s="1" t="s">
        <v>91</v>
      </c>
      <c r="C45" s="37" t="s">
        <v>86</v>
      </c>
      <c r="D45" s="37" t="s">
        <v>86</v>
      </c>
      <c r="E45" s="37" t="s">
        <v>86</v>
      </c>
      <c r="F45" s="37" t="s">
        <v>86</v>
      </c>
      <c r="G45" s="37" t="s">
        <v>86</v>
      </c>
      <c r="H45" s="37" t="s">
        <v>86</v>
      </c>
      <c r="I45" s="37" t="s">
        <v>86</v>
      </c>
      <c r="J45" s="38" t="s">
        <v>86</v>
      </c>
      <c r="K45" s="1"/>
      <c r="L45" s="1" t="s">
        <v>188</v>
      </c>
    </row>
    <row r="46" ht="15" customHeight="1">
      <c r="A46" s="1"/>
      <c r="B46" s="1" t="s">
        <v>137</v>
      </c>
      <c r="C46" s="35">
        <v>116</v>
      </c>
      <c r="D46" s="35">
        <v>104</v>
      </c>
      <c r="E46" s="35">
        <v>141</v>
      </c>
      <c r="F46" s="35">
        <v>75</v>
      </c>
      <c r="G46" s="18">
        <f t="shared" si="9"/>
        <v>436</v>
      </c>
      <c r="H46" s="35">
        <v>135</v>
      </c>
      <c r="I46" s="35">
        <v>107</v>
      </c>
      <c r="J46" s="36">
        <f>E46*(1+J28)</f>
        <v>149.46</v>
      </c>
      <c r="K46" s="1" t="s">
        <v>81</v>
      </c>
      <c r="L46" s="1"/>
    </row>
    <row r="47" ht="15" customHeight="1">
      <c r="A47" s="1"/>
      <c r="B47" s="5" t="s">
        <v>73</v>
      </c>
      <c r="C47" s="19"/>
      <c r="D47" s="19"/>
      <c r="E47" s="19"/>
      <c r="F47" s="19"/>
      <c r="G47" s="19"/>
      <c r="H47" s="19">
        <f t="shared" si="1"/>
        <v>0.1637931034482758</v>
      </c>
      <c r="I47" s="19">
        <f t="shared" si="1"/>
        <v>0.028846153846153744</v>
      </c>
      <c r="J47" s="32">
        <f t="shared" si="1"/>
        <v>0.06000000000000005</v>
      </c>
      <c r="K47" s="1"/>
      <c r="L47" s="1"/>
    </row>
    <row r="48" ht="15" customHeight="1">
      <c r="A48" s="1"/>
      <c r="B48" s="1" t="s">
        <v>90</v>
      </c>
      <c r="C48" s="18"/>
      <c r="D48" s="18">
        <f t="shared" si="2"/>
        <v>-12</v>
      </c>
      <c r="E48" s="18">
        <f t="shared" si="2"/>
        <v>37</v>
      </c>
      <c r="F48" s="18">
        <f t="shared" si="2"/>
        <v>-66</v>
      </c>
      <c r="G48" s="18"/>
      <c r="H48" s="18">
        <f t="shared" si="3"/>
        <v>60</v>
      </c>
      <c r="I48" s="18">
        <f t="shared" si="2"/>
        <v>-28</v>
      </c>
      <c r="J48" s="36">
        <f t="shared" si="2"/>
        <v>42.46000000000001</v>
      </c>
      <c r="K48" s="1"/>
      <c r="L48" s="1"/>
    </row>
    <row r="49" ht="15" customHeight="1">
      <c r="A49" s="1"/>
      <c r="B49" s="1" t="s">
        <v>91</v>
      </c>
      <c r="C49" s="37" t="s">
        <v>86</v>
      </c>
      <c r="D49" s="37" t="s">
        <v>86</v>
      </c>
      <c r="E49" s="37" t="s">
        <v>86</v>
      </c>
      <c r="F49" s="37" t="s">
        <v>86</v>
      </c>
      <c r="G49" s="37" t="s">
        <v>86</v>
      </c>
      <c r="H49" s="37" t="s">
        <v>86</v>
      </c>
      <c r="I49" s="37" t="s">
        <v>86</v>
      </c>
      <c r="J49" s="38" t="s">
        <v>86</v>
      </c>
      <c r="K49" s="1"/>
      <c r="L49" s="1" t="s">
        <v>188</v>
      </c>
    </row>
    <row r="50" ht="15" customHeight="1">
      <c r="A50" s="1"/>
      <c r="B50" s="1" t="s">
        <v>139</v>
      </c>
      <c r="C50" s="35">
        <v>327</v>
      </c>
      <c r="D50" s="35">
        <v>321</v>
      </c>
      <c r="E50" s="35">
        <v>264</v>
      </c>
      <c r="F50" s="35">
        <v>318</v>
      </c>
      <c r="G50" s="18">
        <f t="shared" si="9"/>
        <v>1230</v>
      </c>
      <c r="H50" s="35">
        <v>266</v>
      </c>
      <c r="I50" s="35">
        <v>275</v>
      </c>
      <c r="J50" s="36">
        <f>E50*(1+J28)</f>
        <v>279.84000000000003</v>
      </c>
      <c r="K50" s="1" t="s">
        <v>81</v>
      </c>
      <c r="L50" s="1"/>
    </row>
    <row r="51" ht="15" customHeight="1">
      <c r="A51" s="1"/>
      <c r="B51" s="5" t="s">
        <v>73</v>
      </c>
      <c r="C51" s="19"/>
      <c r="D51" s="19"/>
      <c r="E51" s="19"/>
      <c r="F51" s="19"/>
      <c r="G51" s="19"/>
      <c r="H51" s="19">
        <f t="shared" si="1"/>
        <v>-0.1865443425076453</v>
      </c>
      <c r="I51" s="19">
        <f t="shared" si="1"/>
        <v>-0.14330218068535827</v>
      </c>
      <c r="J51" s="32">
        <f t="shared" si="1"/>
        <v>0.06000000000000005</v>
      </c>
      <c r="K51" s="1"/>
      <c r="L51" s="1"/>
    </row>
    <row r="52" ht="15" customHeight="1">
      <c r="A52" s="1"/>
      <c r="B52" s="1" t="s">
        <v>90</v>
      </c>
      <c r="C52" s="18"/>
      <c r="D52" s="18">
        <f t="shared" si="2"/>
        <v>-6</v>
      </c>
      <c r="E52" s="18">
        <f t="shared" si="2"/>
        <v>-57</v>
      </c>
      <c r="F52" s="18">
        <f t="shared" si="2"/>
        <v>54</v>
      </c>
      <c r="G52" s="18"/>
      <c r="H52" s="18">
        <f t="shared" si="3"/>
        <v>-52</v>
      </c>
      <c r="I52" s="18">
        <f t="shared" si="2"/>
        <v>9</v>
      </c>
      <c r="J52" s="36">
        <f t="shared" si="2"/>
        <v>4.840000000000032</v>
      </c>
      <c r="K52" s="1"/>
      <c r="L52" s="1"/>
    </row>
    <row r="53" ht="15" customHeight="1">
      <c r="A53" s="1"/>
      <c r="B53" s="1" t="s">
        <v>91</v>
      </c>
      <c r="C53" s="37" t="s">
        <v>86</v>
      </c>
      <c r="D53" s="37" t="s">
        <v>86</v>
      </c>
      <c r="E53" s="37" t="s">
        <v>86</v>
      </c>
      <c r="F53" s="37" t="s">
        <v>86</v>
      </c>
      <c r="G53" s="37" t="s">
        <v>86</v>
      </c>
      <c r="H53" s="37" t="s">
        <v>86</v>
      </c>
      <c r="I53" s="37" t="s">
        <v>86</v>
      </c>
      <c r="J53" s="38" t="s">
        <v>86</v>
      </c>
      <c r="K53" s="1"/>
      <c r="L53" s="1" t="s">
        <v>188</v>
      </c>
    </row>
    <row r="54" ht="15" customHeight="1">
      <c r="A54" s="1"/>
      <c r="B54" s="1" t="s">
        <v>141</v>
      </c>
      <c r="C54" s="35">
        <v>4485</v>
      </c>
      <c r="D54" s="35">
        <v>4652</v>
      </c>
      <c r="E54" s="35">
        <v>4829</v>
      </c>
      <c r="F54" s="35">
        <v>4892</v>
      </c>
      <c r="G54" s="18">
        <f t="shared" si="9"/>
        <v>18858</v>
      </c>
      <c r="H54" s="35">
        <v>4816</v>
      </c>
      <c r="I54" s="35">
        <v>5299</v>
      </c>
      <c r="J54" s="36">
        <f>E54*(1+J37)+J127</f>
        <v>5309.7231679999995</v>
      </c>
      <c r="K54" s="1" t="s">
        <v>81</v>
      </c>
      <c r="L54" s="1"/>
    </row>
    <row r="55" ht="15" customHeight="1">
      <c r="A55" s="1"/>
      <c r="B55" s="5" t="s">
        <v>73</v>
      </c>
      <c r="C55" s="19"/>
      <c r="D55" s="19"/>
      <c r="E55" s="19"/>
      <c r="F55" s="19"/>
      <c r="G55" s="19"/>
      <c r="H55" s="19">
        <f t="shared" si="1"/>
        <v>0.07380156075808242</v>
      </c>
      <c r="I55" s="19">
        <f t="shared" si="1"/>
        <v>0.13907996560619096</v>
      </c>
      <c r="J55" s="32">
        <f t="shared" si="1"/>
        <v>0.09954921681507556</v>
      </c>
      <c r="K55" s="1"/>
      <c r="L55" s="1"/>
    </row>
    <row r="56" ht="15" customHeight="1">
      <c r="A56" s="1"/>
      <c r="B56" s="1" t="s">
        <v>90</v>
      </c>
      <c r="C56" s="18"/>
      <c r="D56" s="18">
        <f t="shared" si="2"/>
        <v>167</v>
      </c>
      <c r="E56" s="18">
        <f t="shared" si="2"/>
        <v>177</v>
      </c>
      <c r="F56" s="18">
        <f t="shared" si="2"/>
        <v>63</v>
      </c>
      <c r="G56" s="18"/>
      <c r="H56" s="18">
        <f t="shared" si="3"/>
        <v>-76</v>
      </c>
      <c r="I56" s="18">
        <f t="shared" si="2"/>
        <v>483</v>
      </c>
      <c r="J56" s="36">
        <f t="shared" si="2"/>
        <v>10.723167999999532</v>
      </c>
      <c r="K56" s="1"/>
      <c r="L56" s="1"/>
    </row>
    <row r="57" ht="15" customHeight="1">
      <c r="A57" s="1"/>
      <c r="B57" s="1" t="s">
        <v>91</v>
      </c>
      <c r="C57" s="37" t="s">
        <v>86</v>
      </c>
      <c r="D57" s="37" t="s">
        <v>86</v>
      </c>
      <c r="E57" s="37" t="s">
        <v>86</v>
      </c>
      <c r="F57" s="37" t="s">
        <v>86</v>
      </c>
      <c r="G57" s="37" t="s">
        <v>86</v>
      </c>
      <c r="H57" s="37" t="s">
        <v>86</v>
      </c>
      <c r="I57" s="37" t="s">
        <v>86</v>
      </c>
      <c r="J57" s="38" t="s">
        <v>86</v>
      </c>
      <c r="K57" s="1"/>
      <c r="L57" s="1" t="s">
        <v>188</v>
      </c>
    </row>
    <row r="58" ht="15" customHeight="1">
      <c r="A58" s="1"/>
      <c r="B58" s="4" t="s">
        <v>189</v>
      </c>
      <c r="C58" s="33">
        <f t="shared" si="10" ref="C58:J58">C42+C46+C50</f>
        <v>2102</v>
      </c>
      <c r="D58" s="33">
        <f t="shared" si="10"/>
        <v>2277</v>
      </c>
      <c r="E58" s="33">
        <f t="shared" si="10"/>
        <v>2171</v>
      </c>
      <c r="F58" s="33">
        <f t="shared" si="10"/>
        <v>2177</v>
      </c>
      <c r="G58" s="33">
        <f t="shared" si="10"/>
        <v>8727</v>
      </c>
      <c r="H58" s="33">
        <f t="shared" si="10"/>
        <v>2118</v>
      </c>
      <c r="I58" s="33">
        <f t="shared" si="10"/>
        <v>2253</v>
      </c>
      <c r="J58" s="34">
        <f t="shared" si="10"/>
        <v>2250.26</v>
      </c>
      <c r="K58" s="1"/>
      <c r="L58" s="1"/>
    </row>
    <row r="59" ht="15" customHeight="1">
      <c r="A59" s="1"/>
      <c r="B59" s="5" t="s">
        <v>73</v>
      </c>
      <c r="C59" s="19"/>
      <c r="D59" s="19"/>
      <c r="E59" s="19"/>
      <c r="F59" s="19"/>
      <c r="G59" s="19"/>
      <c r="H59" s="19">
        <f t="shared" si="1"/>
        <v>0.007611798287345373</v>
      </c>
      <c r="I59" s="19">
        <f t="shared" si="1"/>
        <v>-0.010540184453227908</v>
      </c>
      <c r="J59" s="32">
        <f t="shared" si="1"/>
        <v>0.03650852141870109</v>
      </c>
      <c r="K59" s="1"/>
      <c r="L59" s="1"/>
    </row>
    <row r="60" ht="15" customHeight="1">
      <c r="A60" s="1"/>
      <c r="B60" s="1" t="s">
        <v>90</v>
      </c>
      <c r="C60" s="18"/>
      <c r="D60" s="18">
        <f t="shared" si="2"/>
        <v>175</v>
      </c>
      <c r="E60" s="18">
        <f t="shared" si="2"/>
        <v>-106</v>
      </c>
      <c r="F60" s="18">
        <f t="shared" si="2"/>
        <v>6</v>
      </c>
      <c r="G60" s="18"/>
      <c r="H60" s="18">
        <f t="shared" si="3"/>
        <v>-59</v>
      </c>
      <c r="I60" s="18">
        <f t="shared" si="2"/>
        <v>135</v>
      </c>
      <c r="J60" s="36">
        <f t="shared" si="2"/>
        <v>-2.7399999999997817</v>
      </c>
      <c r="K60" s="1"/>
      <c r="L60" s="1"/>
    </row>
    <row r="61" ht="15" customHeight="1">
      <c r="A61" s="1"/>
      <c r="B61" s="1" t="s">
        <v>91</v>
      </c>
      <c r="C61" s="37" t="s">
        <v>86</v>
      </c>
      <c r="D61" s="37" t="s">
        <v>86</v>
      </c>
      <c r="E61" s="37" t="s">
        <v>86</v>
      </c>
      <c r="F61" s="37" t="s">
        <v>86</v>
      </c>
      <c r="G61" s="37" t="s">
        <v>86</v>
      </c>
      <c r="H61" s="37" t="s">
        <v>86</v>
      </c>
      <c r="I61" s="37" t="s">
        <v>86</v>
      </c>
      <c r="J61" s="38" t="s">
        <v>86</v>
      </c>
      <c r="K61" s="1"/>
      <c r="L61" s="1" t="s">
        <v>87</v>
      </c>
    </row>
    <row r="62" ht="15" customHeight="1">
      <c r="A62" s="1"/>
      <c r="B62" s="4" t="s">
        <v>190</v>
      </c>
      <c r="C62" s="33">
        <f t="shared" si="11" ref="C62:J62">C58+C54</f>
        <v>6587</v>
      </c>
      <c r="D62" s="33">
        <f t="shared" si="11"/>
        <v>6929</v>
      </c>
      <c r="E62" s="33">
        <f t="shared" si="11"/>
        <v>7000</v>
      </c>
      <c r="F62" s="33">
        <f t="shared" si="11"/>
        <v>7069</v>
      </c>
      <c r="G62" s="33">
        <f t="shared" si="11"/>
        <v>27585</v>
      </c>
      <c r="H62" s="33">
        <f t="shared" si="11"/>
        <v>6934</v>
      </c>
      <c r="I62" s="33">
        <f t="shared" si="11"/>
        <v>7552</v>
      </c>
      <c r="J62" s="34">
        <f t="shared" si="11"/>
        <v>7559.983168</v>
      </c>
      <c r="K62" s="1"/>
      <c r="L62" s="1"/>
    </row>
    <row r="63" ht="15" customHeight="1">
      <c r="A63" s="1"/>
      <c r="B63" s="5" t="s">
        <v>73</v>
      </c>
      <c r="C63" s="19"/>
      <c r="D63" s="19"/>
      <c r="E63" s="19"/>
      <c r="F63" s="19"/>
      <c r="G63" s="19"/>
      <c r="H63" s="19">
        <f t="shared" si="1"/>
        <v>0.052679520267193025</v>
      </c>
      <c r="I63" s="19">
        <f t="shared" si="1"/>
        <v>0.08991196420839942</v>
      </c>
      <c r="J63" s="32">
        <f t="shared" si="1"/>
        <v>0.07999759542857143</v>
      </c>
      <c r="K63" s="1"/>
      <c r="L63" s="1"/>
    </row>
    <row r="64" ht="15" customHeight="1">
      <c r="A64" s="1"/>
      <c r="B64" s="1" t="s">
        <v>90</v>
      </c>
      <c r="C64" s="18"/>
      <c r="D64" s="18">
        <f t="shared" si="2"/>
        <v>342</v>
      </c>
      <c r="E64" s="18">
        <f t="shared" si="2"/>
        <v>71</v>
      </c>
      <c r="F64" s="18">
        <f t="shared" si="2"/>
        <v>69</v>
      </c>
      <c r="G64" s="18"/>
      <c r="H64" s="18">
        <f t="shared" si="3"/>
        <v>-135</v>
      </c>
      <c r="I64" s="18">
        <f t="shared" si="2"/>
        <v>618</v>
      </c>
      <c r="J64" s="36">
        <f t="shared" si="2"/>
        <v>7.9831679999997505</v>
      </c>
      <c r="K64" s="1"/>
      <c r="L64" s="1"/>
    </row>
    <row r="65" ht="15" customHeight="1">
      <c r="A65" s="1"/>
      <c r="B65" s="1" t="s">
        <v>91</v>
      </c>
      <c r="C65" s="37" t="s">
        <v>86</v>
      </c>
      <c r="D65" s="37" t="s">
        <v>86</v>
      </c>
      <c r="E65" s="37" t="s">
        <v>86</v>
      </c>
      <c r="F65" s="37" t="s">
        <v>86</v>
      </c>
      <c r="G65" s="37" t="s">
        <v>86</v>
      </c>
      <c r="H65" s="37" t="s">
        <v>86</v>
      </c>
      <c r="I65" s="37" t="s">
        <v>86</v>
      </c>
      <c r="J65" s="38" t="s">
        <v>86</v>
      </c>
      <c r="K65" s="1"/>
      <c r="L65" s="1" t="s">
        <v>87</v>
      </c>
    </row>
    <row r="66" ht="15" customHeight="1">
      <c r="A66" s="1"/>
      <c r="B66" s="1" t="s">
        <v>191</v>
      </c>
      <c r="C66" s="35">
        <v>630</v>
      </c>
      <c r="D66" s="35">
        <v>693</v>
      </c>
      <c r="E66" s="35">
        <v>621</v>
      </c>
      <c r="F66" s="35">
        <v>667</v>
      </c>
      <c r="G66" s="18">
        <f t="shared" si="9"/>
        <v>2611</v>
      </c>
      <c r="H66" s="35">
        <v>668</v>
      </c>
      <c r="I66" s="35">
        <v>658</v>
      </c>
      <c r="J66" s="36">
        <f>E66*(1+J67)</f>
        <v>645.84</v>
      </c>
      <c r="K66" s="1" t="s">
        <v>81</v>
      </c>
      <c r="L66" s="1" t="s">
        <v>192</v>
      </c>
    </row>
    <row r="67" ht="15" customHeight="1">
      <c r="A67" s="1"/>
      <c r="B67" s="5" t="s">
        <v>73</v>
      </c>
      <c r="C67" s="19"/>
      <c r="D67" s="19"/>
      <c r="E67" s="19"/>
      <c r="F67" s="19"/>
      <c r="G67" s="19"/>
      <c r="H67" s="19">
        <f t="shared" si="1"/>
        <v>0.060317460317460325</v>
      </c>
      <c r="I67" s="19">
        <f t="shared" si="1"/>
        <v>-0.0505050505050505</v>
      </c>
      <c r="J67" s="66">
        <v>0.04</v>
      </c>
      <c r="K67" s="1"/>
      <c r="L67" s="1"/>
    </row>
    <row r="68" ht="15" customHeight="1">
      <c r="A68" s="1"/>
      <c r="B68" s="1" t="s">
        <v>90</v>
      </c>
      <c r="C68" s="18"/>
      <c r="D68" s="18">
        <f t="shared" si="2"/>
        <v>63</v>
      </c>
      <c r="E68" s="18">
        <f t="shared" si="2"/>
        <v>-72</v>
      </c>
      <c r="F68" s="18">
        <f t="shared" si="2"/>
        <v>46</v>
      </c>
      <c r="G68" s="18"/>
      <c r="H68" s="18">
        <f t="shared" si="3"/>
        <v>1</v>
      </c>
      <c r="I68" s="18">
        <f t="shared" si="2"/>
        <v>-10</v>
      </c>
      <c r="J68" s="36">
        <f t="shared" si="2"/>
        <v>-12.159999999999968</v>
      </c>
      <c r="K68" s="1"/>
      <c r="L68" s="1"/>
    </row>
    <row r="69" ht="15" customHeight="1">
      <c r="A69" s="1"/>
      <c r="B69" s="1" t="s">
        <v>91</v>
      </c>
      <c r="C69" s="37" t="s">
        <v>86</v>
      </c>
      <c r="D69" s="37" t="s">
        <v>86</v>
      </c>
      <c r="E69" s="37" t="s">
        <v>86</v>
      </c>
      <c r="F69" s="37" t="s">
        <v>86</v>
      </c>
      <c r="G69" s="37" t="s">
        <v>86</v>
      </c>
      <c r="H69" s="37" t="s">
        <v>86</v>
      </c>
      <c r="I69" s="37" t="s">
        <v>86</v>
      </c>
      <c r="J69" s="38" t="s">
        <v>86</v>
      </c>
      <c r="K69" s="1"/>
      <c r="L69" s="1" t="s">
        <v>87</v>
      </c>
    </row>
    <row r="70" ht="15" customHeight="1">
      <c r="A70" s="1"/>
      <c r="B70" s="4" t="s">
        <v>193</v>
      </c>
      <c r="C70" s="33">
        <f t="shared" si="12" ref="C70:J70">C62+C66</f>
        <v>7217</v>
      </c>
      <c r="D70" s="33">
        <f t="shared" si="12"/>
        <v>7622</v>
      </c>
      <c r="E70" s="33">
        <f t="shared" si="12"/>
        <v>7621</v>
      </c>
      <c r="F70" s="33">
        <f t="shared" si="12"/>
        <v>7736</v>
      </c>
      <c r="G70" s="33">
        <f t="shared" si="12"/>
        <v>30196</v>
      </c>
      <c r="H70" s="33">
        <f t="shared" si="12"/>
        <v>7602</v>
      </c>
      <c r="I70" s="33">
        <f t="shared" si="12"/>
        <v>8210</v>
      </c>
      <c r="J70" s="34">
        <f t="shared" si="12"/>
        <v>8205.823167999999</v>
      </c>
      <c r="K70" s="1"/>
      <c r="L70" s="1"/>
    </row>
    <row r="71" ht="15" customHeight="1">
      <c r="A71" s="1"/>
      <c r="B71" s="1" t="s">
        <v>194</v>
      </c>
      <c r="C71" s="35">
        <v>6673</v>
      </c>
      <c r="D71" s="35">
        <v>6999</v>
      </c>
      <c r="E71" s="35">
        <v>7075</v>
      </c>
      <c r="F71" s="35">
        <v>7537</v>
      </c>
      <c r="G71" s="18">
        <f t="shared" si="9"/>
        <v>28284</v>
      </c>
      <c r="H71" s="18">
        <f t="shared" si="13" ref="H71:J71">C70</f>
        <v>7217</v>
      </c>
      <c r="I71" s="18">
        <f t="shared" si="13"/>
        <v>7622</v>
      </c>
      <c r="J71" s="36">
        <f t="shared" si="13"/>
        <v>7621</v>
      </c>
      <c r="K71" s="1" t="s">
        <v>95</v>
      </c>
      <c r="L71" s="1" t="s">
        <v>195</v>
      </c>
    </row>
    <row r="72" ht="15" customHeight="1">
      <c r="A72" s="1"/>
      <c r="B72" s="5" t="s">
        <v>73</v>
      </c>
      <c r="C72" s="19">
        <f t="shared" si="14" ref="C72:J72">IF(COUNT(C70,C71)&lt;2,"n/a",IF(C70*C71&lt;=0,"n/m",C70/C71-1))</f>
        <v>0.08152255357410465</v>
      </c>
      <c r="D72" s="19">
        <f t="shared" si="14"/>
        <v>0.08901271610230044</v>
      </c>
      <c r="E72" s="19">
        <f t="shared" si="14"/>
        <v>0.0771731448763251</v>
      </c>
      <c r="F72" s="19">
        <f t="shared" si="14"/>
        <v>0.026403078147804182</v>
      </c>
      <c r="G72" s="19">
        <f t="shared" si="14"/>
        <v>0.06760005656908508</v>
      </c>
      <c r="H72" s="19">
        <f t="shared" si="14"/>
        <v>0.05334626576139678</v>
      </c>
      <c r="I72" s="19">
        <f t="shared" si="14"/>
        <v>0.07714510627131976</v>
      </c>
      <c r="J72" s="32">
        <f t="shared" si="14"/>
        <v>0.07673837659099836</v>
      </c>
      <c r="K72" s="1"/>
      <c r="L72" s="1"/>
    </row>
    <row r="73" ht="15" customHeight="1">
      <c r="A73" s="1"/>
      <c r="B73" s="1" t="s">
        <v>90</v>
      </c>
      <c r="C73" s="18"/>
      <c r="D73" s="18">
        <f t="shared" si="15" ref="D73:J73">IF(COUNT(D70,C70)&lt;2,"n/a",D70-C70)</f>
        <v>405</v>
      </c>
      <c r="E73" s="18">
        <f t="shared" si="15"/>
        <v>-1</v>
      </c>
      <c r="F73" s="18">
        <f t="shared" si="15"/>
        <v>115</v>
      </c>
      <c r="G73" s="18"/>
      <c r="H73" s="18">
        <f>IF(COUNT(H70,F70)&lt;2,"n/a",H70-F70)</f>
        <v>-134</v>
      </c>
      <c r="I73" s="18">
        <f t="shared" si="15"/>
        <v>608</v>
      </c>
      <c r="J73" s="36">
        <f t="shared" si="15"/>
        <v>-4.1768320000010135</v>
      </c>
      <c r="K73" s="1"/>
      <c r="L73" s="1"/>
    </row>
    <row r="74" ht="15" customHeight="1">
      <c r="A74" s="1"/>
      <c r="B74" s="5" t="s">
        <v>196</v>
      </c>
      <c r="C74" s="19">
        <f t="shared" si="16" ref="C74:J74">IF(COUNT(C42,C70)&lt;2,"n/a",C42/C70)</f>
        <v>0.22987390882638215</v>
      </c>
      <c r="D74" s="19">
        <f t="shared" si="16"/>
        <v>0.2429808449225925</v>
      </c>
      <c r="E74" s="19">
        <f t="shared" si="16"/>
        <v>0.23172811966933474</v>
      </c>
      <c r="F74" s="19">
        <f t="shared" si="16"/>
        <v>0.23061013443640124</v>
      </c>
      <c r="G74" s="19">
        <f t="shared" si="16"/>
        <v>0.23383891906212742</v>
      </c>
      <c r="H74" s="19">
        <f t="shared" si="16"/>
        <v>0.2258616153643778</v>
      </c>
      <c r="I74" s="19">
        <f t="shared" si="16"/>
        <v>0.22789281364190012</v>
      </c>
      <c r="J74" s="32">
        <f t="shared" si="16"/>
        <v>0.22191070447400607</v>
      </c>
      <c r="K74" s="1"/>
      <c r="L74" s="1"/>
    </row>
    <row r="75" ht="15" customHeight="1">
      <c r="A75" s="1"/>
      <c r="B75" s="5" t="s">
        <v>133</v>
      </c>
      <c r="C75" s="48"/>
      <c r="D75" s="48"/>
      <c r="E75" s="48"/>
      <c r="F75" s="48"/>
      <c r="G75" s="48"/>
      <c r="H75" s="48">
        <f t="shared" si="5"/>
        <v>-40.122934620043516</v>
      </c>
      <c r="I75" s="48">
        <f t="shared" si="5"/>
        <v>-150.88031280692388</v>
      </c>
      <c r="J75" s="49">
        <f t="shared" si="5"/>
        <v>-98.17415195328665</v>
      </c>
      <c r="K75" s="1"/>
      <c r="L75" s="1"/>
    </row>
    <row r="76" ht="15" customHeight="1">
      <c r="A76" s="1"/>
      <c r="B76" s="5" t="s">
        <v>134</v>
      </c>
      <c r="C76" s="48"/>
      <c r="D76" s="48">
        <f t="shared" si="6"/>
        <v>131.0693609621036</v>
      </c>
      <c r="E76" s="48">
        <f t="shared" si="6"/>
        <v>-112.52725253257768</v>
      </c>
      <c r="F76" s="48">
        <f t="shared" si="6"/>
        <v>-11.179852329334938</v>
      </c>
      <c r="G76" s="48"/>
      <c r="H76" s="48">
        <f t="shared" si="7"/>
        <v>-47.48519072023449</v>
      </c>
      <c r="I76" s="48">
        <f t="shared" si="6"/>
        <v>20.311982775223225</v>
      </c>
      <c r="J76" s="49">
        <f t="shared" si="6"/>
        <v>-59.821091678940455</v>
      </c>
      <c r="K76" s="1"/>
      <c r="L76" s="1"/>
    </row>
    <row r="77" ht="15" customHeight="1">
      <c r="A77" s="1"/>
      <c r="B77" s="5" t="s">
        <v>197</v>
      </c>
      <c r="C77" s="19">
        <f t="shared" si="17" ref="C77:J77">IF(COUNT(C46,C70)&lt;2,"n/a",C46/C70)</f>
        <v>0.0160731605930442</v>
      </c>
      <c r="D77" s="19">
        <f t="shared" si="17"/>
        <v>0.013644712673838887</v>
      </c>
      <c r="E77" s="19">
        <f t="shared" si="17"/>
        <v>0.018501508988321744</v>
      </c>
      <c r="F77" s="19">
        <f t="shared" si="17"/>
        <v>0.00969493278179938</v>
      </c>
      <c r="G77" s="19">
        <f t="shared" si="17"/>
        <v>0.014438998542853358</v>
      </c>
      <c r="H77" s="19">
        <f t="shared" si="17"/>
        <v>0.017758484609313337</v>
      </c>
      <c r="I77" s="19">
        <f t="shared" si="17"/>
        <v>0.013032886723507917</v>
      </c>
      <c r="J77" s="32">
        <f t="shared" si="17"/>
        <v>0.018213894808609167</v>
      </c>
      <c r="K77" s="1"/>
      <c r="L77" s="1"/>
    </row>
    <row r="78" ht="15" customHeight="1">
      <c r="A78" s="1"/>
      <c r="B78" s="5" t="s">
        <v>133</v>
      </c>
      <c r="C78" s="48"/>
      <c r="D78" s="48"/>
      <c r="E78" s="48"/>
      <c r="F78" s="48"/>
      <c r="G78" s="48"/>
      <c r="H78" s="48">
        <f t="shared" si="5"/>
        <v>16.85324016269137</v>
      </c>
      <c r="I78" s="48">
        <f t="shared" si="5"/>
        <v>-6.118259503309701</v>
      </c>
      <c r="J78" s="49">
        <f t="shared" si="5"/>
        <v>-2.876141797125767</v>
      </c>
      <c r="K78" s="1"/>
      <c r="L78" s="1"/>
    </row>
    <row r="79" ht="15" customHeight="1">
      <c r="A79" s="1"/>
      <c r="B79" s="5" t="s">
        <v>134</v>
      </c>
      <c r="C79" s="48"/>
      <c r="D79" s="48">
        <f t="shared" si="6"/>
        <v>-24.284479192053126</v>
      </c>
      <c r="E79" s="48">
        <f t="shared" si="6"/>
        <v>48.56796314482857</v>
      </c>
      <c r="F79" s="48">
        <f t="shared" si="6"/>
        <v>-88.06576206522364</v>
      </c>
      <c r="G79" s="48"/>
      <c r="H79" s="48">
        <f t="shared" si="7"/>
        <v>80.63551827513957</v>
      </c>
      <c r="I79" s="48">
        <f t="shared" si="6"/>
        <v>-47.2559788580542</v>
      </c>
      <c r="J79" s="49">
        <f t="shared" si="6"/>
        <v>51.8100808510125</v>
      </c>
      <c r="K79" s="1"/>
      <c r="L79" s="1"/>
    </row>
    <row r="80" ht="15" customHeight="1">
      <c r="A80" s="1"/>
      <c r="B80" s="5" t="s">
        <v>198</v>
      </c>
      <c r="C80" s="19">
        <f t="shared" si="18" ref="C80:J80">IF(COUNT(C50,C70)&lt;2,"n/a",C50/C70)</f>
        <v>0.0453096854648746</v>
      </c>
      <c r="D80" s="19">
        <f t="shared" si="18"/>
        <v>0.042114930464445026</v>
      </c>
      <c r="E80" s="19">
        <f t="shared" si="18"/>
        <v>0.03464112321217688</v>
      </c>
      <c r="F80" s="19">
        <f t="shared" si="18"/>
        <v>0.04110651499482937</v>
      </c>
      <c r="G80" s="19">
        <f t="shared" si="18"/>
        <v>0.040733872036031266</v>
      </c>
      <c r="H80" s="19">
        <f t="shared" si="18"/>
        <v>0.034990791896869246</v>
      </c>
      <c r="I80" s="19">
        <f t="shared" si="18"/>
        <v>0.03349573690621194</v>
      </c>
      <c r="J80" s="32">
        <f t="shared" si="18"/>
        <v>0.03410261155654482</v>
      </c>
      <c r="K80" s="1"/>
      <c r="L80" s="1"/>
    </row>
    <row r="81" ht="15" customHeight="1">
      <c r="A81" s="1"/>
      <c r="B81" s="5" t="s">
        <v>133</v>
      </c>
      <c r="C81" s="48"/>
      <c r="D81" s="48"/>
      <c r="E81" s="48"/>
      <c r="F81" s="48"/>
      <c r="G81" s="48"/>
      <c r="H81" s="48">
        <f t="shared" si="5"/>
        <v>-103.18893568005353</v>
      </c>
      <c r="I81" s="48">
        <f t="shared" si="5"/>
        <v>-86.19193558233088</v>
      </c>
      <c r="J81" s="49">
        <f t="shared" si="5"/>
        <v>-5.38511655632061</v>
      </c>
      <c r="K81" s="1"/>
      <c r="L81" s="1"/>
    </row>
    <row r="82" ht="15" customHeight="1">
      <c r="A82" s="1"/>
      <c r="B82" s="5" t="s">
        <v>134</v>
      </c>
      <c r="C82" s="48"/>
      <c r="D82" s="48">
        <f t="shared" si="6"/>
        <v>-31.947550004295735</v>
      </c>
      <c r="E82" s="48">
        <f t="shared" si="6"/>
        <v>-74.73807252268143</v>
      </c>
      <c r="F82" s="48">
        <f t="shared" si="6"/>
        <v>64.65391782652486</v>
      </c>
      <c r="G82" s="48"/>
      <c r="H82" s="48">
        <f t="shared" si="7"/>
        <v>-61.15723097960122</v>
      </c>
      <c r="I82" s="48">
        <f t="shared" si="6"/>
        <v>-14.950549906573087</v>
      </c>
      <c r="J82" s="49">
        <f t="shared" si="6"/>
        <v>6.068746503328851</v>
      </c>
      <c r="K82" s="1"/>
      <c r="L82" s="1"/>
    </row>
    <row r="83" ht="15" customHeight="1">
      <c r="A83" s="1"/>
      <c r="B83" s="5" t="s">
        <v>199</v>
      </c>
      <c r="C83" s="19">
        <f t="shared" si="19" ref="C83:J83">IF(COUNT(C54,C70)&lt;2,"n/a",C54/C70)</f>
        <v>0.621449355687959</v>
      </c>
      <c r="D83" s="19">
        <f t="shared" si="19"/>
        <v>0.6103384938336395</v>
      </c>
      <c r="E83" s="19">
        <f t="shared" si="19"/>
        <v>0.6336438787560688</v>
      </c>
      <c r="F83" s="19">
        <f t="shared" si="19"/>
        <v>0.6323681489141675</v>
      </c>
      <c r="G83" s="19">
        <f t="shared" si="19"/>
        <v>0.6245198039475427</v>
      </c>
      <c r="H83" s="19">
        <f t="shared" si="19"/>
        <v>0.6335174953959485</v>
      </c>
      <c r="I83" s="19">
        <f t="shared" si="19"/>
        <v>0.6454323995127893</v>
      </c>
      <c r="J83" s="32">
        <f t="shared" si="19"/>
        <v>0.6470677053712499</v>
      </c>
      <c r="K83" s="1"/>
      <c r="L83" s="1"/>
    </row>
    <row r="84" ht="15" customHeight="1">
      <c r="A84" s="1"/>
      <c r="B84" s="5" t="s">
        <v>133</v>
      </c>
      <c r="C84" s="48"/>
      <c r="D84" s="48"/>
      <c r="E84" s="48"/>
      <c r="F84" s="48"/>
      <c r="G84" s="48"/>
      <c r="H84" s="48">
        <f t="shared" si="5"/>
        <v>120.68139707989478</v>
      </c>
      <c r="I84" s="48">
        <f t="shared" si="5"/>
        <v>350.9390567914983</v>
      </c>
      <c r="J84" s="49">
        <f t="shared" si="5"/>
        <v>134.23826615181156</v>
      </c>
      <c r="K84" s="1"/>
      <c r="L84" s="1"/>
    </row>
    <row r="85" ht="15" customHeight="1">
      <c r="A85" s="1"/>
      <c r="B85" s="5" t="s">
        <v>134</v>
      </c>
      <c r="C85" s="48"/>
      <c r="D85" s="48">
        <f t="shared" si="6"/>
        <v>-111.10861854319532</v>
      </c>
      <c r="E85" s="48">
        <f t="shared" si="6"/>
        <v>233.05384922429283</v>
      </c>
      <c r="F85" s="48">
        <f t="shared" si="6"/>
        <v>-12.757298419012741</v>
      </c>
      <c r="G85" s="48"/>
      <c r="H85" s="48">
        <f t="shared" si="7"/>
        <v>11.493464817809995</v>
      </c>
      <c r="I85" s="48">
        <f t="shared" si="6"/>
        <v>119.14904116840819</v>
      </c>
      <c r="J85" s="49">
        <f t="shared" si="6"/>
        <v>16.353058584606117</v>
      </c>
      <c r="K85" s="1"/>
      <c r="L85" s="1"/>
    </row>
    <row r="86" ht="15" customHeight="1">
      <c r="A86" s="1"/>
      <c r="B86" s="5" t="s">
        <v>200</v>
      </c>
      <c r="C86" s="19">
        <f t="shared" si="20" ref="C86:J86">IF(COUNT(C58,C70)&lt;2,"n/a",C58/C70)</f>
        <v>0.291256754884301</v>
      </c>
      <c r="D86" s="19">
        <f t="shared" si="20"/>
        <v>0.2987404880608764</v>
      </c>
      <c r="E86" s="19">
        <f t="shared" si="20"/>
        <v>0.28487075186983335</v>
      </c>
      <c r="F86" s="19">
        <f t="shared" si="20"/>
        <v>0.28141158221303</v>
      </c>
      <c r="G86" s="19">
        <f t="shared" si="20"/>
        <v>0.28901178964101204</v>
      </c>
      <c r="H86" s="19">
        <f t="shared" si="20"/>
        <v>0.2786108918705604</v>
      </c>
      <c r="I86" s="19">
        <f t="shared" si="20"/>
        <v>0.27442143727162</v>
      </c>
      <c r="J86" s="32">
        <f t="shared" si="20"/>
        <v>0.2742272108391601</v>
      </c>
      <c r="K86" s="1"/>
      <c r="L86" s="1"/>
    </row>
    <row r="87" ht="15" customHeight="1">
      <c r="A87" s="1"/>
      <c r="B87" s="5" t="s">
        <v>133</v>
      </c>
      <c r="C87" s="48"/>
      <c r="D87" s="48"/>
      <c r="E87" s="48"/>
      <c r="F87" s="48"/>
      <c r="G87" s="48"/>
      <c r="H87" s="48">
        <f t="shared" si="5"/>
        <v>-126.45863013740599</v>
      </c>
      <c r="I87" s="48">
        <f t="shared" si="5"/>
        <v>-243.19050789256391</v>
      </c>
      <c r="J87" s="49">
        <f t="shared" si="5"/>
        <v>-106.43541030673276</v>
      </c>
      <c r="K87" s="1"/>
      <c r="L87" s="1"/>
    </row>
    <row r="88" ht="15" customHeight="1">
      <c r="A88" s="1"/>
      <c r="B88" s="5" t="s">
        <v>134</v>
      </c>
      <c r="C88" s="48"/>
      <c r="D88" s="48">
        <f t="shared" si="6"/>
        <v>74.83733176575413</v>
      </c>
      <c r="E88" s="48">
        <f t="shared" si="6"/>
        <v>-138.69736191043037</v>
      </c>
      <c r="F88" s="48">
        <f t="shared" si="6"/>
        <v>-34.59169656803374</v>
      </c>
      <c r="G88" s="48"/>
      <c r="H88" s="48">
        <f t="shared" si="7"/>
        <v>-28.006903424696027</v>
      </c>
      <c r="I88" s="48">
        <f t="shared" si="6"/>
        <v>-41.89454598940379</v>
      </c>
      <c r="J88" s="49">
        <f t="shared" si="6"/>
        <v>-1.9422643245992077</v>
      </c>
      <c r="K88" s="1"/>
      <c r="L88" s="1"/>
    </row>
    <row r="89" ht="15" customHeight="1">
      <c r="A89" s="1"/>
      <c r="B89" s="1" t="s">
        <v>201</v>
      </c>
      <c r="C89" s="35">
        <v>7217</v>
      </c>
      <c r="D89" s="35">
        <v>7622</v>
      </c>
      <c r="E89" s="35">
        <v>7621</v>
      </c>
      <c r="F89" s="35">
        <v>7736</v>
      </c>
      <c r="G89" s="18">
        <f t="shared" si="9"/>
        <v>30196</v>
      </c>
      <c r="H89" s="35">
        <v>7602</v>
      </c>
      <c r="I89" s="35">
        <v>8210</v>
      </c>
      <c r="J89" s="36"/>
      <c r="K89" s="1" t="s">
        <v>95</v>
      </c>
      <c r="L89" s="1"/>
    </row>
    <row r="90" ht="15" customHeight="1">
      <c r="A90" s="1"/>
      <c r="B90" s="1" t="s">
        <v>202</v>
      </c>
      <c r="C90" s="18">
        <f t="shared" si="21" ref="C90:I90">C70-C89</f>
        <v>0</v>
      </c>
      <c r="D90" s="18">
        <f t="shared" si="21"/>
        <v>0</v>
      </c>
      <c r="E90" s="18">
        <f t="shared" si="21"/>
        <v>0</v>
      </c>
      <c r="F90" s="18">
        <f t="shared" si="21"/>
        <v>0</v>
      </c>
      <c r="G90" s="18">
        <f t="shared" si="21"/>
        <v>0</v>
      </c>
      <c r="H90" s="18">
        <f t="shared" si="21"/>
        <v>0</v>
      </c>
      <c r="I90" s="18">
        <f t="shared" si="21"/>
        <v>0</v>
      </c>
      <c r="J90" s="36"/>
      <c r="K90" s="1"/>
      <c r="L90" s="1"/>
    </row>
    <row r="91" ht="15" customHeight="1">
      <c r="A91" s="1"/>
      <c r="B91" s="1"/>
      <c r="C91" s="1"/>
      <c r="D91" s="1"/>
      <c r="E91" s="1"/>
      <c r="F91" s="1"/>
      <c r="G91" s="1"/>
      <c r="H91" s="1"/>
      <c r="I91" s="1"/>
      <c r="J91" s="29"/>
      <c r="K91" s="1"/>
      <c r="L91" s="1"/>
    </row>
    <row r="92" ht="15" customHeight="1">
      <c r="A92" s="1"/>
      <c r="B92" s="4" t="s">
        <v>203</v>
      </c>
      <c r="C92" s="1"/>
      <c r="D92" s="1"/>
      <c r="E92" s="1"/>
      <c r="F92" s="1"/>
      <c r="G92" s="1"/>
      <c r="H92" s="1"/>
      <c r="I92" s="1"/>
      <c r="J92" s="29"/>
      <c r="K92" s="1"/>
      <c r="L92" s="1"/>
    </row>
    <row r="93" ht="15" customHeight="1">
      <c r="A93" s="1"/>
      <c r="B93" s="1" t="s">
        <v>204</v>
      </c>
      <c r="C93" s="35">
        <v>5110</v>
      </c>
      <c r="D93" s="35">
        <v>5408</v>
      </c>
      <c r="E93" s="35">
        <v>5441</v>
      </c>
      <c r="F93" s="35">
        <v>5508</v>
      </c>
      <c r="G93" s="18">
        <f t="shared" si="9"/>
        <v>21467</v>
      </c>
      <c r="H93" s="35">
        <v>5424</v>
      </c>
      <c r="I93" s="35">
        <v>5941</v>
      </c>
      <c r="J93" s="36">
        <f>J62*I93/I62</f>
        <v>5947.2801908220345</v>
      </c>
      <c r="K93" s="1" t="s">
        <v>81</v>
      </c>
      <c r="L93" s="1" t="s">
        <v>205</v>
      </c>
    </row>
    <row r="94" ht="15" customHeight="1">
      <c r="A94" s="1"/>
      <c r="B94" s="5" t="s">
        <v>73</v>
      </c>
      <c r="C94" s="19"/>
      <c r="D94" s="19"/>
      <c r="E94" s="19"/>
      <c r="F94" s="19"/>
      <c r="G94" s="19"/>
      <c r="H94" s="19">
        <f t="shared" si="1"/>
        <v>0.06144814090019568</v>
      </c>
      <c r="I94" s="19">
        <f t="shared" si="1"/>
        <v>0.09855769230769229</v>
      </c>
      <c r="J94" s="32">
        <f t="shared" si="1"/>
        <v>0.09304910693292312</v>
      </c>
      <c r="K94" s="1"/>
      <c r="L94" s="1"/>
    </row>
    <row r="95" ht="15" customHeight="1">
      <c r="A95" s="1"/>
      <c r="B95" s="1" t="s">
        <v>90</v>
      </c>
      <c r="C95" s="18"/>
      <c r="D95" s="18">
        <f t="shared" si="2"/>
        <v>298</v>
      </c>
      <c r="E95" s="18">
        <f t="shared" si="2"/>
        <v>33</v>
      </c>
      <c r="F95" s="18">
        <f t="shared" si="2"/>
        <v>67</v>
      </c>
      <c r="G95" s="18"/>
      <c r="H95" s="18">
        <f t="shared" si="3"/>
        <v>-84</v>
      </c>
      <c r="I95" s="18">
        <f t="shared" si="2"/>
        <v>517</v>
      </c>
      <c r="J95" s="36">
        <f t="shared" si="2"/>
        <v>6.280190822034456</v>
      </c>
      <c r="K95" s="1"/>
      <c r="L95" s="1"/>
    </row>
    <row r="96" ht="15" customHeight="1">
      <c r="A96" s="1"/>
      <c r="B96" s="1" t="s">
        <v>91</v>
      </c>
      <c r="C96" s="37" t="s">
        <v>86</v>
      </c>
      <c r="D96" s="37" t="s">
        <v>86</v>
      </c>
      <c r="E96" s="37" t="s">
        <v>86</v>
      </c>
      <c r="F96" s="37" t="s">
        <v>86</v>
      </c>
      <c r="G96" s="37" t="s">
        <v>86</v>
      </c>
      <c r="H96" s="37" t="s">
        <v>86</v>
      </c>
      <c r="I96" s="37" t="s">
        <v>86</v>
      </c>
      <c r="J96" s="38" t="s">
        <v>86</v>
      </c>
      <c r="K96" s="1"/>
      <c r="L96" s="1" t="s">
        <v>206</v>
      </c>
    </row>
    <row r="97" ht="15" customHeight="1">
      <c r="A97" s="1"/>
      <c r="B97" s="1" t="s">
        <v>207</v>
      </c>
      <c r="C97" s="35">
        <v>1477</v>
      </c>
      <c r="D97" s="35">
        <v>1521</v>
      </c>
      <c r="E97" s="35">
        <v>1559</v>
      </c>
      <c r="F97" s="35">
        <v>1561</v>
      </c>
      <c r="G97" s="18">
        <f t="shared" si="9"/>
        <v>6118</v>
      </c>
      <c r="H97" s="35">
        <v>1510</v>
      </c>
      <c r="I97" s="35">
        <v>1611</v>
      </c>
      <c r="J97" s="36">
        <f>J62-J93</f>
        <v>1612.7029771779653</v>
      </c>
      <c r="K97" s="1" t="s">
        <v>81</v>
      </c>
      <c r="L97" s="1"/>
    </row>
    <row r="98" ht="15" customHeight="1">
      <c r="A98" s="1"/>
      <c r="B98" s="5" t="s">
        <v>73</v>
      </c>
      <c r="C98" s="19"/>
      <c r="D98" s="19"/>
      <c r="E98" s="19"/>
      <c r="F98" s="19"/>
      <c r="G98" s="19"/>
      <c r="H98" s="19">
        <f t="shared" si="1"/>
        <v>0.022342586323629066</v>
      </c>
      <c r="I98" s="19">
        <f t="shared" si="1"/>
        <v>0.059171597633136175</v>
      </c>
      <c r="J98" s="32">
        <f t="shared" si="1"/>
        <v>0.03444706682358256</v>
      </c>
      <c r="K98" s="1"/>
      <c r="L98" s="1"/>
    </row>
    <row r="99" ht="15" customHeight="1">
      <c r="A99" s="1"/>
      <c r="B99" s="1" t="s">
        <v>90</v>
      </c>
      <c r="C99" s="18"/>
      <c r="D99" s="18">
        <f t="shared" si="2"/>
        <v>44</v>
      </c>
      <c r="E99" s="18">
        <f t="shared" si="2"/>
        <v>38</v>
      </c>
      <c r="F99" s="18">
        <f t="shared" si="2"/>
        <v>2</v>
      </c>
      <c r="G99" s="18"/>
      <c r="H99" s="18">
        <f t="shared" si="3"/>
        <v>-51</v>
      </c>
      <c r="I99" s="18">
        <f t="shared" si="2"/>
        <v>101</v>
      </c>
      <c r="J99" s="36">
        <f t="shared" si="2"/>
        <v>1.7029771779652947</v>
      </c>
      <c r="K99" s="1"/>
      <c r="L99" s="1"/>
    </row>
    <row r="100" ht="15" customHeight="1">
      <c r="A100" s="1"/>
      <c r="B100" s="1" t="s">
        <v>91</v>
      </c>
      <c r="C100" s="37" t="s">
        <v>86</v>
      </c>
      <c r="D100" s="37" t="s">
        <v>86</v>
      </c>
      <c r="E100" s="37" t="s">
        <v>86</v>
      </c>
      <c r="F100" s="37" t="s">
        <v>86</v>
      </c>
      <c r="G100" s="37" t="s">
        <v>86</v>
      </c>
      <c r="H100" s="37" t="s">
        <v>86</v>
      </c>
      <c r="I100" s="37" t="s">
        <v>86</v>
      </c>
      <c r="J100" s="38" t="s">
        <v>86</v>
      </c>
      <c r="K100" s="1"/>
      <c r="L100" s="1" t="s">
        <v>208</v>
      </c>
    </row>
    <row r="101" ht="15" customHeight="1">
      <c r="A101" s="1"/>
      <c r="B101" s="5" t="s">
        <v>209</v>
      </c>
      <c r="C101" s="19">
        <f t="shared" si="22" ref="C101:J101">IF(COUNT(C93,C62)&lt;2,"n/a",C93/C62)</f>
        <v>0.7757704569606801</v>
      </c>
      <c r="D101" s="19">
        <f t="shared" si="22"/>
        <v>0.7804878048780488</v>
      </c>
      <c r="E101" s="19">
        <f t="shared" si="22"/>
        <v>0.7772857142857142</v>
      </c>
      <c r="F101" s="19">
        <f t="shared" si="22"/>
        <v>0.7791766869429905</v>
      </c>
      <c r="G101" s="19">
        <f t="shared" si="22"/>
        <v>0.7782127968098604</v>
      </c>
      <c r="H101" s="19">
        <f t="shared" si="22"/>
        <v>0.7822324776463802</v>
      </c>
      <c r="I101" s="19">
        <f t="shared" si="22"/>
        <v>0.7866790254237288</v>
      </c>
      <c r="J101" s="32">
        <f t="shared" si="22"/>
        <v>0.7866790254237289</v>
      </c>
      <c r="K101" s="1"/>
      <c r="L101" s="1"/>
    </row>
    <row r="102" ht="15" customHeight="1">
      <c r="A102" s="1"/>
      <c r="B102" s="5" t="s">
        <v>143</v>
      </c>
      <c r="C102" s="48"/>
      <c r="D102" s="48"/>
      <c r="E102" s="48"/>
      <c r="F102" s="48"/>
      <c r="G102" s="48"/>
      <c r="H102" s="48">
        <f t="shared" si="5"/>
        <v>64.6202068570001</v>
      </c>
      <c r="I102" s="48">
        <f t="shared" si="5"/>
        <v>61.91220545679998</v>
      </c>
      <c r="J102" s="49">
        <f t="shared" si="5"/>
        <v>93.9331113801467</v>
      </c>
      <c r="K102" s="1"/>
      <c r="L102" s="1"/>
    </row>
    <row r="103" ht="15" customHeight="1">
      <c r="A103" s="1"/>
      <c r="B103" s="5" t="s">
        <v>128</v>
      </c>
      <c r="C103" s="48"/>
      <c r="D103" s="48">
        <f t="shared" si="6"/>
        <v>47.17347917368664</v>
      </c>
      <c r="E103" s="48">
        <f t="shared" si="6"/>
        <v>-32.02090592334561</v>
      </c>
      <c r="F103" s="48">
        <f t="shared" si="6"/>
        <v>18.909726572762242</v>
      </c>
      <c r="G103" s="48"/>
      <c r="H103" s="48">
        <f t="shared" si="7"/>
        <v>30.557907033896825</v>
      </c>
      <c r="I103" s="48">
        <f t="shared" si="6"/>
        <v>44.465477773486526</v>
      </c>
      <c r="J103" s="49">
        <f t="shared" si="6"/>
        <v>0</v>
      </c>
      <c r="K103" s="1"/>
      <c r="L103" s="1"/>
    </row>
    <row r="104" ht="15" customHeight="1">
      <c r="A104" s="1"/>
      <c r="B104" s="1" t="s">
        <v>210</v>
      </c>
      <c r="C104" s="18">
        <f t="shared" si="23" ref="C104:J104">C93+C97-C62</f>
        <v>0</v>
      </c>
      <c r="D104" s="18">
        <f t="shared" si="23"/>
        <v>0</v>
      </c>
      <c r="E104" s="18">
        <f t="shared" si="23"/>
        <v>0</v>
      </c>
      <c r="F104" s="18">
        <f t="shared" si="23"/>
        <v>0</v>
      </c>
      <c r="G104" s="18">
        <f t="shared" si="23"/>
        <v>0</v>
      </c>
      <c r="H104" s="18">
        <f t="shared" si="23"/>
        <v>0</v>
      </c>
      <c r="I104" s="18">
        <f t="shared" si="23"/>
        <v>0</v>
      </c>
      <c r="J104" s="36">
        <f t="shared" si="23"/>
        <v>0</v>
      </c>
      <c r="K104" s="1"/>
      <c r="L104" s="1"/>
    </row>
    <row r="105" ht="15" customHeight="1">
      <c r="A105" s="1"/>
      <c r="B105" s="1"/>
      <c r="C105" s="1"/>
      <c r="D105" s="1"/>
      <c r="E105" s="1"/>
      <c r="F105" s="1"/>
      <c r="G105" s="1"/>
      <c r="H105" s="1"/>
      <c r="I105" s="1"/>
      <c r="J105" s="29"/>
      <c r="K105" s="1"/>
      <c r="L105" s="1"/>
    </row>
    <row r="106" ht="15" customHeight="1">
      <c r="A106" s="1"/>
      <c r="B106" s="4" t="s">
        <v>211</v>
      </c>
      <c r="C106" s="1"/>
      <c r="D106" s="1"/>
      <c r="E106" s="1"/>
      <c r="F106" s="1"/>
      <c r="G106" s="1"/>
      <c r="H106" s="1"/>
      <c r="I106" s="1"/>
      <c r="J106" s="29"/>
      <c r="K106" s="1"/>
      <c r="L106" s="1"/>
    </row>
    <row r="107" ht="15" customHeight="1">
      <c r="A107" s="1"/>
      <c r="B107" s="1" t="s">
        <v>111</v>
      </c>
      <c r="C107" s="35">
        <v>544</v>
      </c>
      <c r="D107" s="35">
        <v>623</v>
      </c>
      <c r="E107" s="35">
        <v>546</v>
      </c>
      <c r="F107" s="35">
        <v>199</v>
      </c>
      <c r="G107" s="18">
        <f t="shared" si="9"/>
        <v>1912</v>
      </c>
      <c r="H107" s="35">
        <v>385</v>
      </c>
      <c r="I107" s="35">
        <v>588</v>
      </c>
      <c r="J107" s="36">
        <f>J70-J71</f>
        <v>584.823167999999</v>
      </c>
      <c r="K107" s="1" t="s">
        <v>95</v>
      </c>
      <c r="L107" s="1" t="s">
        <v>212</v>
      </c>
    </row>
    <row r="108" ht="15" customHeight="1">
      <c r="A108" s="1"/>
      <c r="B108" s="1" t="s">
        <v>116</v>
      </c>
      <c r="C108" s="35">
        <v>-32</v>
      </c>
      <c r="D108" s="35">
        <v>-31</v>
      </c>
      <c r="E108" s="35">
        <v>-263</v>
      </c>
      <c r="F108" s="35">
        <v>-428</v>
      </c>
      <c r="G108" s="18">
        <f t="shared" si="9"/>
        <v>-754</v>
      </c>
      <c r="H108" s="35">
        <v>-383</v>
      </c>
      <c r="I108" s="35">
        <v>-404</v>
      </c>
      <c r="J108" s="42">
        <v>-170</v>
      </c>
      <c r="K108" s="1" t="s">
        <v>95</v>
      </c>
      <c r="L108" s="1" t="s">
        <v>213</v>
      </c>
    </row>
    <row r="109" ht="15" customHeight="1">
      <c r="A109" s="1"/>
      <c r="B109" s="5" t="s">
        <v>73</v>
      </c>
      <c r="C109" s="19"/>
      <c r="D109" s="19"/>
      <c r="E109" s="19"/>
      <c r="F109" s="19"/>
      <c r="G109" s="19"/>
      <c r="H109" s="19">
        <f t="shared" si="1"/>
        <v>10.96875</v>
      </c>
      <c r="I109" s="19">
        <f t="shared" si="1"/>
        <v>12.03225806451613</v>
      </c>
      <c r="J109" s="32">
        <f t="shared" si="1"/>
        <v>-0.35361216730038025</v>
      </c>
      <c r="K109" s="1"/>
      <c r="L109" s="1"/>
    </row>
    <row r="110" ht="15" customHeight="1">
      <c r="A110" s="1"/>
      <c r="B110" s="1" t="s">
        <v>90</v>
      </c>
      <c r="C110" s="18"/>
      <c r="D110" s="18">
        <f t="shared" si="2"/>
        <v>1</v>
      </c>
      <c r="E110" s="18">
        <f t="shared" si="2"/>
        <v>-232</v>
      </c>
      <c r="F110" s="18">
        <f t="shared" si="2"/>
        <v>-165</v>
      </c>
      <c r="G110" s="18"/>
      <c r="H110" s="18">
        <f t="shared" si="3"/>
        <v>45</v>
      </c>
      <c r="I110" s="18">
        <f t="shared" si="2"/>
        <v>-21</v>
      </c>
      <c r="J110" s="36">
        <f t="shared" si="2"/>
        <v>234</v>
      </c>
      <c r="K110" s="1"/>
      <c r="L110" s="1"/>
    </row>
    <row r="111" ht="15" customHeight="1">
      <c r="A111" s="1"/>
      <c r="B111" s="1" t="s">
        <v>117</v>
      </c>
      <c r="C111" s="35">
        <v>-16</v>
      </c>
      <c r="D111" s="35">
        <v>23</v>
      </c>
      <c r="E111" s="35">
        <v>26</v>
      </c>
      <c r="F111" s="35">
        <v>27</v>
      </c>
      <c r="G111" s="18">
        <f t="shared" si="9"/>
        <v>60</v>
      </c>
      <c r="H111" s="35">
        <v>40</v>
      </c>
      <c r="I111" s="35">
        <v>11</v>
      </c>
      <c r="J111" s="42">
        <v>0</v>
      </c>
      <c r="K111" s="1" t="s">
        <v>95</v>
      </c>
      <c r="L111" s="1" t="s">
        <v>214</v>
      </c>
    </row>
    <row r="112" ht="15" customHeight="1">
      <c r="A112" s="1"/>
      <c r="B112" s="5" t="s">
        <v>73</v>
      </c>
      <c r="C112" s="43"/>
      <c r="D112" s="43"/>
      <c r="E112" s="43"/>
      <c r="F112" s="43"/>
      <c r="G112" s="43"/>
      <c r="H112" s="43" t="str">
        <f t="shared" si="1"/>
        <v>n/m</v>
      </c>
      <c r="I112" s="43">
        <f t="shared" si="1"/>
        <v>-0.5217391304347826</v>
      </c>
      <c r="J112" s="44" t="str">
        <f t="shared" si="1"/>
        <v>n/m</v>
      </c>
      <c r="K112" s="1"/>
      <c r="L112" s="1"/>
    </row>
    <row r="113" ht="15" customHeight="1">
      <c r="A113" s="1"/>
      <c r="B113" s="1" t="s">
        <v>90</v>
      </c>
      <c r="C113" s="18"/>
      <c r="D113" s="18">
        <f t="shared" si="2"/>
        <v>39</v>
      </c>
      <c r="E113" s="18">
        <f t="shared" si="2"/>
        <v>3</v>
      </c>
      <c r="F113" s="18">
        <f t="shared" si="2"/>
        <v>1</v>
      </c>
      <c r="G113" s="18"/>
      <c r="H113" s="18">
        <f t="shared" si="3"/>
        <v>13</v>
      </c>
      <c r="I113" s="18">
        <f t="shared" si="2"/>
        <v>-29</v>
      </c>
      <c r="J113" s="36">
        <f t="shared" si="2"/>
        <v>-11</v>
      </c>
      <c r="K113" s="1"/>
      <c r="L113" s="1"/>
    </row>
    <row r="114" ht="15" customHeight="1">
      <c r="A114" s="1"/>
      <c r="B114" s="1" t="s">
        <v>118</v>
      </c>
      <c r="C114" s="35">
        <v>592</v>
      </c>
      <c r="D114" s="35">
        <v>631</v>
      </c>
      <c r="E114" s="35">
        <v>783</v>
      </c>
      <c r="F114" s="35">
        <v>600</v>
      </c>
      <c r="G114" s="18">
        <f t="shared" si="9"/>
        <v>2606</v>
      </c>
      <c r="H114" s="35">
        <v>728</v>
      </c>
      <c r="I114" s="35">
        <v>981</v>
      </c>
      <c r="J114" s="36">
        <f>J107-J108-J111</f>
        <v>754.823167999999</v>
      </c>
      <c r="K114" s="1" t="s">
        <v>95</v>
      </c>
      <c r="L114" s="1" t="s">
        <v>215</v>
      </c>
    </row>
    <row r="115" ht="15" customHeight="1">
      <c r="A115" s="1"/>
      <c r="B115" s="1" t="s">
        <v>216</v>
      </c>
      <c r="C115" s="18">
        <f t="shared" si="24" ref="C115:J115">C108+C111+C114-C107</f>
        <v>0</v>
      </c>
      <c r="D115" s="18">
        <f t="shared" si="24"/>
        <v>0</v>
      </c>
      <c r="E115" s="18">
        <f t="shared" si="24"/>
        <v>0</v>
      </c>
      <c r="F115" s="18">
        <f t="shared" si="24"/>
        <v>0</v>
      </c>
      <c r="G115" s="18">
        <f t="shared" si="24"/>
        <v>0</v>
      </c>
      <c r="H115" s="18">
        <f t="shared" si="24"/>
        <v>0</v>
      </c>
      <c r="I115" s="18">
        <f t="shared" si="24"/>
        <v>0</v>
      </c>
      <c r="J115" s="36">
        <f t="shared" si="24"/>
        <v>0</v>
      </c>
      <c r="K115" s="1"/>
      <c r="L115" s="1"/>
    </row>
    <row r="116" ht="15" customHeight="1">
      <c r="A116" s="1"/>
      <c r="B116" s="5" t="s">
        <v>121</v>
      </c>
      <c r="C116" s="19">
        <f t="shared" si="25" ref="C116:J116">C107/C71</f>
        <v>0.0815225535741046</v>
      </c>
      <c r="D116" s="19">
        <f t="shared" si="25"/>
        <v>0.08901271610230033</v>
      </c>
      <c r="E116" s="19">
        <f t="shared" si="25"/>
        <v>0.0771731448763251</v>
      </c>
      <c r="F116" s="19">
        <f t="shared" si="25"/>
        <v>0.026403078147804165</v>
      </c>
      <c r="G116" s="19">
        <f t="shared" si="25"/>
        <v>0.06760005656908499</v>
      </c>
      <c r="H116" s="19">
        <f t="shared" si="25"/>
        <v>0.0533462657613967</v>
      </c>
      <c r="I116" s="19">
        <f t="shared" si="25"/>
        <v>0.07714510627131986</v>
      </c>
      <c r="J116" s="32">
        <f t="shared" si="25"/>
        <v>0.07673837659099843</v>
      </c>
      <c r="K116" s="1"/>
      <c r="L116" s="1"/>
    </row>
    <row r="117" ht="15" customHeight="1">
      <c r="A117" s="1"/>
      <c r="B117" s="5" t="s">
        <v>122</v>
      </c>
      <c r="C117" s="19">
        <f t="shared" si="26" ref="C117:J117">C108/C71</f>
        <v>-0.004795444327888506</v>
      </c>
      <c r="D117" s="19">
        <f t="shared" si="26"/>
        <v>-0.004429204172024575</v>
      </c>
      <c r="E117" s="19">
        <f t="shared" si="26"/>
        <v>-0.03717314487632509</v>
      </c>
      <c r="F117" s="19">
        <f t="shared" si="26"/>
        <v>-0.056786519835478305</v>
      </c>
      <c r="G117" s="19">
        <f t="shared" si="26"/>
        <v>-0.026658181303917408</v>
      </c>
      <c r="H117" s="19">
        <f t="shared" si="26"/>
        <v>-0.05306914230289594</v>
      </c>
      <c r="I117" s="19">
        <f t="shared" si="26"/>
        <v>-0.053004460771451066</v>
      </c>
      <c r="J117" s="32">
        <f t="shared" si="26"/>
        <v>-0.02230678388662905</v>
      </c>
      <c r="K117" s="1"/>
      <c r="L117" s="1"/>
    </row>
    <row r="118" ht="15" customHeight="1">
      <c r="A118" s="1"/>
      <c r="B118" s="5" t="s">
        <v>123</v>
      </c>
      <c r="C118" s="19">
        <f t="shared" si="27" ref="C118:J118">C111/C71</f>
        <v>-0.002397722163944253</v>
      </c>
      <c r="D118" s="19">
        <f t="shared" si="27"/>
        <v>0.003286183740534362</v>
      </c>
      <c r="E118" s="19">
        <f t="shared" si="27"/>
        <v>0.003674911660777385</v>
      </c>
      <c r="F118" s="19">
        <f t="shared" si="27"/>
        <v>0.003582327185882977</v>
      </c>
      <c r="G118" s="19">
        <f t="shared" si="27"/>
        <v>0.0021213406873143827</v>
      </c>
      <c r="H118" s="19">
        <f t="shared" si="27"/>
        <v>0.005542469170015242</v>
      </c>
      <c r="I118" s="19">
        <f t="shared" si="27"/>
        <v>0.0014431907635791131</v>
      </c>
      <c r="J118" s="32">
        <f t="shared" si="27"/>
        <v>0</v>
      </c>
      <c r="K118" s="1"/>
      <c r="L118" s="1"/>
    </row>
    <row r="119" ht="15" customHeight="1">
      <c r="A119" s="1"/>
      <c r="B119" s="45" t="s">
        <v>217</v>
      </c>
      <c r="C119" s="46">
        <f t="shared" si="28" ref="C119:J119">(1+C116)/((1+C117)*(1+C118))-1</f>
        <v>0.08934587436076846</v>
      </c>
      <c r="D119" s="46">
        <f t="shared" si="28"/>
        <v>0.09027479160950924</v>
      </c>
      <c r="E119" s="46">
        <f t="shared" si="28"/>
        <v>0.11466471562109071</v>
      </c>
      <c r="F119" s="46">
        <f t="shared" si="28"/>
        <v>0.08431369238046615</v>
      </c>
      <c r="G119" s="46">
        <f t="shared" si="28"/>
        <v>0.09451796562167747</v>
      </c>
      <c r="H119" s="46">
        <f t="shared" si="28"/>
        <v>0.10624793499612806</v>
      </c>
      <c r="I119" s="46">
        <f t="shared" si="28"/>
        <v>0.13579502340993077</v>
      </c>
      <c r="J119" s="47">
        <f t="shared" si="28"/>
        <v>0.10130494806066292</v>
      </c>
      <c r="K119" s="1"/>
      <c r="L119" s="1"/>
    </row>
    <row r="120" ht="15" customHeight="1">
      <c r="A120" s="1"/>
      <c r="B120" s="5" t="s">
        <v>126</v>
      </c>
      <c r="C120" s="19">
        <f t="shared" si="29" ref="C120:J120">C114/C71</f>
        <v>0.08871572006593736</v>
      </c>
      <c r="D120" s="19">
        <f t="shared" si="29"/>
        <v>0.09015573653379054</v>
      </c>
      <c r="E120" s="19">
        <f t="shared" si="29"/>
        <v>0.11067137809187279</v>
      </c>
      <c r="F120" s="19">
        <f t="shared" si="29"/>
        <v>0.0796072707973995</v>
      </c>
      <c r="G120" s="19">
        <f t="shared" si="29"/>
        <v>0.09213689718568802</v>
      </c>
      <c r="H120" s="19">
        <f t="shared" si="29"/>
        <v>0.1008729388942774</v>
      </c>
      <c r="I120" s="19">
        <f t="shared" si="29"/>
        <v>0.12870637627919182</v>
      </c>
      <c r="J120" s="32">
        <f t="shared" si="29"/>
        <v>0.09904516047762747</v>
      </c>
      <c r="K120" s="1"/>
      <c r="L120" s="1"/>
    </row>
    <row r="121" ht="15" customHeight="1">
      <c r="A121" s="1"/>
      <c r="B121" s="5" t="s">
        <v>127</v>
      </c>
      <c r="C121" s="48"/>
      <c r="D121" s="48"/>
      <c r="E121" s="48"/>
      <c r="F121" s="48"/>
      <c r="G121" s="48"/>
      <c r="H121" s="48">
        <f t="shared" si="30" ref="H121:J121">IF(COUNT(H119,C119)&lt;2,"n/a",(H119-C119)*10000)</f>
        <v>169.02060635359595</v>
      </c>
      <c r="I121" s="48">
        <f t="shared" si="30"/>
        <v>455.2023180042153</v>
      </c>
      <c r="J121" s="49">
        <f t="shared" si="30"/>
        <v>-133.5976756042778</v>
      </c>
      <c r="K121" s="1"/>
      <c r="L121" s="1"/>
    </row>
    <row r="122" ht="15" customHeight="1">
      <c r="A122" s="1"/>
      <c r="B122" s="5" t="s">
        <v>128</v>
      </c>
      <c r="C122" s="48"/>
      <c r="D122" s="48">
        <f t="shared" si="31" ref="D122:J122">IF(COUNT(D119,C119)&lt;2,"n/a",(D119-C119)*10000)</f>
        <v>9.289172487407793</v>
      </c>
      <c r="E122" s="48">
        <f t="shared" si="31"/>
        <v>243.89924011581465</v>
      </c>
      <c r="F122" s="48">
        <f t="shared" si="31"/>
        <v>-303.5102324062455</v>
      </c>
      <c r="G122" s="48"/>
      <c r="H122" s="48">
        <f>IF(COUNT(H119,F119)&lt;2,"n/a",(H119-F119)*10000)</f>
        <v>219.34242615661904</v>
      </c>
      <c r="I122" s="48">
        <f t="shared" si="31"/>
        <v>295.47088413802715</v>
      </c>
      <c r="J122" s="49">
        <f t="shared" si="31"/>
        <v>-344.90075349267846</v>
      </c>
      <c r="K122" s="1"/>
      <c r="L122" s="1"/>
    </row>
    <row r="123" ht="15" customHeight="1">
      <c r="A123" s="1"/>
      <c r="B123" s="1"/>
      <c r="C123" s="1"/>
      <c r="D123" s="1"/>
      <c r="E123" s="1"/>
      <c r="F123" s="1"/>
      <c r="G123" s="1"/>
      <c r="H123" s="1"/>
      <c r="I123" s="1"/>
      <c r="J123" s="29"/>
      <c r="K123" s="1"/>
      <c r="L123" s="1"/>
    </row>
    <row r="124" ht="15" customHeight="1">
      <c r="A124" s="1"/>
      <c r="B124" s="5" t="s">
        <v>218</v>
      </c>
      <c r="C124" s="19"/>
      <c r="D124" s="19"/>
      <c r="E124" s="19"/>
      <c r="F124" s="19"/>
      <c r="G124" s="19"/>
      <c r="H124" s="19"/>
      <c r="I124" s="19"/>
      <c r="J124" s="66">
        <v>0.7</v>
      </c>
      <c r="K124" s="1"/>
      <c r="L124" s="1" t="s">
        <v>219</v>
      </c>
    </row>
    <row r="125" ht="15" customHeight="1">
      <c r="A125" s="1"/>
      <c r="B125" s="5" t="s">
        <v>143</v>
      </c>
      <c r="C125" s="67"/>
      <c r="D125" s="67"/>
      <c r="E125" s="67"/>
      <c r="F125" s="67"/>
      <c r="G125" s="67"/>
      <c r="H125" s="67" t="str">
        <f t="shared" si="5"/>
        <v>n/a</v>
      </c>
      <c r="I125" s="67" t="str">
        <f t="shared" si="5"/>
        <v>n/a</v>
      </c>
      <c r="J125" s="68" t="str">
        <f t="shared" si="5"/>
        <v>n/a</v>
      </c>
      <c r="K125" s="1"/>
      <c r="L125" s="1"/>
    </row>
    <row r="126" ht="15" customHeight="1">
      <c r="A126" s="1"/>
      <c r="B126" s="5" t="s">
        <v>128</v>
      </c>
      <c r="C126" s="67"/>
      <c r="D126" s="67" t="str">
        <f t="shared" si="6"/>
        <v>n/a</v>
      </c>
      <c r="E126" s="67" t="str">
        <f t="shared" si="6"/>
        <v>n/a</v>
      </c>
      <c r="F126" s="67" t="str">
        <f t="shared" si="6"/>
        <v>n/a</v>
      </c>
      <c r="G126" s="67"/>
      <c r="H126" s="67" t="str">
        <f t="shared" si="7"/>
        <v>n/a</v>
      </c>
      <c r="I126" s="67" t="str">
        <f t="shared" si="6"/>
        <v>n/a</v>
      </c>
      <c r="J126" s="68" t="str">
        <f t="shared" si="6"/>
        <v>n/a</v>
      </c>
      <c r="K126" s="1"/>
      <c r="L126" s="1"/>
    </row>
    <row r="127" ht="15" customHeight="1">
      <c r="A127" s="1"/>
      <c r="B127" s="1" t="s">
        <v>220</v>
      </c>
      <c r="C127" s="18"/>
      <c r="D127" s="18"/>
      <c r="E127" s="18"/>
      <c r="F127" s="18"/>
      <c r="G127" s="18"/>
      <c r="H127" s="18"/>
      <c r="I127" s="18"/>
      <c r="J127" s="36">
        <f>J108*J124</f>
        <v>-118.99999999999999</v>
      </c>
      <c r="K127" s="1"/>
      <c r="L127" s="1"/>
    </row>
    <row r="128" ht="15" customHeight="1">
      <c r="A128" s="1"/>
      <c r="B128" s="5" t="s">
        <v>73</v>
      </c>
      <c r="C128" s="43"/>
      <c r="D128" s="43"/>
      <c r="E128" s="43"/>
      <c r="F128" s="43"/>
      <c r="G128" s="43"/>
      <c r="H128" s="43" t="str">
        <f t="shared" si="1"/>
        <v>n/a</v>
      </c>
      <c r="I128" s="43" t="str">
        <f t="shared" si="1"/>
        <v>n/a</v>
      </c>
      <c r="J128" s="44" t="str">
        <f t="shared" si="1"/>
        <v>n/a</v>
      </c>
      <c r="K128" s="1"/>
      <c r="L128" s="1"/>
    </row>
    <row r="129" ht="15" customHeight="1">
      <c r="A129" s="1"/>
      <c r="B129" s="1" t="s">
        <v>90</v>
      </c>
      <c r="C129" s="55"/>
      <c r="D129" s="55" t="str">
        <f t="shared" si="2"/>
        <v>n/a</v>
      </c>
      <c r="E129" s="55" t="str">
        <f t="shared" si="2"/>
        <v>n/a</v>
      </c>
      <c r="F129" s="55" t="str">
        <f t="shared" si="2"/>
        <v>n/a</v>
      </c>
      <c r="G129" s="55"/>
      <c r="H129" s="55" t="str">
        <f t="shared" si="3"/>
        <v>n/a</v>
      </c>
      <c r="I129" s="55" t="str">
        <f t="shared" si="2"/>
        <v>n/a</v>
      </c>
      <c r="J129" s="56" t="str">
        <f t="shared" si="2"/>
        <v>n/a</v>
      </c>
      <c r="K129" s="1"/>
      <c r="L129" s="1"/>
    </row>
    <row r="130" ht="15" customHeight="1">
      <c r="A130" s="1"/>
      <c r="B130" s="1" t="s">
        <v>221</v>
      </c>
      <c r="C130" s="18"/>
      <c r="D130" s="18"/>
      <c r="E130" s="18"/>
      <c r="F130" s="18"/>
      <c r="G130" s="18"/>
      <c r="H130" s="18"/>
      <c r="I130" s="18"/>
      <c r="J130" s="36">
        <f>J108-J127</f>
        <v>-51.000000000000014</v>
      </c>
      <c r="K130" s="1"/>
      <c r="L130" s="1"/>
    </row>
    <row r="131" ht="15" customHeight="1">
      <c r="A131" s="1"/>
      <c r="B131" s="5" t="s">
        <v>73</v>
      </c>
      <c r="C131" s="43"/>
      <c r="D131" s="43"/>
      <c r="E131" s="43"/>
      <c r="F131" s="43"/>
      <c r="G131" s="43"/>
      <c r="H131" s="43" t="str">
        <f t="shared" si="1"/>
        <v>n/a</v>
      </c>
      <c r="I131" s="43" t="str">
        <f t="shared" si="1"/>
        <v>n/a</v>
      </c>
      <c r="J131" s="44" t="str">
        <f t="shared" si="1"/>
        <v>n/a</v>
      </c>
      <c r="K131" s="1"/>
      <c r="L131" s="1"/>
    </row>
    <row r="132" ht="15" customHeight="1">
      <c r="A132" s="1"/>
      <c r="B132" s="1" t="s">
        <v>90</v>
      </c>
      <c r="C132" s="55"/>
      <c r="D132" s="55" t="str">
        <f t="shared" si="2"/>
        <v>n/a</v>
      </c>
      <c r="E132" s="55" t="str">
        <f t="shared" si="2"/>
        <v>n/a</v>
      </c>
      <c r="F132" s="55" t="str">
        <f t="shared" si="2"/>
        <v>n/a</v>
      </c>
      <c r="G132" s="55"/>
      <c r="H132" s="55" t="str">
        <f t="shared" si="3"/>
        <v>n/a</v>
      </c>
      <c r="I132" s="55" t="str">
        <f t="shared" si="2"/>
        <v>n/a</v>
      </c>
      <c r="J132" s="56" t="str">
        <f t="shared" si="2"/>
        <v>n/a</v>
      </c>
      <c r="K132" s="1"/>
      <c r="L132" s="1"/>
    </row>
    <row r="133" ht="15" customHeight="1">
      <c r="A133" s="1"/>
      <c r="B133" s="1"/>
      <c r="C133" s="1"/>
      <c r="D133" s="1"/>
      <c r="E133" s="1"/>
      <c r="F133" s="1"/>
      <c r="G133" s="1"/>
      <c r="H133" s="1"/>
      <c r="I133" s="1"/>
      <c r="J133" s="29"/>
      <c r="K133" s="1"/>
      <c r="L133" s="1"/>
    </row>
    <row r="134" ht="15" customHeight="1">
      <c r="A134" s="1"/>
      <c r="B134" s="4" t="s">
        <v>222</v>
      </c>
      <c r="C134" s="1"/>
      <c r="D134" s="1"/>
      <c r="E134" s="1"/>
      <c r="F134" s="1"/>
      <c r="G134" s="1"/>
      <c r="H134" s="1"/>
      <c r="I134" s="1"/>
      <c r="J134" s="29"/>
      <c r="K134" s="1"/>
      <c r="L134" s="1"/>
    </row>
    <row r="135" ht="15" customHeight="1">
      <c r="A135" s="1"/>
      <c r="B135" s="1" t="s">
        <v>223</v>
      </c>
      <c r="C135" s="35">
        <v>-313</v>
      </c>
      <c r="D135" s="35">
        <v>-329</v>
      </c>
      <c r="E135" s="35">
        <v>-307</v>
      </c>
      <c r="F135" s="35">
        <v>-353</v>
      </c>
      <c r="G135" s="18">
        <f t="shared" si="9"/>
        <v>-1302</v>
      </c>
      <c r="H135" s="35">
        <v>-295</v>
      </c>
      <c r="I135" s="35">
        <v>-334</v>
      </c>
      <c r="J135" s="36">
        <f>J70*I135/I70</f>
        <v>-333.83007772375146</v>
      </c>
      <c r="K135" s="1" t="s">
        <v>81</v>
      </c>
      <c r="L135" s="1" t="s">
        <v>224</v>
      </c>
    </row>
    <row r="136" ht="15" customHeight="1">
      <c r="A136" s="1"/>
      <c r="B136" s="5" t="s">
        <v>73</v>
      </c>
      <c r="C136" s="19"/>
      <c r="D136" s="19"/>
      <c r="E136" s="19"/>
      <c r="F136" s="19"/>
      <c r="G136" s="19"/>
      <c r="H136" s="19">
        <f t="shared" si="1"/>
        <v>-0.057507987220447254</v>
      </c>
      <c r="I136" s="19">
        <f t="shared" si="1"/>
        <v>0.015197568389057725</v>
      </c>
      <c r="J136" s="32">
        <f t="shared" si="1"/>
        <v>0.08739438997964655</v>
      </c>
      <c r="K136" s="1"/>
      <c r="L136" s="1"/>
    </row>
    <row r="137" ht="15" customHeight="1">
      <c r="A137" s="1"/>
      <c r="B137" s="1" t="s">
        <v>90</v>
      </c>
      <c r="C137" s="18"/>
      <c r="D137" s="18">
        <f t="shared" si="2"/>
        <v>-16</v>
      </c>
      <c r="E137" s="18">
        <f t="shared" si="2"/>
        <v>22</v>
      </c>
      <c r="F137" s="18">
        <f t="shared" si="2"/>
        <v>-46</v>
      </c>
      <c r="G137" s="18"/>
      <c r="H137" s="18">
        <f t="shared" si="3"/>
        <v>58</v>
      </c>
      <c r="I137" s="18">
        <f t="shared" si="2"/>
        <v>-39</v>
      </c>
      <c r="J137" s="36">
        <f t="shared" si="2"/>
        <v>0.16992227624854195</v>
      </c>
      <c r="K137" s="1"/>
      <c r="L137" s="1"/>
    </row>
    <row r="138" ht="15" customHeight="1">
      <c r="A138" s="1"/>
      <c r="B138" s="5" t="s">
        <v>225</v>
      </c>
      <c r="C138" s="19">
        <f t="shared" si="32" ref="C138:J138">-C135/C70</f>
        <v>0.04336982125536927</v>
      </c>
      <c r="D138" s="19">
        <f t="shared" si="32"/>
        <v>0.04316452374704802</v>
      </c>
      <c r="E138" s="19">
        <f t="shared" si="32"/>
        <v>0.04028342737173599</v>
      </c>
      <c r="F138" s="19">
        <f t="shared" si="32"/>
        <v>0.04563081695966908</v>
      </c>
      <c r="G138" s="19">
        <f t="shared" si="32"/>
        <v>0.043118293813750166</v>
      </c>
      <c r="H138" s="19">
        <f t="shared" si="32"/>
        <v>0.03880557747961063</v>
      </c>
      <c r="I138" s="19">
        <f t="shared" si="32"/>
        <v>0.04068209500609014</v>
      </c>
      <c r="J138" s="32">
        <f t="shared" si="32"/>
        <v>0.04068209500609013</v>
      </c>
      <c r="K138" s="1"/>
      <c r="L138" s="1"/>
    </row>
    <row r="139" ht="15" customHeight="1">
      <c r="A139" s="1"/>
      <c r="B139" s="5" t="s">
        <v>143</v>
      </c>
      <c r="C139" s="48"/>
      <c r="D139" s="48"/>
      <c r="E139" s="48"/>
      <c r="F139" s="48"/>
      <c r="G139" s="48"/>
      <c r="H139" s="48">
        <f t="shared" si="5"/>
        <v>-45.64243775758641</v>
      </c>
      <c r="I139" s="48">
        <f t="shared" si="5"/>
        <v>-24.8242874095788</v>
      </c>
      <c r="J139" s="49">
        <f t="shared" si="5"/>
        <v>3.9866763435413706</v>
      </c>
      <c r="K139" s="1"/>
      <c r="L139" s="1"/>
    </row>
    <row r="140" ht="15" customHeight="1">
      <c r="A140" s="1"/>
      <c r="B140" s="5" t="s">
        <v>128</v>
      </c>
      <c r="C140" s="48"/>
      <c r="D140" s="48">
        <f t="shared" si="6"/>
        <v>-2.052975083212533</v>
      </c>
      <c r="E140" s="48">
        <f t="shared" si="6"/>
        <v>-28.81096375312024</v>
      </c>
      <c r="F140" s="48">
        <f t="shared" si="6"/>
        <v>53.473895879330854</v>
      </c>
      <c r="G140" s="48"/>
      <c r="H140" s="48">
        <f t="shared" si="7"/>
        <v>-68.25239480058448</v>
      </c>
      <c r="I140" s="48">
        <f t="shared" si="6"/>
        <v>18.76517526479507</v>
      </c>
      <c r="J140" s="49">
        <f t="shared" si="6"/>
        <v>0</v>
      </c>
      <c r="K140" s="1"/>
      <c r="L140" s="1"/>
    </row>
    <row r="141" ht="15" customHeight="1">
      <c r="A141" s="1"/>
      <c r="B141" s="4" t="s">
        <v>226</v>
      </c>
      <c r="C141" s="52">
        <v>1227</v>
      </c>
      <c r="D141" s="52">
        <v>1249</v>
      </c>
      <c r="E141" s="52">
        <v>1194</v>
      </c>
      <c r="F141" s="52">
        <v>1223</v>
      </c>
      <c r="G141" s="33">
        <f t="shared" si="9"/>
        <v>4893</v>
      </c>
      <c r="H141" s="52">
        <v>1298</v>
      </c>
      <c r="I141" s="52">
        <v>1370</v>
      </c>
      <c r="J141" s="34">
        <f>J70*J144</f>
        <v>1386.7841153919999</v>
      </c>
      <c r="K141" s="1" t="s">
        <v>95</v>
      </c>
      <c r="L141" s="1" t="s">
        <v>227</v>
      </c>
    </row>
    <row r="142" ht="15" customHeight="1">
      <c r="A142" s="1"/>
      <c r="B142" s="5" t="s">
        <v>73</v>
      </c>
      <c r="C142" s="19"/>
      <c r="D142" s="19"/>
      <c r="E142" s="19"/>
      <c r="F142" s="19"/>
      <c r="G142" s="19"/>
      <c r="H142" s="19">
        <f t="shared" si="1"/>
        <v>0.05786471067644672</v>
      </c>
      <c r="I142" s="19">
        <f t="shared" si="1"/>
        <v>0.09687750200160128</v>
      </c>
      <c r="J142" s="32">
        <f t="shared" si="1"/>
        <v>0.1614607331591289</v>
      </c>
      <c r="K142" s="1"/>
      <c r="L142" s="1"/>
    </row>
    <row r="143" ht="15" customHeight="1">
      <c r="A143" s="1"/>
      <c r="B143" s="1" t="s">
        <v>90</v>
      </c>
      <c r="C143" s="18"/>
      <c r="D143" s="18">
        <f t="shared" si="2"/>
        <v>22</v>
      </c>
      <c r="E143" s="18">
        <f t="shared" si="2"/>
        <v>-55</v>
      </c>
      <c r="F143" s="18">
        <f t="shared" si="2"/>
        <v>29</v>
      </c>
      <c r="G143" s="18"/>
      <c r="H143" s="18">
        <f t="shared" si="3"/>
        <v>75</v>
      </c>
      <c r="I143" s="18">
        <f t="shared" si="2"/>
        <v>72</v>
      </c>
      <c r="J143" s="36">
        <f t="shared" si="2"/>
        <v>16.784115391999876</v>
      </c>
      <c r="K143" s="1"/>
      <c r="L143" s="1"/>
    </row>
    <row r="144" ht="15" customHeight="1">
      <c r="A144" s="1"/>
      <c r="B144" s="5" t="s">
        <v>228</v>
      </c>
      <c r="C144" s="19">
        <f t="shared" si="33" ref="C144:I144">C141/C70</f>
        <v>0.17001524179021754</v>
      </c>
      <c r="D144" s="19">
        <f t="shared" si="33"/>
        <v>0.16386775124639202</v>
      </c>
      <c r="E144" s="19">
        <f t="shared" si="33"/>
        <v>0.15667235270961816</v>
      </c>
      <c r="F144" s="19">
        <f t="shared" si="33"/>
        <v>0.15809203722854187</v>
      </c>
      <c r="G144" s="19">
        <f t="shared" si="33"/>
        <v>0.16204132997748047</v>
      </c>
      <c r="H144" s="19">
        <f t="shared" si="33"/>
        <v>0.17074454091028676</v>
      </c>
      <c r="I144" s="19">
        <f t="shared" si="33"/>
        <v>0.1668696711327649</v>
      </c>
      <c r="J144" s="66">
        <v>0.169</v>
      </c>
      <c r="K144" s="1"/>
      <c r="L144" s="1" t="s">
        <v>229</v>
      </c>
    </row>
    <row r="145" ht="15" customHeight="1">
      <c r="A145" s="1"/>
      <c r="B145" s="5" t="s">
        <v>143</v>
      </c>
      <c r="C145" s="48"/>
      <c r="D145" s="48"/>
      <c r="E145" s="48"/>
      <c r="F145" s="48"/>
      <c r="G145" s="48"/>
      <c r="H145" s="48">
        <f t="shared" si="5"/>
        <v>7.292991200692212</v>
      </c>
      <c r="I145" s="48">
        <f t="shared" si="5"/>
        <v>30.019198863728835</v>
      </c>
      <c r="J145" s="49">
        <f t="shared" si="5"/>
        <v>123.27647290381854</v>
      </c>
      <c r="K145" s="1"/>
      <c r="L145" s="1"/>
    </row>
    <row r="146" ht="15" customHeight="1">
      <c r="A146" s="1"/>
      <c r="B146" s="5" t="s">
        <v>128</v>
      </c>
      <c r="C146" s="48"/>
      <c r="D146" s="48">
        <f t="shared" si="6"/>
        <v>-61.47490543825518</v>
      </c>
      <c r="E146" s="48">
        <f t="shared" si="6"/>
        <v>-71.95398536773867</v>
      </c>
      <c r="F146" s="48">
        <f t="shared" si="6"/>
        <v>14.19684518923714</v>
      </c>
      <c r="G146" s="48"/>
      <c r="H146" s="48">
        <f t="shared" si="7"/>
        <v>126.52503681744892</v>
      </c>
      <c r="I146" s="48">
        <f t="shared" si="6"/>
        <v>-38.74869777521855</v>
      </c>
      <c r="J146" s="49">
        <f t="shared" si="6"/>
        <v>21.30328867235104</v>
      </c>
      <c r="K146" s="1"/>
      <c r="L146" s="1"/>
    </row>
    <row r="147" ht="15" customHeight="1">
      <c r="A147" s="1"/>
      <c r="B147" s="1" t="s">
        <v>230</v>
      </c>
      <c r="C147" s="35">
        <v>-113</v>
      </c>
      <c r="D147" s="35">
        <v>-39</v>
      </c>
      <c r="E147" s="35">
        <v>-17</v>
      </c>
      <c r="F147" s="35">
        <v>-35</v>
      </c>
      <c r="G147" s="18">
        <f t="shared" si="9"/>
        <v>-204</v>
      </c>
      <c r="H147" s="35">
        <v>9</v>
      </c>
      <c r="I147" s="35">
        <v>-64</v>
      </c>
      <c r="J147" s="42">
        <v>-30</v>
      </c>
      <c r="K147" s="1" t="s">
        <v>95</v>
      </c>
      <c r="L147" s="1" t="s">
        <v>231</v>
      </c>
    </row>
    <row r="148" ht="15" customHeight="1">
      <c r="A148" s="1"/>
      <c r="B148" s="5" t="s">
        <v>73</v>
      </c>
      <c r="C148" s="43"/>
      <c r="D148" s="43"/>
      <c r="E148" s="43"/>
      <c r="F148" s="43"/>
      <c r="G148" s="43"/>
      <c r="H148" s="43" t="str">
        <f t="shared" si="1"/>
        <v>n/m</v>
      </c>
      <c r="I148" s="43">
        <f t="shared" si="1"/>
        <v>0.641025641025641</v>
      </c>
      <c r="J148" s="44">
        <f t="shared" si="1"/>
        <v>0.7647058823529411</v>
      </c>
      <c r="K148" s="1"/>
      <c r="L148" s="1"/>
    </row>
    <row r="149" ht="15" customHeight="1">
      <c r="A149" s="1"/>
      <c r="B149" s="1" t="s">
        <v>90</v>
      </c>
      <c r="C149" s="18"/>
      <c r="D149" s="18">
        <f t="shared" si="2"/>
        <v>74</v>
      </c>
      <c r="E149" s="18">
        <f t="shared" si="2"/>
        <v>22</v>
      </c>
      <c r="F149" s="18">
        <f t="shared" si="2"/>
        <v>-18</v>
      </c>
      <c r="G149" s="18"/>
      <c r="H149" s="18">
        <f t="shared" si="3"/>
        <v>44</v>
      </c>
      <c r="I149" s="18">
        <f t="shared" si="2"/>
        <v>-73</v>
      </c>
      <c r="J149" s="36">
        <f t="shared" si="2"/>
        <v>34</v>
      </c>
      <c r="K149" s="1"/>
      <c r="L149" s="1"/>
    </row>
    <row r="150" ht="15" customHeight="1">
      <c r="A150" s="1"/>
      <c r="B150" s="1" t="s">
        <v>232</v>
      </c>
      <c r="C150" s="35">
        <v>-26</v>
      </c>
      <c r="D150" s="35">
        <v>-37</v>
      </c>
      <c r="E150" s="35">
        <v>83</v>
      </c>
      <c r="F150" s="35">
        <v>214</v>
      </c>
      <c r="G150" s="18">
        <f t="shared" si="9"/>
        <v>234</v>
      </c>
      <c r="H150" s="35">
        <v>0</v>
      </c>
      <c r="I150" s="35">
        <v>0</v>
      </c>
      <c r="J150" s="42">
        <v>0</v>
      </c>
      <c r="K150" s="1" t="s">
        <v>233</v>
      </c>
      <c r="L150" s="1" t="s">
        <v>234</v>
      </c>
    </row>
    <row r="151" ht="15" customHeight="1">
      <c r="A151" s="1"/>
      <c r="B151" s="5" t="s">
        <v>73</v>
      </c>
      <c r="C151" s="43"/>
      <c r="D151" s="43"/>
      <c r="E151" s="43"/>
      <c r="F151" s="43"/>
      <c r="G151" s="43"/>
      <c r="H151" s="43" t="str">
        <f t="shared" si="1"/>
        <v>n/m</v>
      </c>
      <c r="I151" s="43" t="str">
        <f t="shared" si="1"/>
        <v>n/m</v>
      </c>
      <c r="J151" s="44" t="str">
        <f t="shared" si="1"/>
        <v>n/m</v>
      </c>
      <c r="K151" s="1"/>
      <c r="L151" s="1"/>
    </row>
    <row r="152" ht="15" customHeight="1">
      <c r="A152" s="1"/>
      <c r="B152" s="1" t="s">
        <v>90</v>
      </c>
      <c r="C152" s="18"/>
      <c r="D152" s="18">
        <f t="shared" si="2"/>
        <v>-11</v>
      </c>
      <c r="E152" s="18">
        <f t="shared" si="2"/>
        <v>120</v>
      </c>
      <c r="F152" s="18">
        <f t="shared" si="2"/>
        <v>131</v>
      </c>
      <c r="G152" s="18"/>
      <c r="H152" s="18">
        <f t="shared" si="3"/>
        <v>-214</v>
      </c>
      <c r="I152" s="18">
        <f t="shared" si="2"/>
        <v>0</v>
      </c>
      <c r="J152" s="36">
        <f t="shared" si="2"/>
        <v>0</v>
      </c>
      <c r="K152" s="1"/>
      <c r="L152" s="1"/>
    </row>
    <row r="153" ht="15" customHeight="1">
      <c r="A153" s="1"/>
      <c r="B153" s="4" t="s">
        <v>235</v>
      </c>
      <c r="C153" s="33">
        <f t="shared" si="34" ref="C153:J153">C141+C147+C150</f>
        <v>1088</v>
      </c>
      <c r="D153" s="33">
        <f t="shared" si="34"/>
        <v>1173</v>
      </c>
      <c r="E153" s="33">
        <f t="shared" si="34"/>
        <v>1260</v>
      </c>
      <c r="F153" s="33">
        <f t="shared" si="34"/>
        <v>1402</v>
      </c>
      <c r="G153" s="33">
        <f t="shared" si="34"/>
        <v>4923</v>
      </c>
      <c r="H153" s="33">
        <f t="shared" si="34"/>
        <v>1307</v>
      </c>
      <c r="I153" s="33">
        <f t="shared" si="34"/>
        <v>1306</v>
      </c>
      <c r="J153" s="34">
        <f t="shared" si="34"/>
        <v>1356.7841153919999</v>
      </c>
      <c r="K153" s="1"/>
      <c r="L153" s="1"/>
    </row>
    <row r="154" ht="15" customHeight="1">
      <c r="A154" s="1"/>
      <c r="B154" s="5" t="s">
        <v>73</v>
      </c>
      <c r="C154" s="19"/>
      <c r="D154" s="19"/>
      <c r="E154" s="19"/>
      <c r="F154" s="19"/>
      <c r="G154" s="19"/>
      <c r="H154" s="19">
        <f t="shared" si="1"/>
        <v>0.20128676470588225</v>
      </c>
      <c r="I154" s="19">
        <f t="shared" si="1"/>
        <v>0.11338448422847391</v>
      </c>
      <c r="J154" s="32">
        <f t="shared" si="1"/>
        <v>0.0768127899936506</v>
      </c>
      <c r="K154" s="1"/>
      <c r="L154" s="1"/>
    </row>
    <row r="155" ht="15" customHeight="1">
      <c r="A155" s="1"/>
      <c r="B155" s="1" t="s">
        <v>90</v>
      </c>
      <c r="C155" s="18"/>
      <c r="D155" s="18">
        <f t="shared" si="2"/>
        <v>85</v>
      </c>
      <c r="E155" s="18">
        <f t="shared" si="2"/>
        <v>87</v>
      </c>
      <c r="F155" s="18">
        <f t="shared" si="2"/>
        <v>142</v>
      </c>
      <c r="G155" s="18"/>
      <c r="H155" s="18">
        <f t="shared" si="3"/>
        <v>-95</v>
      </c>
      <c r="I155" s="18">
        <f t="shared" si="2"/>
        <v>-1</v>
      </c>
      <c r="J155" s="36">
        <f t="shared" si="2"/>
        <v>50.784115391999876</v>
      </c>
      <c r="K155" s="1"/>
      <c r="L155" s="1"/>
    </row>
    <row r="156" ht="15" customHeight="1">
      <c r="A156" s="1"/>
      <c r="B156" s="5" t="s">
        <v>236</v>
      </c>
      <c r="C156" s="19">
        <f t="shared" si="35" ref="C156:J156">C153/C70</f>
        <v>0.15075516142441459</v>
      </c>
      <c r="D156" s="19">
        <f t="shared" si="35"/>
        <v>0.1538966150616636</v>
      </c>
      <c r="E156" s="19">
        <f t="shared" si="35"/>
        <v>0.1653326335126624</v>
      </c>
      <c r="F156" s="19">
        <f t="shared" si="35"/>
        <v>0.1812306101344364</v>
      </c>
      <c r="G156" s="19">
        <f t="shared" si="35"/>
        <v>0.16303483905153002</v>
      </c>
      <c r="H156" s="19">
        <f t="shared" si="35"/>
        <v>0.171928439884241</v>
      </c>
      <c r="I156" s="19">
        <f t="shared" si="35"/>
        <v>0.15907429963459196</v>
      </c>
      <c r="J156" s="32">
        <f t="shared" si="35"/>
        <v>0.1653440596530291</v>
      </c>
      <c r="K156" s="1"/>
      <c r="L156" s="1"/>
    </row>
    <row r="157" ht="15" customHeight="1">
      <c r="A157" s="1"/>
      <c r="B157" s="5" t="s">
        <v>143</v>
      </c>
      <c r="C157" s="48"/>
      <c r="D157" s="48"/>
      <c r="E157" s="48"/>
      <c r="F157" s="48"/>
      <c r="G157" s="48"/>
      <c r="H157" s="48">
        <f t="shared" si="5"/>
        <v>211.73278459826417</v>
      </c>
      <c r="I157" s="48">
        <f t="shared" si="5"/>
        <v>51.77684572928359</v>
      </c>
      <c r="J157" s="49">
        <f t="shared" si="5"/>
        <v>0.11426140366699311</v>
      </c>
      <c r="K157" s="1"/>
      <c r="L157" s="1"/>
    </row>
    <row r="158" ht="15" customHeight="1">
      <c r="A158" s="1"/>
      <c r="B158" s="5" t="s">
        <v>128</v>
      </c>
      <c r="C158" s="48"/>
      <c r="D158" s="48">
        <f t="shared" si="6"/>
        <v>31.414536372490197</v>
      </c>
      <c r="E158" s="48">
        <f t="shared" si="6"/>
        <v>114.36018450998786</v>
      </c>
      <c r="F158" s="48">
        <f t="shared" si="6"/>
        <v>158.97976621774</v>
      </c>
      <c r="G158" s="48"/>
      <c r="H158" s="48">
        <f t="shared" si="7"/>
        <v>-93.02170250195391</v>
      </c>
      <c r="I158" s="48">
        <f t="shared" si="6"/>
        <v>-128.54140249649038</v>
      </c>
      <c r="J158" s="49">
        <f t="shared" si="6"/>
        <v>62.69760018437126</v>
      </c>
      <c r="K158" s="1"/>
      <c r="L158" s="1"/>
    </row>
    <row r="159" ht="15" customHeight="1">
      <c r="A159" s="1"/>
      <c r="B159" s="1" t="s">
        <v>237</v>
      </c>
      <c r="C159" s="35">
        <v>1088</v>
      </c>
      <c r="D159" s="35">
        <v>1173</v>
      </c>
      <c r="E159" s="35">
        <v>1260</v>
      </c>
      <c r="F159" s="35">
        <v>1402</v>
      </c>
      <c r="G159" s="18">
        <f t="shared" si="9"/>
        <v>4923</v>
      </c>
      <c r="H159" s="35">
        <v>1307</v>
      </c>
      <c r="I159" s="35">
        <v>1306</v>
      </c>
      <c r="J159" s="36"/>
      <c r="K159" s="1" t="s">
        <v>95</v>
      </c>
      <c r="L159" s="1"/>
    </row>
    <row r="160" ht="15" customHeight="1">
      <c r="A160" s="1"/>
      <c r="B160" s="1" t="s">
        <v>238</v>
      </c>
      <c r="C160" s="18">
        <f t="shared" si="36" ref="C160:I160">C153-C159</f>
        <v>0</v>
      </c>
      <c r="D160" s="18">
        <f t="shared" si="36"/>
        <v>0</v>
      </c>
      <c r="E160" s="18">
        <f t="shared" si="36"/>
        <v>0</v>
      </c>
      <c r="F160" s="18">
        <f t="shared" si="36"/>
        <v>0</v>
      </c>
      <c r="G160" s="18">
        <f t="shared" si="36"/>
        <v>0</v>
      </c>
      <c r="H160" s="18">
        <f t="shared" si="36"/>
        <v>0</v>
      </c>
      <c r="I160" s="18">
        <f t="shared" si="36"/>
        <v>0</v>
      </c>
      <c r="J160" s="36"/>
      <c r="K160" s="1"/>
      <c r="L160" s="1"/>
    </row>
    <row r="161" ht="15" customHeight="1">
      <c r="A161" s="1"/>
      <c r="B161" s="1" t="s">
        <v>239</v>
      </c>
      <c r="C161" s="35">
        <v>-5816</v>
      </c>
      <c r="D161" s="35">
        <v>-6120</v>
      </c>
      <c r="E161" s="35">
        <v>-6054</v>
      </c>
      <c r="F161" s="35">
        <v>-5981</v>
      </c>
      <c r="G161" s="18">
        <f t="shared" si="9"/>
        <v>-23971</v>
      </c>
      <c r="H161" s="35">
        <v>-6000</v>
      </c>
      <c r="I161" s="35">
        <v>-6570</v>
      </c>
      <c r="J161" s="36">
        <f>J153-J70-J135</f>
        <v>-6515.208974884247</v>
      </c>
      <c r="K161" s="1" t="s">
        <v>81</v>
      </c>
      <c r="L161" s="1" t="s">
        <v>240</v>
      </c>
    </row>
    <row r="162" ht="15" customHeight="1">
      <c r="A162" s="1"/>
      <c r="B162" s="5" t="s">
        <v>73</v>
      </c>
      <c r="C162" s="19"/>
      <c r="D162" s="19"/>
      <c r="E162" s="19"/>
      <c r="F162" s="19"/>
      <c r="G162" s="19"/>
      <c r="H162" s="19">
        <f t="shared" si="1"/>
        <v>0.031636863823933936</v>
      </c>
      <c r="I162" s="19">
        <f t="shared" si="1"/>
        <v>0.07352941176470584</v>
      </c>
      <c r="J162" s="32">
        <f t="shared" si="1"/>
        <v>0.07618251980248547</v>
      </c>
      <c r="K162" s="1"/>
      <c r="L162" s="1"/>
    </row>
    <row r="163" ht="15" customHeight="1">
      <c r="A163" s="1"/>
      <c r="B163" s="1" t="s">
        <v>90</v>
      </c>
      <c r="C163" s="18"/>
      <c r="D163" s="18">
        <f t="shared" si="2"/>
        <v>-304</v>
      </c>
      <c r="E163" s="18">
        <f t="shared" si="2"/>
        <v>66</v>
      </c>
      <c r="F163" s="18">
        <f t="shared" si="2"/>
        <v>73</v>
      </c>
      <c r="G163" s="18"/>
      <c r="H163" s="18">
        <f t="shared" si="3"/>
        <v>-19</v>
      </c>
      <c r="I163" s="18">
        <f t="shared" si="2"/>
        <v>-570</v>
      </c>
      <c r="J163" s="36">
        <f t="shared" si="2"/>
        <v>54.791025115752745</v>
      </c>
      <c r="K163" s="1"/>
      <c r="L163" s="1"/>
    </row>
    <row r="164" ht="15" customHeight="1">
      <c r="A164" s="1"/>
      <c r="B164" s="1" t="s">
        <v>241</v>
      </c>
      <c r="C164" s="18">
        <f t="shared" si="37" ref="C164:J164">C70+C135+C161-C153</f>
        <v>0</v>
      </c>
      <c r="D164" s="18">
        <f t="shared" si="37"/>
        <v>0</v>
      </c>
      <c r="E164" s="18">
        <f t="shared" si="37"/>
        <v>0</v>
      </c>
      <c r="F164" s="18">
        <f t="shared" si="37"/>
        <v>0</v>
      </c>
      <c r="G164" s="18">
        <f t="shared" si="37"/>
        <v>0</v>
      </c>
      <c r="H164" s="18">
        <f t="shared" si="37"/>
        <v>0</v>
      </c>
      <c r="I164" s="18">
        <f t="shared" si="37"/>
        <v>0</v>
      </c>
      <c r="J164" s="36">
        <f t="shared" si="37"/>
        <v>0</v>
      </c>
      <c r="K164" s="1"/>
      <c r="L164" s="1"/>
    </row>
    <row r="165" ht="15" customHeight="1">
      <c r="A165" s="1"/>
      <c r="B165" s="1"/>
      <c r="C165" s="1"/>
      <c r="D165" s="1"/>
      <c r="E165" s="1"/>
      <c r="F165" s="1"/>
      <c r="G165" s="1"/>
      <c r="H165" s="1"/>
      <c r="I165" s="1"/>
      <c r="J165" s="29"/>
      <c r="K165" s="1"/>
      <c r="L165" s="1"/>
    </row>
    <row r="166" ht="15" customHeight="1">
      <c r="A166" s="1"/>
      <c r="B166" s="4" t="s">
        <v>242</v>
      </c>
      <c r="C166" s="1"/>
      <c r="D166" s="1"/>
      <c r="E166" s="1"/>
      <c r="F166" s="1"/>
      <c r="G166" s="1"/>
      <c r="H166" s="1"/>
      <c r="I166" s="1"/>
      <c r="J166" s="29"/>
      <c r="K166" s="1"/>
      <c r="L166" s="1"/>
    </row>
    <row r="167" ht="15" customHeight="1">
      <c r="A167" s="1"/>
      <c r="B167" s="1" t="s">
        <v>243</v>
      </c>
      <c r="C167" s="35">
        <v>217</v>
      </c>
      <c r="D167" s="35">
        <v>220</v>
      </c>
      <c r="E167" s="35">
        <v>215</v>
      </c>
      <c r="F167" s="35">
        <v>221</v>
      </c>
      <c r="G167" s="18">
        <f t="shared" si="9"/>
        <v>873</v>
      </c>
      <c r="H167" s="35">
        <v>231</v>
      </c>
      <c r="I167" s="35">
        <v>230</v>
      </c>
      <c r="J167" s="36">
        <f t="shared" si="38" ref="J167:J170">I167</f>
        <v>230</v>
      </c>
      <c r="K167" s="1" t="s">
        <v>81</v>
      </c>
      <c r="L167" s="1" t="s">
        <v>82</v>
      </c>
    </row>
    <row r="168" ht="15" customHeight="1">
      <c r="A168" s="1"/>
      <c r="B168" s="5" t="s">
        <v>73</v>
      </c>
      <c r="C168" s="19"/>
      <c r="D168" s="19"/>
      <c r="E168" s="19"/>
      <c r="F168" s="19"/>
      <c r="G168" s="19"/>
      <c r="H168" s="19">
        <f t="shared" si="1"/>
        <v>0.06451612903225801</v>
      </c>
      <c r="I168" s="19">
        <f t="shared" si="1"/>
        <v>0.045454545454545414</v>
      </c>
      <c r="J168" s="32">
        <f t="shared" si="1"/>
        <v>0.06976744186046502</v>
      </c>
      <c r="K168" s="1"/>
      <c r="L168" s="1"/>
    </row>
    <row r="169" ht="15" customHeight="1">
      <c r="A169" s="1"/>
      <c r="B169" s="1" t="s">
        <v>90</v>
      </c>
      <c r="C169" s="18"/>
      <c r="D169" s="18">
        <f t="shared" si="2"/>
        <v>3</v>
      </c>
      <c r="E169" s="18">
        <f t="shared" si="2"/>
        <v>-5</v>
      </c>
      <c r="F169" s="18">
        <f t="shared" si="2"/>
        <v>6</v>
      </c>
      <c r="G169" s="18"/>
      <c r="H169" s="18">
        <f t="shared" si="3"/>
        <v>10</v>
      </c>
      <c r="I169" s="18">
        <f t="shared" si="2"/>
        <v>-1</v>
      </c>
      <c r="J169" s="36">
        <f t="shared" si="2"/>
        <v>0</v>
      </c>
      <c r="K169" s="1"/>
      <c r="L169" s="1"/>
    </row>
    <row r="170" ht="15" customHeight="1">
      <c r="A170" s="1"/>
      <c r="B170" s="1" t="s">
        <v>244</v>
      </c>
      <c r="C170" s="35">
        <v>112</v>
      </c>
      <c r="D170" s="35">
        <v>171</v>
      </c>
      <c r="E170" s="35">
        <v>191</v>
      </c>
      <c r="F170" s="35">
        <v>319</v>
      </c>
      <c r="G170" s="18">
        <f t="shared" si="9"/>
        <v>793</v>
      </c>
      <c r="H170" s="35">
        <v>155</v>
      </c>
      <c r="I170" s="35">
        <v>219</v>
      </c>
      <c r="J170" s="36">
        <f t="shared" si="38"/>
        <v>219</v>
      </c>
      <c r="K170" s="1" t="s">
        <v>81</v>
      </c>
      <c r="L170" s="1" t="s">
        <v>82</v>
      </c>
    </row>
    <row r="171" ht="15" customHeight="1">
      <c r="A171" s="1"/>
      <c r="B171" s="5" t="s">
        <v>73</v>
      </c>
      <c r="C171" s="19"/>
      <c r="D171" s="19"/>
      <c r="E171" s="19"/>
      <c r="F171" s="19"/>
      <c r="G171" s="19"/>
      <c r="H171" s="19">
        <f t="shared" si="1"/>
        <v>0.3839285714285714</v>
      </c>
      <c r="I171" s="19">
        <f t="shared" si="1"/>
        <v>0.2807017543859649</v>
      </c>
      <c r="J171" s="32">
        <f t="shared" si="1"/>
        <v>0.1465968586387434</v>
      </c>
      <c r="K171" s="1"/>
      <c r="L171" s="1"/>
    </row>
    <row r="172" ht="15" customHeight="1">
      <c r="A172" s="1"/>
      <c r="B172" s="1" t="s">
        <v>90</v>
      </c>
      <c r="C172" s="18"/>
      <c r="D172" s="18">
        <f t="shared" si="2"/>
        <v>59</v>
      </c>
      <c r="E172" s="18">
        <f t="shared" si="2"/>
        <v>20</v>
      </c>
      <c r="F172" s="18">
        <f t="shared" si="2"/>
        <v>128</v>
      </c>
      <c r="G172" s="18"/>
      <c r="H172" s="18">
        <f t="shared" si="3"/>
        <v>-164</v>
      </c>
      <c r="I172" s="18">
        <f t="shared" si="2"/>
        <v>64</v>
      </c>
      <c r="J172" s="36">
        <f t="shared" si="2"/>
        <v>0</v>
      </c>
      <c r="K172" s="1"/>
      <c r="L172" s="1"/>
    </row>
    <row r="173" ht="15" customHeight="1">
      <c r="A173" s="1"/>
      <c r="B173" s="5" t="s">
        <v>245</v>
      </c>
      <c r="C173" s="19">
        <f t="shared" si="39" ref="C173:J173">C170/C70</f>
        <v>0.015518913676042677</v>
      </c>
      <c r="D173" s="19">
        <f t="shared" si="39"/>
        <v>0.02243505641563894</v>
      </c>
      <c r="E173" s="19">
        <f t="shared" si="39"/>
        <v>0.025062327778506758</v>
      </c>
      <c r="F173" s="19">
        <f t="shared" si="39"/>
        <v>0.04123578076525336</v>
      </c>
      <c r="G173" s="19">
        <f t="shared" si="39"/>
        <v>0.02626175652404292</v>
      </c>
      <c r="H173" s="19">
        <f t="shared" si="39"/>
        <v>0.0203893712181005</v>
      </c>
      <c r="I173" s="19">
        <f t="shared" si="39"/>
        <v>0.026674786845310598</v>
      </c>
      <c r="J173" s="32">
        <f t="shared" si="39"/>
        <v>0.026688364532887778</v>
      </c>
      <c r="K173" s="1"/>
      <c r="L173" s="1"/>
    </row>
    <row r="174" ht="15" customHeight="1">
      <c r="A174" s="1"/>
      <c r="B174" s="5" t="s">
        <v>143</v>
      </c>
      <c r="C174" s="48"/>
      <c r="D174" s="48"/>
      <c r="E174" s="48"/>
      <c r="F174" s="48"/>
      <c r="G174" s="48"/>
      <c r="H174" s="48">
        <f t="shared" si="5"/>
        <v>48.70457542057822</v>
      </c>
      <c r="I174" s="48">
        <f t="shared" si="5"/>
        <v>42.3973042967166</v>
      </c>
      <c r="J174" s="49">
        <f t="shared" si="5"/>
        <v>16.260367543810204</v>
      </c>
      <c r="K174" s="1"/>
      <c r="L174" s="1"/>
    </row>
    <row r="175" ht="15" customHeight="1">
      <c r="A175" s="1"/>
      <c r="B175" s="5" t="s">
        <v>128</v>
      </c>
      <c r="C175" s="48"/>
      <c r="D175" s="48">
        <f t="shared" si="6"/>
        <v>69.1614273959626</v>
      </c>
      <c r="E175" s="48">
        <f t="shared" si="6"/>
        <v>26.272713628678197</v>
      </c>
      <c r="F175" s="48">
        <f t="shared" si="6"/>
        <v>161.73452986746602</v>
      </c>
      <c r="G175" s="48"/>
      <c r="H175" s="48">
        <f t="shared" si="7"/>
        <v>-208.46409547152862</v>
      </c>
      <c r="I175" s="48">
        <f t="shared" si="6"/>
        <v>62.85415627210099</v>
      </c>
      <c r="J175" s="49">
        <f t="shared" si="6"/>
        <v>0.13577687577179948</v>
      </c>
      <c r="K175" s="1"/>
      <c r="L175" s="1"/>
    </row>
    <row r="176" ht="15" customHeight="1">
      <c r="A176" s="1"/>
      <c r="B176" s="1" t="s">
        <v>246</v>
      </c>
      <c r="C176" s="18">
        <f t="shared" si="40" ref="C176:J176">C141+C167</f>
        <v>1444</v>
      </c>
      <c r="D176" s="18">
        <f t="shared" si="40"/>
        <v>1469</v>
      </c>
      <c r="E176" s="18">
        <f t="shared" si="40"/>
        <v>1409</v>
      </c>
      <c r="F176" s="18">
        <f t="shared" si="40"/>
        <v>1444</v>
      </c>
      <c r="G176" s="18">
        <f t="shared" si="40"/>
        <v>5766</v>
      </c>
      <c r="H176" s="18">
        <f t="shared" si="40"/>
        <v>1529</v>
      </c>
      <c r="I176" s="18">
        <f t="shared" si="40"/>
        <v>1600</v>
      </c>
      <c r="J176" s="36">
        <f t="shared" si="40"/>
        <v>1616.7841153919999</v>
      </c>
      <c r="K176" s="1"/>
      <c r="L176" s="1"/>
    </row>
    <row r="177" ht="15" customHeight="1">
      <c r="A177" s="1"/>
      <c r="B177" s="5" t="s">
        <v>73</v>
      </c>
      <c r="C177" s="19"/>
      <c r="D177" s="19"/>
      <c r="E177" s="19"/>
      <c r="F177" s="19"/>
      <c r="G177" s="19"/>
      <c r="H177" s="19">
        <f t="shared" si="1"/>
        <v>0.05886426592797789</v>
      </c>
      <c r="I177" s="19">
        <f t="shared" si="1"/>
        <v>0.08917631041524854</v>
      </c>
      <c r="J177" s="32">
        <f t="shared" si="1"/>
        <v>0.14746920893683457</v>
      </c>
      <c r="K177" s="1"/>
      <c r="L177" s="1"/>
    </row>
    <row r="178" ht="15" customHeight="1">
      <c r="A178" s="1"/>
      <c r="B178" s="1"/>
      <c r="C178" s="1"/>
      <c r="D178" s="1"/>
      <c r="E178" s="1"/>
      <c r="F178" s="1"/>
      <c r="G178" s="1"/>
      <c r="H178" s="1"/>
      <c r="I178" s="1"/>
      <c r="J178" s="29"/>
      <c r="K178" s="1"/>
      <c r="L178" s="1"/>
    </row>
    <row r="179" ht="15" customHeight="1">
      <c r="A179" s="1"/>
      <c r="B179" s="4" t="s">
        <v>247</v>
      </c>
      <c r="C179" s="1"/>
      <c r="D179" s="1"/>
      <c r="E179" s="1"/>
      <c r="F179" s="1"/>
      <c r="G179" s="1"/>
      <c r="H179" s="1"/>
      <c r="I179" s="1"/>
      <c r="J179" s="29"/>
      <c r="K179" s="1"/>
      <c r="L179" s="1"/>
    </row>
    <row r="180" ht="15" customHeight="1">
      <c r="A180" s="1"/>
      <c r="B180" s="1" t="s">
        <v>147</v>
      </c>
      <c r="C180" s="18"/>
      <c r="D180" s="18">
        <f t="shared" si="41" ref="D180:J180">C183</f>
        <v>125000</v>
      </c>
      <c r="E180" s="18">
        <f t="shared" si="41"/>
        <v>144000</v>
      </c>
      <c r="F180" s="18">
        <f t="shared" si="41"/>
        <v>148000</v>
      </c>
      <c r="G180" s="18"/>
      <c r="H180" s="18">
        <f>F183</f>
        <v>161000</v>
      </c>
      <c r="I180" s="18">
        <f t="shared" si="41"/>
        <v>162000</v>
      </c>
      <c r="J180" s="36">
        <f t="shared" si="41"/>
        <v>170000</v>
      </c>
      <c r="K180" s="1"/>
      <c r="L180" s="1" t="s">
        <v>248</v>
      </c>
    </row>
    <row r="181" ht="15" customHeight="1">
      <c r="A181" s="1"/>
      <c r="B181" s="1" t="s">
        <v>249</v>
      </c>
      <c r="C181" s="18"/>
      <c r="D181" s="17">
        <f>-'Revenue summary'!D119</f>
        <v>-10240</v>
      </c>
      <c r="E181" s="17">
        <f>-'Revenue summary'!E119</f>
        <v>-10725</v>
      </c>
      <c r="F181" s="17">
        <f>-'Revenue summary'!F119</f>
        <v>-11783</v>
      </c>
      <c r="G181" s="18"/>
      <c r="H181" s="17">
        <f>-'Revenue summary'!H119</f>
        <v>-10778</v>
      </c>
      <c r="I181" s="17">
        <f>-'Revenue summary'!I119</f>
        <v>-11672</v>
      </c>
      <c r="J181" s="30">
        <f>-'Revenue summary'!J119</f>
        <v>-11835.527533703227</v>
      </c>
      <c r="K181" s="1"/>
      <c r="L181" s="1" t="s">
        <v>250</v>
      </c>
    </row>
    <row r="182" ht="15" customHeight="1">
      <c r="A182" s="1"/>
      <c r="B182" s="1" t="s">
        <v>149</v>
      </c>
      <c r="C182" s="18"/>
      <c r="D182" s="18">
        <f t="shared" si="42" ref="D182:I182">D183-D180-D181</f>
        <v>29240</v>
      </c>
      <c r="E182" s="18">
        <f t="shared" si="42"/>
        <v>14725</v>
      </c>
      <c r="F182" s="18">
        <f t="shared" si="42"/>
        <v>24783</v>
      </c>
      <c r="G182" s="18"/>
      <c r="H182" s="18">
        <f t="shared" si="42"/>
        <v>11778</v>
      </c>
      <c r="I182" s="18">
        <f t="shared" si="42"/>
        <v>19672</v>
      </c>
      <c r="J182" s="36">
        <f>-J181*J185</f>
        <v>14202.633040443872</v>
      </c>
      <c r="K182" s="1"/>
      <c r="L182" s="1"/>
    </row>
    <row r="183" ht="15" customHeight="1">
      <c r="A183" s="1"/>
      <c r="B183" s="4" t="s">
        <v>251</v>
      </c>
      <c r="C183" s="69">
        <f>'Revenue summary'!C143</f>
        <v>125000</v>
      </c>
      <c r="D183" s="69">
        <f>'Revenue summary'!D143</f>
        <v>144000</v>
      </c>
      <c r="E183" s="69">
        <f>'Revenue summary'!E143</f>
        <v>148000</v>
      </c>
      <c r="F183" s="69">
        <f>'Revenue summary'!F143</f>
        <v>161000</v>
      </c>
      <c r="G183" s="33"/>
      <c r="H183" s="69">
        <f>'Revenue summary'!H143</f>
        <v>162000</v>
      </c>
      <c r="I183" s="69">
        <f>'Revenue summary'!I143</f>
        <v>170000</v>
      </c>
      <c r="J183" s="34">
        <f>J180+J182+J181</f>
        <v>172367.10550674066</v>
      </c>
      <c r="K183" s="1" t="s">
        <v>95</v>
      </c>
      <c r="L183" s="1"/>
    </row>
    <row r="184" ht="15" customHeight="1">
      <c r="A184" s="1"/>
      <c r="B184" s="1" t="s">
        <v>161</v>
      </c>
      <c r="C184" s="18"/>
      <c r="D184" s="18">
        <f t="shared" si="43" ref="D184:J184">IF(COUNT(D180,D183)&lt;2,"n/a",(D180+D183)/2)</f>
        <v>134500</v>
      </c>
      <c r="E184" s="18">
        <f t="shared" si="43"/>
        <v>146000</v>
      </c>
      <c r="F184" s="18">
        <f t="shared" si="43"/>
        <v>154500</v>
      </c>
      <c r="G184" s="18"/>
      <c r="H184" s="18">
        <f t="shared" si="43"/>
        <v>161500</v>
      </c>
      <c r="I184" s="18">
        <f t="shared" si="43"/>
        <v>166000</v>
      </c>
      <c r="J184" s="36">
        <f t="shared" si="43"/>
        <v>171183.5527533703</v>
      </c>
      <c r="K184" s="1"/>
      <c r="L184" s="1"/>
    </row>
    <row r="185" ht="15" customHeight="1">
      <c r="A185" s="1"/>
      <c r="B185" s="1" t="s">
        <v>252</v>
      </c>
      <c r="C185" s="50"/>
      <c r="D185" s="50">
        <f t="shared" si="44" ref="D185:I185">IF(COUNT(D182,D181)&lt;2,"n/a",D182/-D181)</f>
        <v>2.85546875</v>
      </c>
      <c r="E185" s="50">
        <f t="shared" si="44"/>
        <v>1.372960372960373</v>
      </c>
      <c r="F185" s="50">
        <f t="shared" si="44"/>
        <v>2.1032843927692437</v>
      </c>
      <c r="G185" s="50"/>
      <c r="H185" s="50">
        <f t="shared" si="44"/>
        <v>1.092781592132121</v>
      </c>
      <c r="I185" s="50">
        <f t="shared" si="44"/>
        <v>1.6854009595613433</v>
      </c>
      <c r="J185" s="51">
        <v>1.2</v>
      </c>
      <c r="K185" s="1"/>
      <c r="L185" s="1" t="s">
        <v>231</v>
      </c>
    </row>
    <row r="186" ht="15" customHeight="1">
      <c r="A186" s="1"/>
      <c r="B186" s="5" t="s">
        <v>253</v>
      </c>
      <c r="C186" s="19"/>
      <c r="D186" s="19"/>
      <c r="E186" s="19"/>
      <c r="F186" s="19"/>
      <c r="G186" s="19"/>
      <c r="H186" s="19">
        <f t="shared" si="45" ref="H186:J186">IF(COUNT(H183,C183)&lt;2,"n/a",IF(H183*C183&lt;=0,"n/m",H183/C183-1))</f>
        <v>0.29600000000000004</v>
      </c>
      <c r="I186" s="19">
        <f t="shared" si="45"/>
        <v>0.18055555555555558</v>
      </c>
      <c r="J186" s="32">
        <f t="shared" si="45"/>
        <v>0.1646426047752747</v>
      </c>
      <c r="K186" s="1"/>
      <c r="L186" s="1"/>
    </row>
    <row r="187" ht="15" customHeight="1">
      <c r="A187" s="1"/>
      <c r="B187" s="1" t="s">
        <v>254</v>
      </c>
      <c r="C187" s="18"/>
      <c r="D187" s="18">
        <f t="shared" si="46" ref="D187:J187">IF(COUNT(D183,C183)&lt;2,"n/a",D183-C183)</f>
        <v>19000</v>
      </c>
      <c r="E187" s="18">
        <f t="shared" si="46"/>
        <v>4000</v>
      </c>
      <c r="F187" s="18">
        <f t="shared" si="46"/>
        <v>13000</v>
      </c>
      <c r="G187" s="18"/>
      <c r="H187" s="18">
        <f>IF(COUNT(H183,F183)&lt;2,"n/a",H183-F183)</f>
        <v>1000</v>
      </c>
      <c r="I187" s="18">
        <f t="shared" si="46"/>
        <v>8000</v>
      </c>
      <c r="J187" s="36">
        <f t="shared" si="46"/>
        <v>2367.105506740656</v>
      </c>
      <c r="K187" s="1"/>
      <c r="L187" s="1"/>
    </row>
    <row r="188" ht="15" customHeight="1">
      <c r="A188" s="1"/>
      <c r="B188" s="5" t="s">
        <v>255</v>
      </c>
      <c r="C188" s="43"/>
      <c r="D188" s="43"/>
      <c r="E188" s="43"/>
      <c r="F188" s="43"/>
      <c r="G188" s="43"/>
      <c r="H188" s="43" t="str">
        <f t="shared" si="47" ref="H188:J188">IF(COUNT(H182,C182)&lt;2,"n/a",IF(H182*C182&lt;=0,"n/m",H182/C182-1))</f>
        <v>n/a</v>
      </c>
      <c r="I188" s="43">
        <f t="shared" si="47"/>
        <v>-0.3272229822161423</v>
      </c>
      <c r="J188" s="44">
        <f t="shared" si="47"/>
        <v>-0.035474835963064666</v>
      </c>
      <c r="K188" s="1"/>
      <c r="L188" s="1"/>
    </row>
    <row r="189" ht="15" customHeight="1">
      <c r="A189" s="1"/>
      <c r="B189" s="1" t="s">
        <v>256</v>
      </c>
      <c r="C189" s="55"/>
      <c r="D189" s="55" t="str">
        <f t="shared" si="48" ref="D189:J189">IF(COUNT(D182,C182)&lt;2,"n/a",D182-C182)</f>
        <v>n/a</v>
      </c>
      <c r="E189" s="55">
        <f t="shared" si="48"/>
        <v>-14515</v>
      </c>
      <c r="F189" s="55">
        <f t="shared" si="48"/>
        <v>10058</v>
      </c>
      <c r="G189" s="55"/>
      <c r="H189" s="55">
        <f>IF(COUNT(H182,F182)&lt;2,"n/a",H182-F182)</f>
        <v>-13005</v>
      </c>
      <c r="I189" s="55">
        <f t="shared" si="48"/>
        <v>7894</v>
      </c>
      <c r="J189" s="56">
        <f t="shared" si="48"/>
        <v>-5469.366959556128</v>
      </c>
      <c r="K189" s="1"/>
      <c r="L189" s="1"/>
    </row>
    <row r="190" ht="15" customHeight="1">
      <c r="A190" s="1"/>
      <c r="B190" s="1" t="s">
        <v>162</v>
      </c>
      <c r="C190" s="55"/>
      <c r="D190" s="55" t="str">
        <f t="shared" si="49" ref="D190:J191">IF(COUNT(D184,C184)&lt;2,"n/a",D184-C184)</f>
        <v>n/a</v>
      </c>
      <c r="E190" s="55">
        <f t="shared" si="49"/>
        <v>11500</v>
      </c>
      <c r="F190" s="55">
        <f t="shared" si="49"/>
        <v>8500</v>
      </c>
      <c r="G190" s="55"/>
      <c r="H190" s="55">
        <f t="shared" si="50" ref="H190:H191">IF(COUNT(H184,F184)&lt;2,"n/a",H184-F184)</f>
        <v>7000</v>
      </c>
      <c r="I190" s="55">
        <f t="shared" si="49"/>
        <v>4500</v>
      </c>
      <c r="J190" s="56">
        <f t="shared" si="49"/>
        <v>5183.552753370313</v>
      </c>
      <c r="K190" s="1"/>
      <c r="L190" s="1"/>
    </row>
    <row r="191" ht="15" customHeight="1">
      <c r="A191" s="1"/>
      <c r="B191" s="1" t="s">
        <v>154</v>
      </c>
      <c r="C191" s="53"/>
      <c r="D191" s="53" t="str">
        <f t="shared" si="49"/>
        <v>n/a</v>
      </c>
      <c r="E191" s="53">
        <f t="shared" si="49"/>
        <v>-1.482508377039627</v>
      </c>
      <c r="F191" s="53">
        <f t="shared" si="49"/>
        <v>0.7303240198088707</v>
      </c>
      <c r="G191" s="53"/>
      <c r="H191" s="53">
        <f t="shared" si="50"/>
        <v>-1.0105028006371228</v>
      </c>
      <c r="I191" s="53">
        <f t="shared" si="49"/>
        <v>0.5926193674292224</v>
      </c>
      <c r="J191" s="54">
        <f t="shared" si="49"/>
        <v>-0.4854009595613433</v>
      </c>
      <c r="K191" s="1"/>
      <c r="L191" s="1"/>
    </row>
    <row r="192" ht="15" customHeight="1">
      <c r="A192" s="1"/>
      <c r="B192" s="1" t="s">
        <v>155</v>
      </c>
      <c r="C192" s="53"/>
      <c r="D192" s="53"/>
      <c r="E192" s="53"/>
      <c r="F192" s="53"/>
      <c r="G192" s="53"/>
      <c r="H192" s="53" t="str">
        <f t="shared" si="51" ref="H192:J192">IF(COUNT(H185,C185)&lt;2,"n/a",H185-C185)</f>
        <v>n/a</v>
      </c>
      <c r="I192" s="53">
        <f t="shared" si="51"/>
        <v>-1.1700677904386567</v>
      </c>
      <c r="J192" s="54">
        <f t="shared" si="51"/>
        <v>-0.17296037296037303</v>
      </c>
      <c r="K192" s="1"/>
      <c r="L192" s="1"/>
    </row>
    <row r="193" ht="15" customHeight="1">
      <c r="A193" s="1"/>
      <c r="B193" s="5" t="s">
        <v>257</v>
      </c>
      <c r="C193" s="43"/>
      <c r="D193" s="43"/>
      <c r="E193" s="43"/>
      <c r="F193" s="43"/>
      <c r="G193" s="43"/>
      <c r="H193" s="43" t="str">
        <f t="shared" si="52" ref="H193:J193">IF(COUNT(H184,C184)&lt;2,"n/a",IF(H184*C184&lt;=0,"n/m",H184/C184-1))</f>
        <v>n/a</v>
      </c>
      <c r="I193" s="43">
        <f t="shared" si="52"/>
        <v>0.23420074349442377</v>
      </c>
      <c r="J193" s="44">
        <f t="shared" si="52"/>
        <v>0.17249008735185156</v>
      </c>
      <c r="K193" s="1"/>
      <c r="L193" s="1"/>
    </row>
    <row r="194" ht="15" customHeight="1">
      <c r="A194" s="1"/>
      <c r="B194" s="1"/>
      <c r="C194" s="1"/>
      <c r="D194" s="1"/>
      <c r="E194" s="1"/>
      <c r="F194" s="1"/>
      <c r="G194" s="1"/>
      <c r="H194" s="1"/>
      <c r="I194" s="1"/>
      <c r="J194" s="29"/>
      <c r="K194" s="1"/>
      <c r="L194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7DF4E98-C9C7-1458-34F8-00DB66D03BC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6.00390625" customWidth="1"/>
    <col min="3" max="10" width="12.00390625" customWidth="1"/>
    <col min="11" max="11" width="20.00390625" customWidth="1"/>
    <col min="12" max="12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4" t="s">
        <v>258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ht="15" customHeight="1">
      <c r="A6" s="1"/>
      <c r="B6" s="6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8" t="s">
        <v>12</v>
      </c>
      <c r="K6" s="6" t="s">
        <v>13</v>
      </c>
      <c r="L6" s="6" t="s">
        <v>14</v>
      </c>
    </row>
    <row r="7" ht="15" customHeight="1">
      <c r="A7" s="1"/>
      <c r="B7" s="9" t="s">
        <v>15</v>
      </c>
      <c r="C7" s="10">
        <v>45747</v>
      </c>
      <c r="D7" s="10">
        <v>45838</v>
      </c>
      <c r="E7" s="10">
        <v>45930</v>
      </c>
      <c r="F7" s="10">
        <v>46022</v>
      </c>
      <c r="G7" s="10">
        <v>46022</v>
      </c>
      <c r="H7" s="10">
        <v>46112</v>
      </c>
      <c r="I7" s="10">
        <v>46203</v>
      </c>
      <c r="J7" s="11">
        <v>46295</v>
      </c>
      <c r="K7" s="9"/>
      <c r="L7" s="9"/>
    </row>
    <row r="8" ht="15" customHeight="1">
      <c r="A8" s="1"/>
      <c r="B8" s="12" t="s">
        <v>16</v>
      </c>
      <c r="C8" s="13">
        <f>C7-EOMONTH(C7,-3)</f>
        <v>90</v>
      </c>
      <c r="D8" s="13">
        <f t="shared" si="0" ref="D8:J8">D7-C7</f>
        <v>91</v>
      </c>
      <c r="E8" s="13">
        <f t="shared" si="0"/>
        <v>92</v>
      </c>
      <c r="F8" s="13">
        <f t="shared" si="0"/>
        <v>92</v>
      </c>
      <c r="G8" s="13">
        <f>G7-EOMONTH(G7,-12)</f>
        <v>365</v>
      </c>
      <c r="H8" s="13">
        <f>H7-F7</f>
        <v>90</v>
      </c>
      <c r="I8" s="13">
        <f t="shared" si="0"/>
        <v>91</v>
      </c>
      <c r="J8" s="14">
        <f t="shared" si="0"/>
        <v>92</v>
      </c>
      <c r="K8" s="12"/>
      <c r="L8" s="12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15" customHeight="1">
      <c r="A10" s="1"/>
      <c r="B10" s="4" t="s">
        <v>259</v>
      </c>
      <c r="C10" s="1"/>
      <c r="D10" s="1"/>
      <c r="E10" s="1"/>
      <c r="F10" s="1"/>
      <c r="G10" s="1"/>
      <c r="H10" s="1"/>
      <c r="I10" s="1"/>
      <c r="J10" s="29"/>
      <c r="K10" s="1"/>
      <c r="L10" s="1"/>
    </row>
    <row r="11" ht="15" customHeight="1">
      <c r="A11" s="1"/>
      <c r="B11" s="1" t="s">
        <v>260</v>
      </c>
      <c r="C11" s="58">
        <v>250</v>
      </c>
      <c r="D11" s="58">
        <v>227</v>
      </c>
      <c r="E11" s="58">
        <v>266</v>
      </c>
      <c r="F11" s="58">
        <v>312</v>
      </c>
      <c r="G11" s="21">
        <f t="shared" si="3" ref="G11:G167">SUM(C11:F11)</f>
        <v>1055</v>
      </c>
      <c r="H11" s="58">
        <v>235</v>
      </c>
      <c r="I11" s="58">
        <v>260</v>
      </c>
      <c r="J11" s="59">
        <v>280</v>
      </c>
      <c r="K11" s="1" t="s">
        <v>261</v>
      </c>
      <c r="L11" s="1" t="s">
        <v>262</v>
      </c>
    </row>
    <row r="12" ht="15" customHeight="1">
      <c r="A12" s="1"/>
      <c r="B12" s="5" t="s">
        <v>73</v>
      </c>
      <c r="C12" s="19"/>
      <c r="D12" s="19"/>
      <c r="E12" s="19"/>
      <c r="F12" s="19"/>
      <c r="G12" s="19"/>
      <c r="H12" s="19">
        <f t="shared" si="1" ref="H12:J174">IF(COUNT(H11,C11)&lt;2,"n/a",IF(H11*C11&lt;=0,"n/m",H11/C11-1))</f>
        <v>-0.06000000000000005</v>
      </c>
      <c r="I12" s="19">
        <f t="shared" si="1"/>
        <v>0.14537444933920707</v>
      </c>
      <c r="J12" s="32">
        <f t="shared" si="1"/>
        <v>0.05263157894736836</v>
      </c>
      <c r="K12" s="1"/>
      <c r="L12" s="1"/>
    </row>
    <row r="13" ht="15" customHeight="1">
      <c r="A13" s="1"/>
      <c r="B13" s="1" t="s">
        <v>170</v>
      </c>
      <c r="C13" s="21"/>
      <c r="D13" s="21">
        <f t="shared" si="2" ref="D13:J169">IF(COUNT(D11,C11)&lt;2,"n/a",D11-C11)</f>
        <v>-23</v>
      </c>
      <c r="E13" s="21">
        <f t="shared" si="2"/>
        <v>39</v>
      </c>
      <c r="F13" s="21">
        <f t="shared" si="2"/>
        <v>46</v>
      </c>
      <c r="G13" s="21"/>
      <c r="H13" s="21">
        <f t="shared" si="4" ref="H13:H169">IF(COUNT(H11,F11)&lt;2,"n/a",H11-F11)</f>
        <v>-77</v>
      </c>
      <c r="I13" s="21">
        <f t="shared" si="2"/>
        <v>25</v>
      </c>
      <c r="J13" s="60">
        <f t="shared" si="2"/>
        <v>20</v>
      </c>
      <c r="K13" s="1"/>
      <c r="L13" s="1"/>
    </row>
    <row r="14" ht="15" customHeight="1">
      <c r="A14" s="1"/>
      <c r="B14" s="1" t="s">
        <v>263</v>
      </c>
      <c r="C14" s="58">
        <v>51</v>
      </c>
      <c r="D14" s="58">
        <v>40</v>
      </c>
      <c r="E14" s="58">
        <v>63</v>
      </c>
      <c r="F14" s="58">
        <v>73</v>
      </c>
      <c r="G14" s="21">
        <f t="shared" si="3"/>
        <v>227</v>
      </c>
      <c r="H14" s="58">
        <v>61</v>
      </c>
      <c r="I14" s="58">
        <v>70</v>
      </c>
      <c r="J14" s="59">
        <v>62</v>
      </c>
      <c r="K14" s="1" t="s">
        <v>261</v>
      </c>
      <c r="L14" s="1" t="s">
        <v>262</v>
      </c>
    </row>
    <row r="15" ht="15" customHeight="1">
      <c r="A15" s="1"/>
      <c r="B15" s="5" t="s">
        <v>73</v>
      </c>
      <c r="C15" s="19"/>
      <c r="D15" s="19"/>
      <c r="E15" s="19"/>
      <c r="F15" s="19"/>
      <c r="G15" s="19"/>
      <c r="H15" s="19">
        <f t="shared" si="1"/>
        <v>0.196078431372549</v>
      </c>
      <c r="I15" s="19">
        <f t="shared" si="1"/>
        <v>0.75</v>
      </c>
      <c r="J15" s="32">
        <f t="shared" si="1"/>
        <v>-0.015873015873015928</v>
      </c>
      <c r="K15" s="1"/>
      <c r="L15" s="1"/>
    </row>
    <row r="16" ht="15" customHeight="1">
      <c r="A16" s="1"/>
      <c r="B16" s="1" t="s">
        <v>170</v>
      </c>
      <c r="C16" s="21"/>
      <c r="D16" s="21">
        <f t="shared" si="2"/>
        <v>-11</v>
      </c>
      <c r="E16" s="21">
        <f t="shared" si="2"/>
        <v>23</v>
      </c>
      <c r="F16" s="21">
        <f t="shared" si="2"/>
        <v>10</v>
      </c>
      <c r="G16" s="21"/>
      <c r="H16" s="21">
        <f t="shared" si="4"/>
        <v>-12</v>
      </c>
      <c r="I16" s="21">
        <f t="shared" si="2"/>
        <v>9</v>
      </c>
      <c r="J16" s="60">
        <f t="shared" si="2"/>
        <v>-8</v>
      </c>
      <c r="K16" s="1"/>
      <c r="L16" s="1"/>
    </row>
    <row r="17" ht="15" customHeight="1">
      <c r="A17" s="1"/>
      <c r="B17" s="1" t="s">
        <v>264</v>
      </c>
      <c r="C17" s="58">
        <v>518</v>
      </c>
      <c r="D17" s="58">
        <v>521</v>
      </c>
      <c r="E17" s="58">
        <v>516</v>
      </c>
      <c r="F17" s="58">
        <v>571</v>
      </c>
      <c r="G17" s="21">
        <f t="shared" si="3"/>
        <v>2126</v>
      </c>
      <c r="H17" s="58">
        <v>497</v>
      </c>
      <c r="I17" s="58">
        <v>522</v>
      </c>
      <c r="J17" s="59">
        <v>515</v>
      </c>
      <c r="K17" s="1" t="s">
        <v>261</v>
      </c>
      <c r="L17" s="1" t="s">
        <v>262</v>
      </c>
    </row>
    <row r="18" ht="15" customHeight="1">
      <c r="A18" s="1"/>
      <c r="B18" s="5" t="s">
        <v>73</v>
      </c>
      <c r="C18" s="19"/>
      <c r="D18" s="19"/>
      <c r="E18" s="19"/>
      <c r="F18" s="19"/>
      <c r="G18" s="19"/>
      <c r="H18" s="19">
        <f t="shared" si="1"/>
        <v>-0.04054054054054057</v>
      </c>
      <c r="I18" s="19">
        <f t="shared" si="1"/>
        <v>0.0019193857965451588</v>
      </c>
      <c r="J18" s="32">
        <f t="shared" si="1"/>
        <v>-0.0019379844961240345</v>
      </c>
      <c r="K18" s="1"/>
      <c r="L18" s="1"/>
    </row>
    <row r="19" ht="15" customHeight="1">
      <c r="A19" s="1"/>
      <c r="B19" s="1" t="s">
        <v>170</v>
      </c>
      <c r="C19" s="21"/>
      <c r="D19" s="21">
        <f t="shared" si="2"/>
        <v>3</v>
      </c>
      <c r="E19" s="21">
        <f t="shared" si="2"/>
        <v>-5</v>
      </c>
      <c r="F19" s="21">
        <f t="shared" si="2"/>
        <v>55</v>
      </c>
      <c r="G19" s="21"/>
      <c r="H19" s="21">
        <f t="shared" si="4"/>
        <v>-74</v>
      </c>
      <c r="I19" s="21">
        <f t="shared" si="2"/>
        <v>25</v>
      </c>
      <c r="J19" s="60">
        <f t="shared" si="2"/>
        <v>-7</v>
      </c>
      <c r="K19" s="1"/>
      <c r="L19" s="1"/>
    </row>
    <row r="20" ht="15" customHeight="1">
      <c r="A20" s="1"/>
      <c r="B20" s="4" t="s">
        <v>265</v>
      </c>
      <c r="C20" s="70">
        <f t="shared" si="5" ref="C20:J20">SUM(C11,C14,C17)</f>
        <v>819</v>
      </c>
      <c r="D20" s="70">
        <f t="shared" si="5"/>
        <v>788</v>
      </c>
      <c r="E20" s="70">
        <f t="shared" si="5"/>
        <v>845</v>
      </c>
      <c r="F20" s="70">
        <f t="shared" si="5"/>
        <v>956</v>
      </c>
      <c r="G20" s="70">
        <f t="shared" si="5"/>
        <v>3408</v>
      </c>
      <c r="H20" s="70">
        <f t="shared" si="5"/>
        <v>793</v>
      </c>
      <c r="I20" s="70">
        <f t="shared" si="5"/>
        <v>852</v>
      </c>
      <c r="J20" s="71">
        <f t="shared" si="5"/>
        <v>857</v>
      </c>
      <c r="K20" s="1"/>
      <c r="L20" s="1"/>
    </row>
    <row r="21" ht="15" customHeight="1">
      <c r="A21" s="1"/>
      <c r="B21" s="5" t="s">
        <v>73</v>
      </c>
      <c r="C21" s="19"/>
      <c r="D21" s="19"/>
      <c r="E21" s="19"/>
      <c r="F21" s="19"/>
      <c r="G21" s="19"/>
      <c r="H21" s="19">
        <f t="shared" si="1"/>
        <v>-0.031746031746031744</v>
      </c>
      <c r="I21" s="19">
        <f t="shared" si="1"/>
        <v>0.08121827411167515</v>
      </c>
      <c r="J21" s="32">
        <f t="shared" si="1"/>
        <v>0.014201183431952646</v>
      </c>
      <c r="K21" s="1"/>
      <c r="L21" s="1"/>
    </row>
    <row r="22" ht="15" customHeight="1">
      <c r="A22" s="1"/>
      <c r="B22" s="1" t="s">
        <v>170</v>
      </c>
      <c r="C22" s="21"/>
      <c r="D22" s="21">
        <f t="shared" si="2"/>
        <v>-31</v>
      </c>
      <c r="E22" s="21">
        <f t="shared" si="2"/>
        <v>57</v>
      </c>
      <c r="F22" s="21">
        <f t="shared" si="2"/>
        <v>111</v>
      </c>
      <c r="G22" s="21"/>
      <c r="H22" s="21">
        <f t="shared" si="4"/>
        <v>-163</v>
      </c>
      <c r="I22" s="21">
        <f t="shared" si="2"/>
        <v>59</v>
      </c>
      <c r="J22" s="60">
        <f t="shared" si="2"/>
        <v>5</v>
      </c>
      <c r="K22" s="1"/>
      <c r="L22" s="1"/>
    </row>
    <row r="23" ht="15" customHeight="1">
      <c r="A23" s="1"/>
      <c r="B23" s="5" t="s">
        <v>266</v>
      </c>
      <c r="C23" s="19">
        <f t="shared" si="6" ref="C23:J23">IF(COUNT(C11,C20)&lt;2,"n/a",C11/C20)</f>
        <v>0.3052503052503053</v>
      </c>
      <c r="D23" s="19">
        <f t="shared" si="6"/>
        <v>0.2880710659898477</v>
      </c>
      <c r="E23" s="19">
        <f t="shared" si="6"/>
        <v>0.31479289940828403</v>
      </c>
      <c r="F23" s="19">
        <f t="shared" si="6"/>
        <v>0.3263598326359833</v>
      </c>
      <c r="G23" s="19">
        <f t="shared" si="6"/>
        <v>0.3095657276995305</v>
      </c>
      <c r="H23" s="19">
        <f t="shared" si="6"/>
        <v>0.296343001261034</v>
      </c>
      <c r="I23" s="19">
        <f t="shared" si="6"/>
        <v>0.3051643192488263</v>
      </c>
      <c r="J23" s="32">
        <f t="shared" si="6"/>
        <v>0.3267211201866978</v>
      </c>
      <c r="K23" s="1"/>
      <c r="L23" s="1"/>
    </row>
    <row r="24" ht="15" customHeight="1">
      <c r="A24" s="1"/>
      <c r="B24" s="1"/>
      <c r="C24" s="1"/>
      <c r="D24" s="1"/>
      <c r="E24" s="1"/>
      <c r="F24" s="1"/>
      <c r="G24" s="1"/>
      <c r="H24" s="1"/>
      <c r="I24" s="1"/>
      <c r="J24" s="29"/>
      <c r="K24" s="1"/>
      <c r="L24" s="1"/>
    </row>
    <row r="25" ht="15" customHeight="1">
      <c r="A25" s="1"/>
      <c r="B25" s="4" t="s">
        <v>267</v>
      </c>
      <c r="C25" s="1"/>
      <c r="D25" s="1"/>
      <c r="E25" s="1"/>
      <c r="F25" s="1"/>
      <c r="G25" s="1"/>
      <c r="H25" s="1"/>
      <c r="I25" s="1"/>
      <c r="J25" s="29"/>
      <c r="K25" s="1"/>
      <c r="L25" s="1"/>
    </row>
    <row r="26" ht="15" customHeight="1">
      <c r="A26" s="1"/>
      <c r="B26" s="5" t="s">
        <v>176</v>
      </c>
      <c r="C26" s="65">
        <v>0.03</v>
      </c>
      <c r="D26" s="65">
        <v>0.15</v>
      </c>
      <c r="E26" s="65">
        <v>0.05</v>
      </c>
      <c r="F26" s="65">
        <v>0.28</v>
      </c>
      <c r="G26" s="19"/>
      <c r="H26" s="65">
        <v>-0.01</v>
      </c>
      <c r="I26" s="65">
        <v>-0.08</v>
      </c>
      <c r="J26" s="32">
        <f>(1+J12)*(1+J35)-1</f>
        <v>-0.030000000000000027</v>
      </c>
      <c r="K26" s="1" t="s">
        <v>95</v>
      </c>
      <c r="L26" s="1" t="s">
        <v>268</v>
      </c>
    </row>
    <row r="27" ht="15" customHeight="1">
      <c r="A27" s="1"/>
      <c r="B27" s="5" t="s">
        <v>143</v>
      </c>
      <c r="C27" s="48"/>
      <c r="D27" s="48"/>
      <c r="E27" s="48"/>
      <c r="F27" s="48"/>
      <c r="G27" s="48"/>
      <c r="H27" s="48">
        <f t="shared" si="7" ref="H27:J171">IF(COUNT(H26,C26)&lt;2,"n/a",(H26-C26)*10000)</f>
        <v>-400</v>
      </c>
      <c r="I27" s="48">
        <f t="shared" si="7"/>
        <v>-2300</v>
      </c>
      <c r="J27" s="49">
        <f t="shared" si="7"/>
        <v>-800.0000000000003</v>
      </c>
      <c r="K27" s="1"/>
      <c r="L27" s="1"/>
    </row>
    <row r="28" ht="15" customHeight="1">
      <c r="A28" s="1"/>
      <c r="B28" s="5" t="s">
        <v>128</v>
      </c>
      <c r="C28" s="48"/>
      <c r="D28" s="48">
        <f t="shared" si="8" ref="D28:J172">IF(COUNT(D26,C26)&lt;2,"n/a",(D26-C26)*10000)</f>
        <v>1200</v>
      </c>
      <c r="E28" s="48">
        <f t="shared" si="8"/>
        <v>-999.9999999999999</v>
      </c>
      <c r="F28" s="48">
        <f t="shared" si="8"/>
        <v>2300.0000000000005</v>
      </c>
      <c r="G28" s="48"/>
      <c r="H28" s="48">
        <f t="shared" si="9" ref="H28:H172">IF(COUNT(H26,F26)&lt;2,"n/a",(H26-F26)*10000)</f>
        <v>-2900.0000000000005</v>
      </c>
      <c r="I28" s="48">
        <f t="shared" si="8"/>
        <v>-700.0000000000001</v>
      </c>
      <c r="J28" s="49">
        <f t="shared" si="8"/>
        <v>499.9999999999998</v>
      </c>
      <c r="K28" s="1"/>
      <c r="L28" s="1"/>
    </row>
    <row r="29" ht="15" customHeight="1">
      <c r="A29" s="1"/>
      <c r="B29" s="5" t="s">
        <v>178</v>
      </c>
      <c r="C29" s="65">
        <v>0.28</v>
      </c>
      <c r="D29" s="65">
        <v>0.19</v>
      </c>
      <c r="E29" s="65">
        <v>0.23</v>
      </c>
      <c r="F29" s="65">
        <v>0.21</v>
      </c>
      <c r="G29" s="19"/>
      <c r="H29" s="65">
        <v>0.19</v>
      </c>
      <c r="I29" s="65">
        <v>0.25</v>
      </c>
      <c r="J29" s="66">
        <v>0.17</v>
      </c>
      <c r="K29" s="1" t="s">
        <v>95</v>
      </c>
      <c r="L29" s="1" t="s">
        <v>179</v>
      </c>
    </row>
    <row r="30" ht="15" customHeight="1">
      <c r="A30" s="1"/>
      <c r="B30" s="5" t="s">
        <v>143</v>
      </c>
      <c r="C30" s="48"/>
      <c r="D30" s="48"/>
      <c r="E30" s="48"/>
      <c r="F30" s="48"/>
      <c r="G30" s="48"/>
      <c r="H30" s="48">
        <f t="shared" si="7"/>
        <v>-900.0000000000002</v>
      </c>
      <c r="I30" s="48">
        <f t="shared" si="7"/>
        <v>600</v>
      </c>
      <c r="J30" s="49">
        <f t="shared" si="7"/>
        <v>-600</v>
      </c>
      <c r="K30" s="1"/>
      <c r="L30" s="1"/>
    </row>
    <row r="31" ht="15" customHeight="1">
      <c r="A31" s="1"/>
      <c r="B31" s="5" t="s">
        <v>128</v>
      </c>
      <c r="C31" s="48"/>
      <c r="D31" s="48">
        <f t="shared" si="8"/>
        <v>-900.0000000000002</v>
      </c>
      <c r="E31" s="48">
        <f t="shared" si="8"/>
        <v>400.00000000000006</v>
      </c>
      <c r="F31" s="48">
        <f t="shared" si="8"/>
        <v>-200.00000000000017</v>
      </c>
      <c r="G31" s="48"/>
      <c r="H31" s="48">
        <f t="shared" si="9"/>
        <v>-199.9999999999999</v>
      </c>
      <c r="I31" s="48">
        <f t="shared" si="8"/>
        <v>600</v>
      </c>
      <c r="J31" s="49">
        <f t="shared" si="8"/>
        <v>-799.9999999999999</v>
      </c>
      <c r="K31" s="1"/>
      <c r="L31" s="1"/>
    </row>
    <row r="32" ht="15" customHeight="1">
      <c r="A32" s="1"/>
      <c r="B32" s="5" t="s">
        <v>269</v>
      </c>
      <c r="C32" s="65">
        <v>0.04</v>
      </c>
      <c r="D32" s="65">
        <v>0</v>
      </c>
      <c r="E32" s="65">
        <v>0.15</v>
      </c>
      <c r="F32" s="65">
        <v>0.3</v>
      </c>
      <c r="G32" s="19"/>
      <c r="H32" s="65">
        <v>0.07</v>
      </c>
      <c r="I32" s="65">
        <v>0.23</v>
      </c>
      <c r="J32" s="32">
        <f>(1+J15)*(1+J38)-1</f>
        <v>-0.060001269841269855</v>
      </c>
      <c r="K32" s="1" t="s">
        <v>95</v>
      </c>
      <c r="L32" s="1" t="s">
        <v>268</v>
      </c>
    </row>
    <row r="33" ht="15" customHeight="1">
      <c r="A33" s="1"/>
      <c r="B33" s="5" t="s">
        <v>143</v>
      </c>
      <c r="C33" s="48"/>
      <c r="D33" s="48"/>
      <c r="E33" s="48"/>
      <c r="F33" s="48"/>
      <c r="G33" s="48"/>
      <c r="H33" s="48">
        <f t="shared" si="7"/>
        <v>300.00000000000006</v>
      </c>
      <c r="I33" s="48">
        <f t="shared" si="7"/>
        <v>2300</v>
      </c>
      <c r="J33" s="49">
        <f t="shared" si="7"/>
        <v>-2100.0126984126987</v>
      </c>
      <c r="K33" s="1"/>
      <c r="L33" s="1"/>
    </row>
    <row r="34" ht="15" customHeight="1">
      <c r="A34" s="1"/>
      <c r="B34" s="5" t="s">
        <v>128</v>
      </c>
      <c r="C34" s="48"/>
      <c r="D34" s="48">
        <f t="shared" si="8"/>
        <v>-400</v>
      </c>
      <c r="E34" s="48">
        <f t="shared" si="8"/>
        <v>1500</v>
      </c>
      <c r="F34" s="48">
        <f t="shared" si="8"/>
        <v>1500</v>
      </c>
      <c r="G34" s="48"/>
      <c r="H34" s="48">
        <f t="shared" si="9"/>
        <v>-2300</v>
      </c>
      <c r="I34" s="48">
        <f t="shared" si="8"/>
        <v>1600</v>
      </c>
      <c r="J34" s="49">
        <f t="shared" si="8"/>
        <v>-2900.0126984126982</v>
      </c>
      <c r="K34" s="1"/>
      <c r="L34" s="1"/>
    </row>
    <row r="35" ht="15" customHeight="1">
      <c r="A35" s="1"/>
      <c r="B35" s="5" t="s">
        <v>270</v>
      </c>
      <c r="C35" s="19"/>
      <c r="D35" s="19"/>
      <c r="E35" s="19"/>
      <c r="F35" s="19"/>
      <c r="G35" s="19"/>
      <c r="H35" s="19">
        <f t="shared" si="10" ref="H35:I35">IF(COUNT(H26,H12)&lt;2,"n/a",(1+H26)/(1+H12)-1)</f>
        <v>0.05319148936170226</v>
      </c>
      <c r="I35" s="19">
        <f t="shared" si="10"/>
        <v>-0.1967692307692307</v>
      </c>
      <c r="J35" s="66">
        <v>-0.0785</v>
      </c>
      <c r="K35" s="1"/>
      <c r="L35" s="1" t="s">
        <v>271</v>
      </c>
    </row>
    <row r="36" ht="15" customHeight="1">
      <c r="A36" s="1"/>
      <c r="B36" s="5" t="s">
        <v>143</v>
      </c>
      <c r="C36" s="67"/>
      <c r="D36" s="67"/>
      <c r="E36" s="67"/>
      <c r="F36" s="67"/>
      <c r="G36" s="67"/>
      <c r="H36" s="67" t="str">
        <f t="shared" si="7"/>
        <v>n/a</v>
      </c>
      <c r="I36" s="67" t="str">
        <f t="shared" si="7"/>
        <v>n/a</v>
      </c>
      <c r="J36" s="68" t="str">
        <f t="shared" si="7"/>
        <v>n/a</v>
      </c>
      <c r="K36" s="1"/>
      <c r="L36" s="1"/>
    </row>
    <row r="37" ht="15" customHeight="1">
      <c r="A37" s="1"/>
      <c r="B37" s="5" t="s">
        <v>128</v>
      </c>
      <c r="C37" s="67"/>
      <c r="D37" s="67" t="str">
        <f t="shared" si="8"/>
        <v>n/a</v>
      </c>
      <c r="E37" s="67" t="str">
        <f t="shared" si="8"/>
        <v>n/a</v>
      </c>
      <c r="F37" s="67" t="str">
        <f t="shared" si="8"/>
        <v>n/a</v>
      </c>
      <c r="G37" s="67"/>
      <c r="H37" s="67" t="str">
        <f t="shared" si="9"/>
        <v>n/a</v>
      </c>
      <c r="I37" s="67">
        <f t="shared" si="8"/>
        <v>-2499.6072013093294</v>
      </c>
      <c r="J37" s="68">
        <f t="shared" si="8"/>
        <v>1182.692307692307</v>
      </c>
      <c r="K37" s="1"/>
      <c r="L37" s="1"/>
    </row>
    <row r="38" ht="15" customHeight="1">
      <c r="A38" s="1"/>
      <c r="B38" s="5" t="s">
        <v>272</v>
      </c>
      <c r="C38" s="19"/>
      <c r="D38" s="19"/>
      <c r="E38" s="19"/>
      <c r="F38" s="19"/>
      <c r="G38" s="19"/>
      <c r="H38" s="19">
        <f t="shared" si="11" ref="H38:I38">IF(COUNT(H32,H15)&lt;2,"n/a",(1+H32)/(1+H15)-1)</f>
        <v>-0.10540983606557375</v>
      </c>
      <c r="I38" s="19">
        <f t="shared" si="11"/>
        <v>-0.29714285714285715</v>
      </c>
      <c r="J38" s="66">
        <v>-0.04484</v>
      </c>
      <c r="K38" s="1"/>
      <c r="L38" s="1" t="s">
        <v>273</v>
      </c>
    </row>
    <row r="39" ht="15" customHeight="1">
      <c r="A39" s="1"/>
      <c r="B39" s="5" t="s">
        <v>143</v>
      </c>
      <c r="C39" s="67"/>
      <c r="D39" s="67"/>
      <c r="E39" s="67"/>
      <c r="F39" s="67"/>
      <c r="G39" s="67"/>
      <c r="H39" s="67" t="str">
        <f t="shared" si="7"/>
        <v>n/a</v>
      </c>
      <c r="I39" s="67" t="str">
        <f t="shared" si="7"/>
        <v>n/a</v>
      </c>
      <c r="J39" s="68" t="str">
        <f t="shared" si="7"/>
        <v>n/a</v>
      </c>
      <c r="K39" s="1"/>
      <c r="L39" s="1"/>
    </row>
    <row r="40" ht="15" customHeight="1">
      <c r="A40" s="1"/>
      <c r="B40" s="5" t="s">
        <v>128</v>
      </c>
      <c r="C40" s="67"/>
      <c r="D40" s="67" t="str">
        <f t="shared" si="8"/>
        <v>n/a</v>
      </c>
      <c r="E40" s="67" t="str">
        <f t="shared" si="8"/>
        <v>n/a</v>
      </c>
      <c r="F40" s="67" t="str">
        <f t="shared" si="8"/>
        <v>n/a</v>
      </c>
      <c r="G40" s="67"/>
      <c r="H40" s="67" t="str">
        <f t="shared" si="9"/>
        <v>n/a</v>
      </c>
      <c r="I40" s="67">
        <f t="shared" si="8"/>
        <v>-1917.330210772834</v>
      </c>
      <c r="J40" s="68">
        <f t="shared" si="8"/>
        <v>2523.0285714285715</v>
      </c>
      <c r="K40" s="1"/>
      <c r="L40" s="1"/>
    </row>
    <row r="41" ht="15" customHeight="1">
      <c r="A41" s="1"/>
      <c r="B41" s="5" t="s">
        <v>183</v>
      </c>
      <c r="C41" s="19"/>
      <c r="D41" s="19"/>
      <c r="E41" s="19"/>
      <c r="F41" s="19"/>
      <c r="G41" s="19"/>
      <c r="H41" s="19"/>
      <c r="I41" s="19"/>
      <c r="J41" s="66">
        <v>0.7</v>
      </c>
      <c r="K41" s="1"/>
      <c r="L41" s="1" t="s">
        <v>274</v>
      </c>
    </row>
    <row r="42" ht="15" customHeight="1">
      <c r="A42" s="1"/>
      <c r="B42" s="5" t="s">
        <v>143</v>
      </c>
      <c r="C42" s="67"/>
      <c r="D42" s="67"/>
      <c r="E42" s="67"/>
      <c r="F42" s="67"/>
      <c r="G42" s="67"/>
      <c r="H42" s="67" t="str">
        <f t="shared" si="7"/>
        <v>n/a</v>
      </c>
      <c r="I42" s="67" t="str">
        <f t="shared" si="7"/>
        <v>n/a</v>
      </c>
      <c r="J42" s="68" t="str">
        <f t="shared" si="7"/>
        <v>n/a</v>
      </c>
      <c r="K42" s="1"/>
      <c r="L42" s="1"/>
    </row>
    <row r="43" ht="15" customHeight="1">
      <c r="A43" s="1"/>
      <c r="B43" s="5" t="s">
        <v>128</v>
      </c>
      <c r="C43" s="67"/>
      <c r="D43" s="67" t="str">
        <f t="shared" si="8"/>
        <v>n/a</v>
      </c>
      <c r="E43" s="67" t="str">
        <f t="shared" si="8"/>
        <v>n/a</v>
      </c>
      <c r="F43" s="67" t="str">
        <f t="shared" si="8"/>
        <v>n/a</v>
      </c>
      <c r="G43" s="67"/>
      <c r="H43" s="67" t="str">
        <f t="shared" si="9"/>
        <v>n/a</v>
      </c>
      <c r="I43" s="67" t="str">
        <f t="shared" si="8"/>
        <v>n/a</v>
      </c>
      <c r="J43" s="68" t="str">
        <f t="shared" si="8"/>
        <v>n/a</v>
      </c>
      <c r="K43" s="1"/>
      <c r="L43" s="1"/>
    </row>
    <row r="44" ht="15" customHeight="1">
      <c r="A44" s="1"/>
      <c r="B44" s="5" t="s">
        <v>186</v>
      </c>
      <c r="C44" s="19"/>
      <c r="D44" s="19"/>
      <c r="E44" s="19"/>
      <c r="F44" s="19"/>
      <c r="G44" s="19"/>
      <c r="H44" s="19"/>
      <c r="I44" s="19"/>
      <c r="J44" s="32">
        <f>J41*J29+(1-J41)*J26</f>
        <v>0.10999999999999999</v>
      </c>
      <c r="K44" s="1"/>
      <c r="L44" s="1"/>
    </row>
    <row r="45" ht="15" customHeight="1">
      <c r="A45" s="1"/>
      <c r="B45" s="5" t="s">
        <v>143</v>
      </c>
      <c r="C45" s="67"/>
      <c r="D45" s="67"/>
      <c r="E45" s="67"/>
      <c r="F45" s="67"/>
      <c r="G45" s="67"/>
      <c r="H45" s="67" t="str">
        <f t="shared" si="7"/>
        <v>n/a</v>
      </c>
      <c r="I45" s="67" t="str">
        <f t="shared" si="7"/>
        <v>n/a</v>
      </c>
      <c r="J45" s="68" t="str">
        <f t="shared" si="7"/>
        <v>n/a</v>
      </c>
      <c r="K45" s="1"/>
      <c r="L45" s="1"/>
    </row>
    <row r="46" ht="15" customHeight="1">
      <c r="A46" s="1"/>
      <c r="B46" s="5" t="s">
        <v>128</v>
      </c>
      <c r="C46" s="67"/>
      <c r="D46" s="67" t="str">
        <f t="shared" si="8"/>
        <v>n/a</v>
      </c>
      <c r="E46" s="67" t="str">
        <f t="shared" si="8"/>
        <v>n/a</v>
      </c>
      <c r="F46" s="67" t="str">
        <f t="shared" si="8"/>
        <v>n/a</v>
      </c>
      <c r="G46" s="67"/>
      <c r="H46" s="67" t="str">
        <f t="shared" si="9"/>
        <v>n/a</v>
      </c>
      <c r="I46" s="67" t="str">
        <f t="shared" si="8"/>
        <v>n/a</v>
      </c>
      <c r="J46" s="68" t="str">
        <f t="shared" si="8"/>
        <v>n/a</v>
      </c>
      <c r="K46" s="1"/>
      <c r="L46" s="1"/>
    </row>
    <row r="47" ht="15" customHeight="1">
      <c r="A47" s="1"/>
      <c r="B47" s="1"/>
      <c r="C47" s="1"/>
      <c r="D47" s="1"/>
      <c r="E47" s="1"/>
      <c r="F47" s="1"/>
      <c r="G47" s="1"/>
      <c r="H47" s="1"/>
      <c r="I47" s="1"/>
      <c r="J47" s="29"/>
      <c r="K47" s="1"/>
      <c r="L47" s="1"/>
    </row>
    <row r="48" ht="15" customHeight="1">
      <c r="A48" s="1"/>
      <c r="B48" s="4" t="s">
        <v>187</v>
      </c>
      <c r="C48" s="1"/>
      <c r="D48" s="1"/>
      <c r="E48" s="1"/>
      <c r="F48" s="1"/>
      <c r="G48" s="1"/>
      <c r="H48" s="1"/>
      <c r="I48" s="1"/>
      <c r="J48" s="29"/>
      <c r="K48" s="1"/>
      <c r="L48" s="1"/>
    </row>
    <row r="49" ht="15" customHeight="1">
      <c r="A49" s="1"/>
      <c r="B49" s="1" t="s">
        <v>132</v>
      </c>
      <c r="C49" s="35">
        <v>1585</v>
      </c>
      <c r="D49" s="35">
        <v>1470</v>
      </c>
      <c r="E49" s="35">
        <v>1759</v>
      </c>
      <c r="F49" s="35">
        <v>1964</v>
      </c>
      <c r="G49" s="18">
        <f t="shared" si="3"/>
        <v>6778</v>
      </c>
      <c r="H49" s="35">
        <v>1673</v>
      </c>
      <c r="I49" s="35">
        <v>1606</v>
      </c>
      <c r="J49" s="36">
        <f t="shared" si="12" ref="J49:J61">E49*(1+J32)</f>
        <v>1653.4577663492064</v>
      </c>
      <c r="K49" s="1" t="s">
        <v>81</v>
      </c>
      <c r="L49" s="1"/>
    </row>
    <row r="50" ht="15" customHeight="1">
      <c r="A50" s="1"/>
      <c r="B50" s="5" t="s">
        <v>73</v>
      </c>
      <c r="C50" s="19"/>
      <c r="D50" s="19"/>
      <c r="E50" s="19"/>
      <c r="F50" s="19"/>
      <c r="G50" s="19"/>
      <c r="H50" s="19">
        <f t="shared" si="1"/>
        <v>0.05552050473186121</v>
      </c>
      <c r="I50" s="19">
        <f t="shared" si="1"/>
        <v>0.09251700680272101</v>
      </c>
      <c r="J50" s="32">
        <f t="shared" si="1"/>
        <v>-0.060001269841269855</v>
      </c>
      <c r="K50" s="1"/>
      <c r="L50" s="1"/>
    </row>
    <row r="51" ht="15" customHeight="1">
      <c r="A51" s="1"/>
      <c r="B51" s="1" t="s">
        <v>90</v>
      </c>
      <c r="C51" s="18"/>
      <c r="D51" s="18">
        <f t="shared" si="2"/>
        <v>-115</v>
      </c>
      <c r="E51" s="18">
        <f t="shared" si="2"/>
        <v>289</v>
      </c>
      <c r="F51" s="18">
        <f t="shared" si="2"/>
        <v>205</v>
      </c>
      <c r="G51" s="18"/>
      <c r="H51" s="18">
        <f t="shared" si="4"/>
        <v>-291</v>
      </c>
      <c r="I51" s="18">
        <f t="shared" si="2"/>
        <v>-67</v>
      </c>
      <c r="J51" s="36">
        <f t="shared" si="2"/>
        <v>47.457766349206395</v>
      </c>
      <c r="K51" s="1"/>
      <c r="L51" s="1"/>
    </row>
    <row r="52" ht="15" customHeight="1">
      <c r="A52" s="1"/>
      <c r="B52" s="1" t="s">
        <v>91</v>
      </c>
      <c r="C52" s="37" t="s">
        <v>86</v>
      </c>
      <c r="D52" s="37" t="s">
        <v>86</v>
      </c>
      <c r="E52" s="37" t="s">
        <v>86</v>
      </c>
      <c r="F52" s="37" t="s">
        <v>86</v>
      </c>
      <c r="G52" s="37" t="s">
        <v>86</v>
      </c>
      <c r="H52" s="37" t="s">
        <v>86</v>
      </c>
      <c r="I52" s="37" t="s">
        <v>86</v>
      </c>
      <c r="J52" s="38" t="s">
        <v>86</v>
      </c>
      <c r="K52" s="1"/>
      <c r="L52" s="1" t="s">
        <v>188</v>
      </c>
    </row>
    <row r="53" ht="15" customHeight="1">
      <c r="A53" s="1"/>
      <c r="B53" s="1" t="s">
        <v>137</v>
      </c>
      <c r="C53" s="35">
        <v>379</v>
      </c>
      <c r="D53" s="35">
        <v>404</v>
      </c>
      <c r="E53" s="35">
        <v>607</v>
      </c>
      <c r="F53" s="35">
        <v>396</v>
      </c>
      <c r="G53" s="18">
        <f t="shared" si="3"/>
        <v>1786</v>
      </c>
      <c r="H53" s="35">
        <v>411</v>
      </c>
      <c r="I53" s="35">
        <v>703</v>
      </c>
      <c r="J53" s="36">
        <f>E53*(1+J32)</f>
        <v>570.5792292063492</v>
      </c>
      <c r="K53" s="1" t="s">
        <v>81</v>
      </c>
      <c r="L53" s="1"/>
    </row>
    <row r="54" ht="15" customHeight="1">
      <c r="A54" s="1"/>
      <c r="B54" s="5" t="s">
        <v>73</v>
      </c>
      <c r="C54" s="19"/>
      <c r="D54" s="19"/>
      <c r="E54" s="19"/>
      <c r="F54" s="19"/>
      <c r="G54" s="19"/>
      <c r="H54" s="19">
        <f t="shared" si="1"/>
        <v>0.08443271767810034</v>
      </c>
      <c r="I54" s="19">
        <f t="shared" si="1"/>
        <v>0.7400990099009901</v>
      </c>
      <c r="J54" s="32">
        <f t="shared" si="1"/>
        <v>-0.060001269841269855</v>
      </c>
      <c r="K54" s="1"/>
      <c r="L54" s="1"/>
    </row>
    <row r="55" ht="15" customHeight="1">
      <c r="A55" s="1"/>
      <c r="B55" s="1" t="s">
        <v>90</v>
      </c>
      <c r="C55" s="18"/>
      <c r="D55" s="18">
        <f t="shared" si="2"/>
        <v>25</v>
      </c>
      <c r="E55" s="18">
        <f t="shared" si="2"/>
        <v>203</v>
      </c>
      <c r="F55" s="18">
        <f t="shared" si="2"/>
        <v>-211</v>
      </c>
      <c r="G55" s="18"/>
      <c r="H55" s="18">
        <f t="shared" si="4"/>
        <v>15</v>
      </c>
      <c r="I55" s="18">
        <f t="shared" si="2"/>
        <v>292</v>
      </c>
      <c r="J55" s="36">
        <f t="shared" si="2"/>
        <v>-132.42077079365083</v>
      </c>
      <c r="K55" s="1"/>
      <c r="L55" s="1"/>
    </row>
    <row r="56" ht="15" customHeight="1">
      <c r="A56" s="1"/>
      <c r="B56" s="1" t="s">
        <v>91</v>
      </c>
      <c r="C56" s="37" t="s">
        <v>86</v>
      </c>
      <c r="D56" s="37" t="s">
        <v>86</v>
      </c>
      <c r="E56" s="37" t="s">
        <v>86</v>
      </c>
      <c r="F56" s="37" t="s">
        <v>86</v>
      </c>
      <c r="G56" s="37" t="s">
        <v>86</v>
      </c>
      <c r="H56" s="37" t="s">
        <v>86</v>
      </c>
      <c r="I56" s="37" t="s">
        <v>86</v>
      </c>
      <c r="J56" s="38" t="s">
        <v>86</v>
      </c>
      <c r="K56" s="1"/>
      <c r="L56" s="1" t="s">
        <v>188</v>
      </c>
    </row>
    <row r="57" ht="15" customHeight="1">
      <c r="A57" s="1"/>
      <c r="B57" s="1" t="s">
        <v>139</v>
      </c>
      <c r="C57" s="35">
        <v>148</v>
      </c>
      <c r="D57" s="35">
        <v>180</v>
      </c>
      <c r="E57" s="35">
        <v>188</v>
      </c>
      <c r="F57" s="35">
        <v>276</v>
      </c>
      <c r="G57" s="18">
        <f t="shared" si="3"/>
        <v>792</v>
      </c>
      <c r="H57" s="35">
        <v>180</v>
      </c>
      <c r="I57" s="35">
        <v>210</v>
      </c>
      <c r="J57" s="36">
        <f>E57*(1+J32)</f>
        <v>176.71976126984126</v>
      </c>
      <c r="K57" s="1" t="s">
        <v>81</v>
      </c>
      <c r="L57" s="1"/>
    </row>
    <row r="58" ht="15" customHeight="1">
      <c r="A58" s="1"/>
      <c r="B58" s="5" t="s">
        <v>73</v>
      </c>
      <c r="C58" s="19"/>
      <c r="D58" s="19"/>
      <c r="E58" s="19"/>
      <c r="F58" s="19"/>
      <c r="G58" s="19"/>
      <c r="H58" s="19">
        <f t="shared" si="1"/>
        <v>0.21621621621621623</v>
      </c>
      <c r="I58" s="19">
        <f t="shared" si="1"/>
        <v>0.16666666666666674</v>
      </c>
      <c r="J58" s="32">
        <f t="shared" si="1"/>
        <v>-0.060001269841269855</v>
      </c>
      <c r="K58" s="1"/>
      <c r="L58" s="1"/>
    </row>
    <row r="59" ht="15" customHeight="1">
      <c r="A59" s="1"/>
      <c r="B59" s="1" t="s">
        <v>90</v>
      </c>
      <c r="C59" s="18"/>
      <c r="D59" s="18">
        <f t="shared" si="2"/>
        <v>32</v>
      </c>
      <c r="E59" s="18">
        <f t="shared" si="2"/>
        <v>8</v>
      </c>
      <c r="F59" s="18">
        <f t="shared" si="2"/>
        <v>88</v>
      </c>
      <c r="G59" s="18"/>
      <c r="H59" s="18">
        <f t="shared" si="4"/>
        <v>-96</v>
      </c>
      <c r="I59" s="18">
        <f t="shared" si="2"/>
        <v>30</v>
      </c>
      <c r="J59" s="36">
        <f t="shared" si="2"/>
        <v>-33.28023873015874</v>
      </c>
      <c r="K59" s="1"/>
      <c r="L59" s="1"/>
    </row>
    <row r="60" ht="15" customHeight="1">
      <c r="A60" s="1"/>
      <c r="B60" s="1" t="s">
        <v>91</v>
      </c>
      <c r="C60" s="37" t="s">
        <v>86</v>
      </c>
      <c r="D60" s="37" t="s">
        <v>86</v>
      </c>
      <c r="E60" s="37" t="s">
        <v>86</v>
      </c>
      <c r="F60" s="37" t="s">
        <v>86</v>
      </c>
      <c r="G60" s="37" t="s">
        <v>86</v>
      </c>
      <c r="H60" s="37" t="s">
        <v>86</v>
      </c>
      <c r="I60" s="37" t="s">
        <v>86</v>
      </c>
      <c r="J60" s="38" t="s">
        <v>86</v>
      </c>
      <c r="K60" s="1"/>
      <c r="L60" s="1" t="s">
        <v>188</v>
      </c>
    </row>
    <row r="61" ht="15" customHeight="1">
      <c r="A61" s="1"/>
      <c r="B61" s="1" t="s">
        <v>141</v>
      </c>
      <c r="C61" s="35">
        <v>5253</v>
      </c>
      <c r="D61" s="35">
        <v>5577</v>
      </c>
      <c r="E61" s="35">
        <v>5870</v>
      </c>
      <c r="F61" s="35">
        <v>6860</v>
      </c>
      <c r="G61" s="18">
        <f t="shared" si="3"/>
        <v>23560</v>
      </c>
      <c r="H61" s="35">
        <v>5909</v>
      </c>
      <c r="I61" s="35">
        <v>6362</v>
      </c>
      <c r="J61" s="36">
        <f t="shared" si="12"/>
        <v>6515.699999999999</v>
      </c>
      <c r="K61" s="1" t="s">
        <v>81</v>
      </c>
      <c r="L61" s="1"/>
    </row>
    <row r="62" ht="15" customHeight="1">
      <c r="A62" s="1"/>
      <c r="B62" s="5" t="s">
        <v>73</v>
      </c>
      <c r="C62" s="19"/>
      <c r="D62" s="19"/>
      <c r="E62" s="19"/>
      <c r="F62" s="19"/>
      <c r="G62" s="19"/>
      <c r="H62" s="19">
        <f t="shared" si="1"/>
        <v>0.1248810203693127</v>
      </c>
      <c r="I62" s="19">
        <f t="shared" si="1"/>
        <v>0.14075667921821777</v>
      </c>
      <c r="J62" s="32">
        <f t="shared" si="1"/>
        <v>0.10999999999999988</v>
      </c>
      <c r="K62" s="1"/>
      <c r="L62" s="1"/>
    </row>
    <row r="63" ht="15" customHeight="1">
      <c r="A63" s="1"/>
      <c r="B63" s="1" t="s">
        <v>90</v>
      </c>
      <c r="C63" s="18"/>
      <c r="D63" s="18">
        <f t="shared" si="2"/>
        <v>324</v>
      </c>
      <c r="E63" s="18">
        <f t="shared" si="2"/>
        <v>293</v>
      </c>
      <c r="F63" s="18">
        <f t="shared" si="2"/>
        <v>990</v>
      </c>
      <c r="G63" s="18"/>
      <c r="H63" s="18">
        <f t="shared" si="4"/>
        <v>-951</v>
      </c>
      <c r="I63" s="18">
        <f t="shared" si="2"/>
        <v>453</v>
      </c>
      <c r="J63" s="36">
        <f t="shared" si="2"/>
        <v>153.6999999999989</v>
      </c>
      <c r="K63" s="1"/>
      <c r="L63" s="1"/>
    </row>
    <row r="64" ht="15" customHeight="1">
      <c r="A64" s="1"/>
      <c r="B64" s="1" t="s">
        <v>91</v>
      </c>
      <c r="C64" s="37" t="s">
        <v>86</v>
      </c>
      <c r="D64" s="37" t="s">
        <v>86</v>
      </c>
      <c r="E64" s="37" t="s">
        <v>86</v>
      </c>
      <c r="F64" s="37" t="s">
        <v>86</v>
      </c>
      <c r="G64" s="37" t="s">
        <v>86</v>
      </c>
      <c r="H64" s="37" t="s">
        <v>86</v>
      </c>
      <c r="I64" s="37" t="s">
        <v>86</v>
      </c>
      <c r="J64" s="38" t="s">
        <v>86</v>
      </c>
      <c r="K64" s="1"/>
      <c r="L64" s="1" t="s">
        <v>188</v>
      </c>
    </row>
    <row r="65" ht="15" customHeight="1">
      <c r="A65" s="1"/>
      <c r="B65" s="4" t="s">
        <v>189</v>
      </c>
      <c r="C65" s="33">
        <f t="shared" si="13" ref="C65:J65">C49+C53+C57</f>
        <v>2112</v>
      </c>
      <c r="D65" s="33">
        <f t="shared" si="13"/>
        <v>2054</v>
      </c>
      <c r="E65" s="33">
        <f t="shared" si="13"/>
        <v>2554</v>
      </c>
      <c r="F65" s="33">
        <f t="shared" si="13"/>
        <v>2636</v>
      </c>
      <c r="G65" s="33">
        <f t="shared" si="13"/>
        <v>9356</v>
      </c>
      <c r="H65" s="33">
        <f t="shared" si="13"/>
        <v>2264</v>
      </c>
      <c r="I65" s="33">
        <f t="shared" si="13"/>
        <v>2519</v>
      </c>
      <c r="J65" s="34">
        <f t="shared" si="13"/>
        <v>2400.756756825397</v>
      </c>
      <c r="K65" s="1"/>
      <c r="L65" s="1"/>
    </row>
    <row r="66" ht="15" customHeight="1">
      <c r="A66" s="1"/>
      <c r="B66" s="5" t="s">
        <v>73</v>
      </c>
      <c r="C66" s="19"/>
      <c r="D66" s="19"/>
      <c r="E66" s="19"/>
      <c r="F66" s="19"/>
      <c r="G66" s="19"/>
      <c r="H66" s="19">
        <f t="shared" si="1"/>
        <v>0.07196969696969702</v>
      </c>
      <c r="I66" s="19">
        <f t="shared" si="1"/>
        <v>0.2263875365141188</v>
      </c>
      <c r="J66" s="32">
        <f t="shared" si="1"/>
        <v>-0.060001269841269744</v>
      </c>
      <c r="K66" s="1"/>
      <c r="L66" s="1"/>
    </row>
    <row r="67" ht="15" customHeight="1">
      <c r="A67" s="1"/>
      <c r="B67" s="1" t="s">
        <v>90</v>
      </c>
      <c r="C67" s="18"/>
      <c r="D67" s="18">
        <f t="shared" si="2"/>
        <v>-58</v>
      </c>
      <c r="E67" s="18">
        <f t="shared" si="2"/>
        <v>500</v>
      </c>
      <c r="F67" s="18">
        <f t="shared" si="2"/>
        <v>82</v>
      </c>
      <c r="G67" s="18"/>
      <c r="H67" s="18">
        <f t="shared" si="4"/>
        <v>-372</v>
      </c>
      <c r="I67" s="18">
        <f t="shared" si="2"/>
        <v>255</v>
      </c>
      <c r="J67" s="36">
        <f t="shared" si="2"/>
        <v>-118.24324317460287</v>
      </c>
      <c r="K67" s="1"/>
      <c r="L67" s="1"/>
    </row>
    <row r="68" ht="15" customHeight="1">
      <c r="A68" s="1"/>
      <c r="B68" s="1" t="s">
        <v>91</v>
      </c>
      <c r="C68" s="37" t="s">
        <v>86</v>
      </c>
      <c r="D68" s="37" t="s">
        <v>86</v>
      </c>
      <c r="E68" s="37" t="s">
        <v>86</v>
      </c>
      <c r="F68" s="37" t="s">
        <v>86</v>
      </c>
      <c r="G68" s="37" t="s">
        <v>86</v>
      </c>
      <c r="H68" s="37" t="s">
        <v>86</v>
      </c>
      <c r="I68" s="37" t="s">
        <v>86</v>
      </c>
      <c r="J68" s="38" t="s">
        <v>86</v>
      </c>
      <c r="K68" s="1"/>
      <c r="L68" s="1" t="s">
        <v>87</v>
      </c>
    </row>
    <row r="69" ht="15" customHeight="1">
      <c r="A69" s="1"/>
      <c r="B69" s="4" t="s">
        <v>190</v>
      </c>
      <c r="C69" s="33">
        <f t="shared" si="14" ref="C69:J69">C65+C61</f>
        <v>7365</v>
      </c>
      <c r="D69" s="33">
        <f t="shared" si="14"/>
        <v>7631</v>
      </c>
      <c r="E69" s="33">
        <f t="shared" si="14"/>
        <v>8424</v>
      </c>
      <c r="F69" s="33">
        <f t="shared" si="14"/>
        <v>9496</v>
      </c>
      <c r="G69" s="33">
        <f t="shared" si="14"/>
        <v>32916</v>
      </c>
      <c r="H69" s="33">
        <f t="shared" si="14"/>
        <v>8173</v>
      </c>
      <c r="I69" s="33">
        <f t="shared" si="14"/>
        <v>8881</v>
      </c>
      <c r="J69" s="34">
        <f t="shared" si="14"/>
        <v>8916.456756825395</v>
      </c>
      <c r="K69" s="1"/>
      <c r="L69" s="1"/>
    </row>
    <row r="70" ht="15" customHeight="1">
      <c r="A70" s="1"/>
      <c r="B70" s="5" t="s">
        <v>73</v>
      </c>
      <c r="C70" s="19"/>
      <c r="D70" s="19"/>
      <c r="E70" s="19"/>
      <c r="F70" s="19"/>
      <c r="G70" s="19"/>
      <c r="H70" s="19">
        <f t="shared" si="1"/>
        <v>0.10970807875084865</v>
      </c>
      <c r="I70" s="19">
        <f t="shared" si="1"/>
        <v>0.16380553007469523</v>
      </c>
      <c r="J70" s="32">
        <f t="shared" si="1"/>
        <v>0.058458779300260666</v>
      </c>
      <c r="K70" s="1"/>
      <c r="L70" s="1"/>
    </row>
    <row r="71" ht="15" customHeight="1">
      <c r="A71" s="1"/>
      <c r="B71" s="1" t="s">
        <v>90</v>
      </c>
      <c r="C71" s="18"/>
      <c r="D71" s="18">
        <f t="shared" si="2"/>
        <v>266</v>
      </c>
      <c r="E71" s="18">
        <f t="shared" si="2"/>
        <v>793</v>
      </c>
      <c r="F71" s="18">
        <f t="shared" si="2"/>
        <v>1072</v>
      </c>
      <c r="G71" s="18"/>
      <c r="H71" s="18">
        <f t="shared" si="4"/>
        <v>-1323</v>
      </c>
      <c r="I71" s="18">
        <f t="shared" si="2"/>
        <v>708</v>
      </c>
      <c r="J71" s="36">
        <f t="shared" si="2"/>
        <v>35.45675682539513</v>
      </c>
      <c r="K71" s="1"/>
      <c r="L71" s="1"/>
    </row>
    <row r="72" ht="15" customHeight="1">
      <c r="A72" s="1"/>
      <c r="B72" s="1" t="s">
        <v>91</v>
      </c>
      <c r="C72" s="37" t="s">
        <v>86</v>
      </c>
      <c r="D72" s="37" t="s">
        <v>86</v>
      </c>
      <c r="E72" s="37" t="s">
        <v>86</v>
      </c>
      <c r="F72" s="37" t="s">
        <v>86</v>
      </c>
      <c r="G72" s="37" t="s">
        <v>86</v>
      </c>
      <c r="H72" s="37" t="s">
        <v>86</v>
      </c>
      <c r="I72" s="37" t="s">
        <v>86</v>
      </c>
      <c r="J72" s="38" t="s">
        <v>86</v>
      </c>
      <c r="K72" s="1"/>
      <c r="L72" s="1" t="s">
        <v>87</v>
      </c>
    </row>
    <row r="73" ht="15" customHeight="1">
      <c r="A73" s="1"/>
      <c r="B73" s="1" t="s">
        <v>191</v>
      </c>
      <c r="C73" s="35">
        <v>1</v>
      </c>
      <c r="D73" s="35">
        <v>0</v>
      </c>
      <c r="E73" s="35">
        <v>-1</v>
      </c>
      <c r="F73" s="35">
        <v>0</v>
      </c>
      <c r="G73" s="18">
        <f t="shared" si="3"/>
        <v>0</v>
      </c>
      <c r="H73" s="35">
        <v>0</v>
      </c>
      <c r="I73" s="35">
        <v>8</v>
      </c>
      <c r="J73" s="36">
        <f t="shared" si="41" ref="J73:J167">I73</f>
        <v>8</v>
      </c>
      <c r="K73" s="1" t="s">
        <v>81</v>
      </c>
      <c r="L73" s="1" t="s">
        <v>82</v>
      </c>
    </row>
    <row r="74" ht="15" customHeight="1">
      <c r="A74" s="1"/>
      <c r="B74" s="5" t="s">
        <v>73</v>
      </c>
      <c r="C74" s="43"/>
      <c r="D74" s="43"/>
      <c r="E74" s="43"/>
      <c r="F74" s="43"/>
      <c r="G74" s="43"/>
      <c r="H74" s="43" t="str">
        <f t="shared" si="1"/>
        <v>n/m</v>
      </c>
      <c r="I74" s="43" t="str">
        <f t="shared" si="1"/>
        <v>n/m</v>
      </c>
      <c r="J74" s="44" t="str">
        <f t="shared" si="1"/>
        <v>n/m</v>
      </c>
      <c r="K74" s="1"/>
      <c r="L74" s="1"/>
    </row>
    <row r="75" ht="15" customHeight="1">
      <c r="A75" s="1"/>
      <c r="B75" s="1" t="s">
        <v>90</v>
      </c>
      <c r="C75" s="18"/>
      <c r="D75" s="18">
        <f t="shared" si="2"/>
        <v>-1</v>
      </c>
      <c r="E75" s="18">
        <f t="shared" si="2"/>
        <v>-1</v>
      </c>
      <c r="F75" s="18">
        <f t="shared" si="2"/>
        <v>1</v>
      </c>
      <c r="G75" s="18"/>
      <c r="H75" s="18">
        <f t="shared" si="4"/>
        <v>0</v>
      </c>
      <c r="I75" s="18">
        <f t="shared" si="2"/>
        <v>8</v>
      </c>
      <c r="J75" s="36">
        <f t="shared" si="2"/>
        <v>0</v>
      </c>
      <c r="K75" s="1"/>
      <c r="L75" s="1"/>
    </row>
    <row r="76" ht="15" customHeight="1">
      <c r="A76" s="1"/>
      <c r="B76" s="1" t="s">
        <v>91</v>
      </c>
      <c r="C76" s="37" t="s">
        <v>86</v>
      </c>
      <c r="D76" s="37" t="s">
        <v>86</v>
      </c>
      <c r="E76" s="37" t="s">
        <v>86</v>
      </c>
      <c r="F76" s="37" t="s">
        <v>86</v>
      </c>
      <c r="G76" s="37" t="s">
        <v>86</v>
      </c>
      <c r="H76" s="37" t="s">
        <v>86</v>
      </c>
      <c r="I76" s="37" t="s">
        <v>86</v>
      </c>
      <c r="J76" s="38" t="s">
        <v>86</v>
      </c>
      <c r="K76" s="1"/>
      <c r="L76" s="1" t="s">
        <v>87</v>
      </c>
    </row>
    <row r="77" ht="15" customHeight="1">
      <c r="A77" s="1"/>
      <c r="B77" s="4" t="s">
        <v>275</v>
      </c>
      <c r="C77" s="33">
        <f t="shared" si="15" ref="C77:J77">C69+C73</f>
        <v>7366</v>
      </c>
      <c r="D77" s="33">
        <f t="shared" si="15"/>
        <v>7631</v>
      </c>
      <c r="E77" s="33">
        <f t="shared" si="15"/>
        <v>8423</v>
      </c>
      <c r="F77" s="33">
        <f t="shared" si="15"/>
        <v>9496</v>
      </c>
      <c r="G77" s="33">
        <f t="shared" si="15"/>
        <v>32916</v>
      </c>
      <c r="H77" s="33">
        <f t="shared" si="15"/>
        <v>8173</v>
      </c>
      <c r="I77" s="33">
        <f t="shared" si="15"/>
        <v>8889</v>
      </c>
      <c r="J77" s="34">
        <f t="shared" si="15"/>
        <v>8924.456756825395</v>
      </c>
      <c r="K77" s="1"/>
      <c r="L77" s="1"/>
    </row>
    <row r="78" ht="15" customHeight="1">
      <c r="A78" s="1"/>
      <c r="B78" s="1" t="s">
        <v>194</v>
      </c>
      <c r="C78" s="35">
        <v>6456</v>
      </c>
      <c r="D78" s="35">
        <v>6802</v>
      </c>
      <c r="E78" s="35">
        <v>7239</v>
      </c>
      <c r="F78" s="35">
        <v>7569</v>
      </c>
      <c r="G78" s="18">
        <f t="shared" si="3"/>
        <v>28066</v>
      </c>
      <c r="H78" s="18">
        <f t="shared" si="16" ref="H78:J78">C77</f>
        <v>7366</v>
      </c>
      <c r="I78" s="18">
        <f t="shared" si="16"/>
        <v>7631</v>
      </c>
      <c r="J78" s="36">
        <f t="shared" si="16"/>
        <v>8423</v>
      </c>
      <c r="K78" s="1" t="s">
        <v>95</v>
      </c>
      <c r="L78" s="1" t="s">
        <v>195</v>
      </c>
    </row>
    <row r="79" ht="15" customHeight="1">
      <c r="A79" s="1"/>
      <c r="B79" s="5" t="s">
        <v>73</v>
      </c>
      <c r="C79" s="19">
        <f t="shared" si="17" ref="C79:J79">IF(COUNT(C77,C78)&lt;2,"n/a",IF(C77*C78&lt;=0,"n/m",C77/C78-1))</f>
        <v>0.14095415117719945</v>
      </c>
      <c r="D79" s="19">
        <f t="shared" si="17"/>
        <v>0.1218759188473979</v>
      </c>
      <c r="E79" s="19">
        <f t="shared" si="17"/>
        <v>0.16355850255560167</v>
      </c>
      <c r="F79" s="19">
        <f t="shared" si="17"/>
        <v>0.2545910952569692</v>
      </c>
      <c r="G79" s="19">
        <f t="shared" si="17"/>
        <v>0.17280695503456145</v>
      </c>
      <c r="H79" s="19">
        <f t="shared" si="17"/>
        <v>0.10955742601140384</v>
      </c>
      <c r="I79" s="19">
        <f t="shared" si="17"/>
        <v>0.16485388546717328</v>
      </c>
      <c r="J79" s="32">
        <f t="shared" si="17"/>
        <v>0.05953422258404317</v>
      </c>
      <c r="K79" s="1"/>
      <c r="L79" s="1"/>
    </row>
    <row r="80" ht="15" customHeight="1">
      <c r="A80" s="1"/>
      <c r="B80" s="1" t="s">
        <v>90</v>
      </c>
      <c r="C80" s="18"/>
      <c r="D80" s="18">
        <f t="shared" si="18" ref="D80:J80">IF(COUNT(D77,C77)&lt;2,"n/a",D77-C77)</f>
        <v>265</v>
      </c>
      <c r="E80" s="18">
        <f t="shared" si="18"/>
        <v>792</v>
      </c>
      <c r="F80" s="18">
        <f t="shared" si="18"/>
        <v>1073</v>
      </c>
      <c r="G80" s="18"/>
      <c r="H80" s="18">
        <f>IF(COUNT(H77,F77)&lt;2,"n/a",H77-F77)</f>
        <v>-1323</v>
      </c>
      <c r="I80" s="18">
        <f t="shared" si="18"/>
        <v>716</v>
      </c>
      <c r="J80" s="36">
        <f t="shared" si="18"/>
        <v>35.45675682539513</v>
      </c>
      <c r="K80" s="1"/>
      <c r="L80" s="1"/>
    </row>
    <row r="81" ht="15" customHeight="1">
      <c r="A81" s="1"/>
      <c r="B81" s="5" t="s">
        <v>196</v>
      </c>
      <c r="C81" s="19">
        <f t="shared" si="19" ref="C81:J81">IF(COUNT(C49,C77)&lt;2,"n/a",C49/C77)</f>
        <v>0.21517784414879174</v>
      </c>
      <c r="D81" s="19">
        <f t="shared" si="19"/>
        <v>0.1926353033678417</v>
      </c>
      <c r="E81" s="19">
        <f t="shared" si="19"/>
        <v>0.2088329573786062</v>
      </c>
      <c r="F81" s="19">
        <f t="shared" si="19"/>
        <v>0.2068239258635215</v>
      </c>
      <c r="G81" s="19">
        <f t="shared" si="19"/>
        <v>0.20591809454368695</v>
      </c>
      <c r="H81" s="19">
        <f t="shared" si="19"/>
        <v>0.20469839716138505</v>
      </c>
      <c r="I81" s="19">
        <f t="shared" si="19"/>
        <v>0.18067274159073013</v>
      </c>
      <c r="J81" s="32">
        <f t="shared" si="19"/>
        <v>0.18527265147927882</v>
      </c>
      <c r="K81" s="1"/>
      <c r="L81" s="1"/>
    </row>
    <row r="82" ht="15" customHeight="1">
      <c r="A82" s="1"/>
      <c r="B82" s="5" t="s">
        <v>133</v>
      </c>
      <c r="C82" s="48"/>
      <c r="D82" s="48"/>
      <c r="E82" s="48"/>
      <c r="F82" s="48"/>
      <c r="G82" s="48"/>
      <c r="H82" s="48">
        <f t="shared" si="7"/>
        <v>-104.79446987406688</v>
      </c>
      <c r="I82" s="48">
        <f t="shared" si="7"/>
        <v>-119.6256177711158</v>
      </c>
      <c r="J82" s="49">
        <f t="shared" si="7"/>
        <v>-235.60305899327366</v>
      </c>
      <c r="K82" s="1"/>
      <c r="L82" s="1"/>
    </row>
    <row r="83" ht="15" customHeight="1">
      <c r="A83" s="1"/>
      <c r="B83" s="5" t="s">
        <v>134</v>
      </c>
      <c r="C83" s="48"/>
      <c r="D83" s="48">
        <f t="shared" si="8"/>
        <v>-225.42540780950026</v>
      </c>
      <c r="E83" s="48">
        <f t="shared" si="8"/>
        <v>161.97654010764478</v>
      </c>
      <c r="F83" s="48">
        <f t="shared" si="8"/>
        <v>-20.090315150846916</v>
      </c>
      <c r="G83" s="48"/>
      <c r="H83" s="48">
        <f t="shared" si="9"/>
        <v>-21.255287021364477</v>
      </c>
      <c r="I83" s="48">
        <f t="shared" si="8"/>
        <v>-240.2565557065492</v>
      </c>
      <c r="J83" s="49">
        <f t="shared" si="8"/>
        <v>45.99909888548692</v>
      </c>
      <c r="K83" s="1"/>
      <c r="L83" s="1"/>
    </row>
    <row r="84" ht="15" customHeight="1">
      <c r="A84" s="1"/>
      <c r="B84" s="5" t="s">
        <v>197</v>
      </c>
      <c r="C84" s="19">
        <f t="shared" si="20" ref="C84:J84">IF(COUNT(C53,C77)&lt;2,"n/a",C53/C77)</f>
        <v>0.0514526201466196</v>
      </c>
      <c r="D84" s="19">
        <f t="shared" si="20"/>
        <v>0.05294194732014153</v>
      </c>
      <c r="E84" s="19">
        <f t="shared" si="20"/>
        <v>0.07206458506470378</v>
      </c>
      <c r="F84" s="19">
        <f t="shared" si="20"/>
        <v>0.04170176916596462</v>
      </c>
      <c r="G84" s="19">
        <f t="shared" si="20"/>
        <v>0.05425932677117511</v>
      </c>
      <c r="H84" s="19">
        <f t="shared" si="20"/>
        <v>0.05028753211794935</v>
      </c>
      <c r="I84" s="19">
        <f t="shared" si="20"/>
        <v>0.07908651141860727</v>
      </c>
      <c r="J84" s="32">
        <f t="shared" si="20"/>
        <v>0.0639343373780115</v>
      </c>
      <c r="K84" s="1"/>
      <c r="L84" s="1"/>
    </row>
    <row r="85" ht="15" customHeight="1">
      <c r="A85" s="1"/>
      <c r="B85" s="5" t="s">
        <v>133</v>
      </c>
      <c r="C85" s="48"/>
      <c r="D85" s="48"/>
      <c r="E85" s="48"/>
      <c r="F85" s="48"/>
      <c r="G85" s="48"/>
      <c r="H85" s="48">
        <f t="shared" si="7"/>
        <v>-11.650880286702552</v>
      </c>
      <c r="I85" s="48">
        <f t="shared" si="7"/>
        <v>261.4456409846575</v>
      </c>
      <c r="J85" s="49">
        <f t="shared" si="7"/>
        <v>-81.3024768669228</v>
      </c>
      <c r="K85" s="1"/>
      <c r="L85" s="1"/>
    </row>
    <row r="86" ht="15" customHeight="1">
      <c r="A86" s="1"/>
      <c r="B86" s="5" t="s">
        <v>134</v>
      </c>
      <c r="C86" s="48"/>
      <c r="D86" s="48">
        <f t="shared" si="8"/>
        <v>14.893271735219246</v>
      </c>
      <c r="E86" s="48">
        <f t="shared" si="8"/>
        <v>191.22637744562257</v>
      </c>
      <c r="F86" s="48">
        <f t="shared" si="8"/>
        <v>-303.62815898739166</v>
      </c>
      <c r="G86" s="48"/>
      <c r="H86" s="48">
        <f t="shared" si="9"/>
        <v>85.85762951984731</v>
      </c>
      <c r="I86" s="48">
        <f t="shared" si="8"/>
        <v>287.98979300657925</v>
      </c>
      <c r="J86" s="49">
        <f t="shared" si="8"/>
        <v>-151.52174040595767</v>
      </c>
      <c r="K86" s="1"/>
      <c r="L86" s="1"/>
    </row>
    <row r="87" ht="15" customHeight="1">
      <c r="A87" s="1"/>
      <c r="B87" s="5" t="s">
        <v>198</v>
      </c>
      <c r="C87" s="19">
        <f t="shared" si="21" ref="C87:J87">IF(COUNT(C57,C77)&lt;2,"n/a",C57/C77)</f>
        <v>0.02009231604670106</v>
      </c>
      <c r="D87" s="19">
        <f t="shared" si="21"/>
        <v>0.023587996330756127</v>
      </c>
      <c r="E87" s="19">
        <f t="shared" si="21"/>
        <v>0.02231983853733824</v>
      </c>
      <c r="F87" s="19">
        <f t="shared" si="21"/>
        <v>0.02906486941870261</v>
      </c>
      <c r="G87" s="19">
        <f t="shared" si="21"/>
        <v>0.024061246810061977</v>
      </c>
      <c r="H87" s="19">
        <f t="shared" si="21"/>
        <v>0.022023736693992414</v>
      </c>
      <c r="I87" s="19">
        <f t="shared" si="21"/>
        <v>0.02362470469119136</v>
      </c>
      <c r="J87" s="32">
        <f t="shared" si="21"/>
        <v>0.019801738759581817</v>
      </c>
      <c r="K87" s="1"/>
      <c r="L87" s="1"/>
    </row>
    <row r="88" ht="15" customHeight="1">
      <c r="A88" s="1"/>
      <c r="B88" s="5" t="s">
        <v>133</v>
      </c>
      <c r="C88" s="48"/>
      <c r="D88" s="48"/>
      <c r="E88" s="48"/>
      <c r="F88" s="48"/>
      <c r="G88" s="48"/>
      <c r="H88" s="48">
        <f t="shared" si="7"/>
        <v>19.314206472913558</v>
      </c>
      <c r="I88" s="48">
        <f t="shared" si="7"/>
        <v>0.3670836043523362</v>
      </c>
      <c r="J88" s="49">
        <f t="shared" si="7"/>
        <v>-25.180997777564247</v>
      </c>
      <c r="K88" s="1"/>
      <c r="L88" s="1"/>
    </row>
    <row r="89" ht="15" customHeight="1">
      <c r="A89" s="1"/>
      <c r="B89" s="5" t="s">
        <v>134</v>
      </c>
      <c r="C89" s="48"/>
      <c r="D89" s="48">
        <f t="shared" si="8"/>
        <v>34.95680284055069</v>
      </c>
      <c r="E89" s="48">
        <f t="shared" si="8"/>
        <v>-12.68157793417886</v>
      </c>
      <c r="F89" s="48">
        <f t="shared" si="8"/>
        <v>67.4503088136437</v>
      </c>
      <c r="G89" s="48"/>
      <c r="H89" s="48">
        <f t="shared" si="9"/>
        <v>-70.41132724710197</v>
      </c>
      <c r="I89" s="48">
        <f t="shared" si="8"/>
        <v>16.009679971989467</v>
      </c>
      <c r="J89" s="49">
        <f t="shared" si="8"/>
        <v>-38.22965931609544</v>
      </c>
      <c r="K89" s="1"/>
      <c r="L89" s="1"/>
    </row>
    <row r="90" ht="15" customHeight="1">
      <c r="A90" s="1"/>
      <c r="B90" s="5" t="s">
        <v>199</v>
      </c>
      <c r="C90" s="19">
        <f t="shared" si="22" ref="C90:J90">IF(COUNT(C61,C77)&lt;2,"n/a",C61/C77)</f>
        <v>0.7131414607656802</v>
      </c>
      <c r="D90" s="19">
        <f t="shared" si="22"/>
        <v>0.7308347529812607</v>
      </c>
      <c r="E90" s="19">
        <f t="shared" si="22"/>
        <v>0.6969013415647631</v>
      </c>
      <c r="F90" s="19">
        <f t="shared" si="22"/>
        <v>0.7224094355518113</v>
      </c>
      <c r="G90" s="19">
        <f t="shared" si="22"/>
        <v>0.715761331875076</v>
      </c>
      <c r="H90" s="19">
        <f t="shared" si="22"/>
        <v>0.7229903340266732</v>
      </c>
      <c r="I90" s="19">
        <f t="shared" si="22"/>
        <v>0.7157160535493307</v>
      </c>
      <c r="J90" s="32">
        <f t="shared" si="22"/>
        <v>0.7300948592772118</v>
      </c>
      <c r="K90" s="1"/>
      <c r="L90" s="1"/>
    </row>
    <row r="91" ht="15" customHeight="1">
      <c r="A91" s="1"/>
      <c r="B91" s="5" t="s">
        <v>133</v>
      </c>
      <c r="C91" s="48"/>
      <c r="D91" s="48"/>
      <c r="E91" s="48"/>
      <c r="F91" s="48"/>
      <c r="G91" s="48"/>
      <c r="H91" s="48">
        <f t="shared" si="7"/>
        <v>98.48873260993041</v>
      </c>
      <c r="I91" s="48">
        <f t="shared" si="7"/>
        <v>-151.18699431930006</v>
      </c>
      <c r="J91" s="49">
        <f t="shared" si="7"/>
        <v>331.93517712448715</v>
      </c>
      <c r="K91" s="1"/>
      <c r="L91" s="1"/>
    </row>
    <row r="92" ht="15" customHeight="1">
      <c r="A92" s="1"/>
      <c r="B92" s="5" t="s">
        <v>134</v>
      </c>
      <c r="C92" s="48"/>
      <c r="D92" s="48">
        <f t="shared" si="8"/>
        <v>176.9329221558047</v>
      </c>
      <c r="E92" s="48">
        <f t="shared" si="8"/>
        <v>-339.3341141649753</v>
      </c>
      <c r="F92" s="48">
        <f t="shared" si="8"/>
        <v>255.0809398704812</v>
      </c>
      <c r="G92" s="48"/>
      <c r="H92" s="48">
        <f t="shared" si="9"/>
        <v>5.808984748619794</v>
      </c>
      <c r="I92" s="48">
        <f t="shared" si="8"/>
        <v>-72.74280477342576</v>
      </c>
      <c r="J92" s="49">
        <f t="shared" si="8"/>
        <v>143.78805727881195</v>
      </c>
      <c r="K92" s="1"/>
      <c r="L92" s="1"/>
    </row>
    <row r="93" ht="15" customHeight="1">
      <c r="A93" s="1"/>
      <c r="B93" s="5" t="s">
        <v>200</v>
      </c>
      <c r="C93" s="19">
        <f t="shared" si="23" ref="C93:J93">IF(COUNT(C65,C77)&lt;2,"n/a",C65/C77)</f>
        <v>0.2867227803421124</v>
      </c>
      <c r="D93" s="19">
        <f t="shared" si="23"/>
        <v>0.26916524701873934</v>
      </c>
      <c r="E93" s="19">
        <f t="shared" si="23"/>
        <v>0.3032173809806482</v>
      </c>
      <c r="F93" s="19">
        <f t="shared" si="23"/>
        <v>0.2775905644481887</v>
      </c>
      <c r="G93" s="19">
        <f t="shared" si="23"/>
        <v>0.28423866812492404</v>
      </c>
      <c r="H93" s="19">
        <f t="shared" si="23"/>
        <v>0.2770096659733268</v>
      </c>
      <c r="I93" s="19">
        <f t="shared" si="23"/>
        <v>0.28338395770052877</v>
      </c>
      <c r="J93" s="32">
        <f t="shared" si="23"/>
        <v>0.26900872761687217</v>
      </c>
      <c r="K93" s="1"/>
      <c r="L93" s="1"/>
    </row>
    <row r="94" ht="15" customHeight="1">
      <c r="A94" s="1"/>
      <c r="B94" s="5" t="s">
        <v>133</v>
      </c>
      <c r="C94" s="48"/>
      <c r="D94" s="48"/>
      <c r="E94" s="48"/>
      <c r="F94" s="48"/>
      <c r="G94" s="48"/>
      <c r="H94" s="48">
        <f t="shared" si="7"/>
        <v>-97.1311436878558</v>
      </c>
      <c r="I94" s="48">
        <f t="shared" si="7"/>
        <v>142.18710681789426</v>
      </c>
      <c r="J94" s="49">
        <f t="shared" si="7"/>
        <v>-342.08653363776045</v>
      </c>
      <c r="K94" s="1"/>
      <c r="L94" s="1"/>
    </row>
    <row r="95" ht="15" customHeight="1">
      <c r="A95" s="1"/>
      <c r="B95" s="5" t="s">
        <v>134</v>
      </c>
      <c r="C95" s="48"/>
      <c r="D95" s="48">
        <f t="shared" si="8"/>
        <v>-175.57533323373065</v>
      </c>
      <c r="E95" s="48">
        <f t="shared" si="8"/>
        <v>340.5213396190887</v>
      </c>
      <c r="F95" s="48">
        <f t="shared" si="8"/>
        <v>-256.2681653245952</v>
      </c>
      <c r="G95" s="48"/>
      <c r="H95" s="48">
        <f t="shared" si="9"/>
        <v>-5.808984748618684</v>
      </c>
      <c r="I95" s="48">
        <f t="shared" si="8"/>
        <v>63.74291727201942</v>
      </c>
      <c r="J95" s="49">
        <f t="shared" si="8"/>
        <v>-143.75230083656598</v>
      </c>
      <c r="K95" s="1"/>
      <c r="L95" s="1"/>
    </row>
    <row r="96" ht="15" customHeight="1">
      <c r="A96" s="1"/>
      <c r="B96" s="1" t="s">
        <v>201</v>
      </c>
      <c r="C96" s="35">
        <v>7366</v>
      </c>
      <c r="D96" s="35">
        <v>7631</v>
      </c>
      <c r="E96" s="35">
        <v>8423</v>
      </c>
      <c r="F96" s="35">
        <v>9496</v>
      </c>
      <c r="G96" s="18">
        <f t="shared" si="3"/>
        <v>32916</v>
      </c>
      <c r="H96" s="35">
        <v>8173</v>
      </c>
      <c r="I96" s="35">
        <v>8889</v>
      </c>
      <c r="J96" s="36"/>
      <c r="K96" s="1" t="s">
        <v>95</v>
      </c>
      <c r="L96" s="1"/>
    </row>
    <row r="97" ht="15" customHeight="1">
      <c r="A97" s="1"/>
      <c r="B97" s="1" t="s">
        <v>202</v>
      </c>
      <c r="C97" s="18">
        <f t="shared" si="24" ref="C97:I97">C77-C96</f>
        <v>0</v>
      </c>
      <c r="D97" s="18">
        <f t="shared" si="24"/>
        <v>0</v>
      </c>
      <c r="E97" s="18">
        <f t="shared" si="24"/>
        <v>0</v>
      </c>
      <c r="F97" s="18">
        <f t="shared" si="24"/>
        <v>0</v>
      </c>
      <c r="G97" s="18">
        <f t="shared" si="24"/>
        <v>0</v>
      </c>
      <c r="H97" s="18">
        <f t="shared" si="24"/>
        <v>0</v>
      </c>
      <c r="I97" s="18">
        <f t="shared" si="24"/>
        <v>0</v>
      </c>
      <c r="J97" s="36"/>
      <c r="K97" s="1"/>
      <c r="L97" s="1"/>
    </row>
    <row r="98" ht="15" customHeight="1">
      <c r="A98" s="1"/>
      <c r="B98" s="1"/>
      <c r="C98" s="1"/>
      <c r="D98" s="1"/>
      <c r="E98" s="1"/>
      <c r="F98" s="1"/>
      <c r="G98" s="1"/>
      <c r="H98" s="1"/>
      <c r="I98" s="1"/>
      <c r="J98" s="29"/>
      <c r="K98" s="1"/>
      <c r="L98" s="1"/>
    </row>
    <row r="99" ht="15" customHeight="1">
      <c r="A99" s="1"/>
      <c r="B99" s="4" t="s">
        <v>203</v>
      </c>
      <c r="C99" s="1"/>
      <c r="D99" s="1"/>
      <c r="E99" s="1"/>
      <c r="F99" s="1"/>
      <c r="G99" s="1"/>
      <c r="H99" s="1"/>
      <c r="I99" s="1"/>
      <c r="J99" s="29"/>
      <c r="K99" s="1"/>
      <c r="L99" s="1"/>
    </row>
    <row r="100" ht="15" customHeight="1">
      <c r="A100" s="1"/>
      <c r="B100" s="1" t="s">
        <v>204</v>
      </c>
      <c r="C100" s="35">
        <v>4032</v>
      </c>
      <c r="D100" s="35">
        <v>4123</v>
      </c>
      <c r="E100" s="35">
        <v>4767</v>
      </c>
      <c r="F100" s="35">
        <v>5545</v>
      </c>
      <c r="G100" s="18">
        <f t="shared" si="3"/>
        <v>18467</v>
      </c>
      <c r="H100" s="35">
        <v>4288</v>
      </c>
      <c r="I100" s="35">
        <v>4660</v>
      </c>
      <c r="J100" s="36">
        <f>J69*I100/I69</f>
        <v>4678.604716451564</v>
      </c>
      <c r="K100" s="1" t="s">
        <v>81</v>
      </c>
      <c r="L100" s="1" t="s">
        <v>205</v>
      </c>
    </row>
    <row r="101" ht="15" customHeight="1">
      <c r="A101" s="1"/>
      <c r="B101" s="5" t="s">
        <v>73</v>
      </c>
      <c r="C101" s="19"/>
      <c r="D101" s="19"/>
      <c r="E101" s="19"/>
      <c r="F101" s="19"/>
      <c r="G101" s="19"/>
      <c r="H101" s="19">
        <f t="shared" si="1"/>
        <v>0.06349206349206349</v>
      </c>
      <c r="I101" s="19">
        <f t="shared" si="1"/>
        <v>0.13024496725685175</v>
      </c>
      <c r="J101" s="32">
        <f t="shared" si="1"/>
        <v>-0.01854316835503167</v>
      </c>
      <c r="K101" s="1"/>
      <c r="L101" s="1"/>
    </row>
    <row r="102" ht="15" customHeight="1">
      <c r="A102" s="1"/>
      <c r="B102" s="1" t="s">
        <v>90</v>
      </c>
      <c r="C102" s="18"/>
      <c r="D102" s="18">
        <f t="shared" si="2"/>
        <v>91</v>
      </c>
      <c r="E102" s="18">
        <f t="shared" si="2"/>
        <v>644</v>
      </c>
      <c r="F102" s="18">
        <f t="shared" si="2"/>
        <v>778</v>
      </c>
      <c r="G102" s="18"/>
      <c r="H102" s="18">
        <f t="shared" si="4"/>
        <v>-1257</v>
      </c>
      <c r="I102" s="18">
        <f t="shared" si="2"/>
        <v>372</v>
      </c>
      <c r="J102" s="36">
        <f t="shared" si="2"/>
        <v>18.604716451563945</v>
      </c>
      <c r="K102" s="1"/>
      <c r="L102" s="1"/>
    </row>
    <row r="103" ht="15" customHeight="1">
      <c r="A103" s="1"/>
      <c r="B103" s="1" t="s">
        <v>91</v>
      </c>
      <c r="C103" s="37" t="s">
        <v>86</v>
      </c>
      <c r="D103" s="37" t="s">
        <v>86</v>
      </c>
      <c r="E103" s="37" t="s">
        <v>86</v>
      </c>
      <c r="F103" s="37" t="s">
        <v>86</v>
      </c>
      <c r="G103" s="37" t="s">
        <v>86</v>
      </c>
      <c r="H103" s="37" t="s">
        <v>86</v>
      </c>
      <c r="I103" s="37" t="s">
        <v>86</v>
      </c>
      <c r="J103" s="38" t="s">
        <v>86</v>
      </c>
      <c r="K103" s="1"/>
      <c r="L103" s="1" t="s">
        <v>206</v>
      </c>
    </row>
    <row r="104" ht="15" customHeight="1">
      <c r="A104" s="1"/>
      <c r="B104" s="1" t="s">
        <v>207</v>
      </c>
      <c r="C104" s="35">
        <v>3333</v>
      </c>
      <c r="D104" s="35">
        <v>3508</v>
      </c>
      <c r="E104" s="35">
        <v>3657</v>
      </c>
      <c r="F104" s="35">
        <v>3951</v>
      </c>
      <c r="G104" s="18">
        <f t="shared" si="3"/>
        <v>14449</v>
      </c>
      <c r="H104" s="35">
        <v>3885</v>
      </c>
      <c r="I104" s="35">
        <v>4221</v>
      </c>
      <c r="J104" s="36">
        <f>J69-J100</f>
        <v>4237.852040373831</v>
      </c>
      <c r="K104" s="1" t="s">
        <v>81</v>
      </c>
      <c r="L104" s="1"/>
    </row>
    <row r="105" ht="15" customHeight="1">
      <c r="A105" s="1"/>
      <c r="B105" s="5" t="s">
        <v>73</v>
      </c>
      <c r="C105" s="19"/>
      <c r="D105" s="19"/>
      <c r="E105" s="19"/>
      <c r="F105" s="19"/>
      <c r="G105" s="19"/>
      <c r="H105" s="19">
        <f t="shared" si="1"/>
        <v>0.16561656165616556</v>
      </c>
      <c r="I105" s="19">
        <f t="shared" si="1"/>
        <v>0.20324971493728627</v>
      </c>
      <c r="J105" s="32">
        <f t="shared" si="1"/>
        <v>0.1588329342012118</v>
      </c>
      <c r="K105" s="1"/>
      <c r="L105" s="1"/>
    </row>
    <row r="106" ht="15" customHeight="1">
      <c r="A106" s="1"/>
      <c r="B106" s="1" t="s">
        <v>90</v>
      </c>
      <c r="C106" s="18"/>
      <c r="D106" s="18">
        <f t="shared" si="2"/>
        <v>175</v>
      </c>
      <c r="E106" s="18">
        <f t="shared" si="2"/>
        <v>149</v>
      </c>
      <c r="F106" s="18">
        <f t="shared" si="2"/>
        <v>294</v>
      </c>
      <c r="G106" s="18"/>
      <c r="H106" s="18">
        <f t="shared" si="4"/>
        <v>-66</v>
      </c>
      <c r="I106" s="18">
        <f t="shared" si="2"/>
        <v>336</v>
      </c>
      <c r="J106" s="36">
        <f t="shared" si="2"/>
        <v>16.852040373831187</v>
      </c>
      <c r="K106" s="1"/>
      <c r="L106" s="1"/>
    </row>
    <row r="107" ht="15" customHeight="1">
      <c r="A107" s="1"/>
      <c r="B107" s="1" t="s">
        <v>91</v>
      </c>
      <c r="C107" s="37" t="s">
        <v>86</v>
      </c>
      <c r="D107" s="37" t="s">
        <v>86</v>
      </c>
      <c r="E107" s="37" t="s">
        <v>86</v>
      </c>
      <c r="F107" s="37" t="s">
        <v>86</v>
      </c>
      <c r="G107" s="37" t="s">
        <v>86</v>
      </c>
      <c r="H107" s="37" t="s">
        <v>86</v>
      </c>
      <c r="I107" s="37" t="s">
        <v>86</v>
      </c>
      <c r="J107" s="38" t="s">
        <v>86</v>
      </c>
      <c r="K107" s="1"/>
      <c r="L107" s="1" t="s">
        <v>208</v>
      </c>
    </row>
    <row r="108" ht="15" customHeight="1">
      <c r="A108" s="1"/>
      <c r="B108" s="5" t="s">
        <v>209</v>
      </c>
      <c r="C108" s="19">
        <f t="shared" si="25" ref="C108:J108">IF(COUNT(C100,C69)&lt;2,"n/a",C100/C69)</f>
        <v>0.5474541751527495</v>
      </c>
      <c r="D108" s="19">
        <f t="shared" si="25"/>
        <v>0.540296160398375</v>
      </c>
      <c r="E108" s="19">
        <f t="shared" si="25"/>
        <v>0.5658831908831908</v>
      </c>
      <c r="F108" s="19">
        <f t="shared" si="25"/>
        <v>0.5839300758213984</v>
      </c>
      <c r="G108" s="19">
        <f t="shared" si="25"/>
        <v>0.5610341475270385</v>
      </c>
      <c r="H108" s="19">
        <f t="shared" si="25"/>
        <v>0.5246543496879971</v>
      </c>
      <c r="I108" s="19">
        <f t="shared" si="25"/>
        <v>0.5247156851705889</v>
      </c>
      <c r="J108" s="32">
        <f t="shared" si="25"/>
        <v>0.5247156851705889</v>
      </c>
      <c r="K108" s="1"/>
      <c r="L108" s="1"/>
    </row>
    <row r="109" ht="15" customHeight="1">
      <c r="A109" s="1"/>
      <c r="B109" s="5" t="s">
        <v>143</v>
      </c>
      <c r="C109" s="48"/>
      <c r="D109" s="48"/>
      <c r="E109" s="48"/>
      <c r="F109" s="48"/>
      <c r="G109" s="48"/>
      <c r="H109" s="48">
        <f t="shared" si="7"/>
        <v>-227.99825464752453</v>
      </c>
      <c r="I109" s="48">
        <f t="shared" si="7"/>
        <v>-155.8047522778616</v>
      </c>
      <c r="J109" s="49">
        <f t="shared" si="7"/>
        <v>-411.6750571260197</v>
      </c>
      <c r="K109" s="1"/>
      <c r="L109" s="1"/>
    </row>
    <row r="110" ht="15" customHeight="1">
      <c r="A110" s="1"/>
      <c r="B110" s="5" t="s">
        <v>128</v>
      </c>
      <c r="C110" s="48"/>
      <c r="D110" s="48">
        <f t="shared" si="8"/>
        <v>-71.58014754374497</v>
      </c>
      <c r="E110" s="48">
        <f t="shared" si="8"/>
        <v>255.8703048481581</v>
      </c>
      <c r="F110" s="48">
        <f t="shared" si="8"/>
        <v>180.4688493820761</v>
      </c>
      <c r="G110" s="48"/>
      <c r="H110" s="48">
        <f t="shared" si="9"/>
        <v>-592.7572613340137</v>
      </c>
      <c r="I110" s="48">
        <f t="shared" si="8"/>
        <v>0.6133548259179555</v>
      </c>
      <c r="J110" s="49">
        <f t="shared" si="8"/>
        <v>0</v>
      </c>
      <c r="K110" s="1"/>
      <c r="L110" s="1"/>
    </row>
    <row r="111" ht="15" customHeight="1">
      <c r="A111" s="1"/>
      <c r="B111" s="1" t="s">
        <v>210</v>
      </c>
      <c r="C111" s="18">
        <f t="shared" si="26" ref="C111:J111">C100+C104-C69</f>
        <v>0</v>
      </c>
      <c r="D111" s="18">
        <f t="shared" si="26"/>
        <v>0</v>
      </c>
      <c r="E111" s="18">
        <f t="shared" si="26"/>
        <v>0</v>
      </c>
      <c r="F111" s="18">
        <f t="shared" si="26"/>
        <v>0</v>
      </c>
      <c r="G111" s="18">
        <f t="shared" si="26"/>
        <v>0</v>
      </c>
      <c r="H111" s="18">
        <f t="shared" si="26"/>
        <v>0</v>
      </c>
      <c r="I111" s="18">
        <f t="shared" si="26"/>
        <v>0</v>
      </c>
      <c r="J111" s="36">
        <f t="shared" si="26"/>
        <v>0</v>
      </c>
      <c r="K111" s="1"/>
      <c r="L111" s="1"/>
    </row>
    <row r="112" ht="15" customHeight="1">
      <c r="A112" s="1"/>
      <c r="B112" s="1"/>
      <c r="C112" s="1"/>
      <c r="D112" s="1"/>
      <c r="E112" s="1"/>
      <c r="F112" s="1"/>
      <c r="G112" s="1"/>
      <c r="H112" s="1"/>
      <c r="I112" s="1"/>
      <c r="J112" s="29"/>
      <c r="K112" s="1"/>
      <c r="L112" s="1"/>
    </row>
    <row r="113" ht="15" customHeight="1">
      <c r="A113" s="1"/>
      <c r="B113" s="4" t="s">
        <v>211</v>
      </c>
      <c r="C113" s="1"/>
      <c r="D113" s="1"/>
      <c r="E113" s="1"/>
      <c r="F113" s="1"/>
      <c r="G113" s="1"/>
      <c r="H113" s="1"/>
      <c r="I113" s="1"/>
      <c r="J113" s="29"/>
      <c r="K113" s="1"/>
      <c r="L113" s="1"/>
    </row>
    <row r="114" ht="15" customHeight="1">
      <c r="A114" s="1"/>
      <c r="B114" s="1" t="s">
        <v>111</v>
      </c>
      <c r="C114" s="35">
        <v>910</v>
      </c>
      <c r="D114" s="35">
        <v>829</v>
      </c>
      <c r="E114" s="35">
        <v>1184</v>
      </c>
      <c r="F114" s="35">
        <v>1927</v>
      </c>
      <c r="G114" s="18">
        <f t="shared" si="3"/>
        <v>4850</v>
      </c>
      <c r="H114" s="35">
        <v>807</v>
      </c>
      <c r="I114" s="35">
        <v>1258</v>
      </c>
      <c r="J114" s="36">
        <f>J77-J78</f>
        <v>501.45675682539513</v>
      </c>
      <c r="K114" s="1" t="s">
        <v>95</v>
      </c>
      <c r="L114" s="1" t="s">
        <v>212</v>
      </c>
    </row>
    <row r="115" ht="15" customHeight="1">
      <c r="A115" s="1"/>
      <c r="B115" s="1" t="s">
        <v>116</v>
      </c>
      <c r="C115" s="35">
        <v>0</v>
      </c>
      <c r="D115" s="35">
        <v>0</v>
      </c>
      <c r="E115" s="35">
        <v>0</v>
      </c>
      <c r="F115" s="35">
        <v>0</v>
      </c>
      <c r="G115" s="18">
        <f t="shared" si="3"/>
        <v>0</v>
      </c>
      <c r="H115" s="35">
        <v>0</v>
      </c>
      <c r="I115" s="35">
        <v>0</v>
      </c>
      <c r="J115" s="42">
        <v>0</v>
      </c>
      <c r="K115" s="1" t="s">
        <v>95</v>
      </c>
      <c r="L115" s="1" t="s">
        <v>276</v>
      </c>
    </row>
    <row r="116" ht="15" customHeight="1">
      <c r="A116" s="1"/>
      <c r="B116" s="5" t="s">
        <v>73</v>
      </c>
      <c r="C116" s="43"/>
      <c r="D116" s="43"/>
      <c r="E116" s="43"/>
      <c r="F116" s="43"/>
      <c r="G116" s="43"/>
      <c r="H116" s="43" t="str">
        <f t="shared" si="1"/>
        <v>n/m</v>
      </c>
      <c r="I116" s="43" t="str">
        <f t="shared" si="1"/>
        <v>n/m</v>
      </c>
      <c r="J116" s="44" t="str">
        <f t="shared" si="1"/>
        <v>n/m</v>
      </c>
      <c r="K116" s="1"/>
      <c r="L116" s="1"/>
    </row>
    <row r="117" ht="15" customHeight="1">
      <c r="A117" s="1"/>
      <c r="B117" s="1" t="s">
        <v>90</v>
      </c>
      <c r="C117" s="18"/>
      <c r="D117" s="18">
        <f t="shared" si="2"/>
        <v>0</v>
      </c>
      <c r="E117" s="18">
        <f t="shared" si="2"/>
        <v>0</v>
      </c>
      <c r="F117" s="18">
        <f t="shared" si="2"/>
        <v>0</v>
      </c>
      <c r="G117" s="18"/>
      <c r="H117" s="18">
        <f t="shared" si="4"/>
        <v>0</v>
      </c>
      <c r="I117" s="18">
        <f t="shared" si="2"/>
        <v>0</v>
      </c>
      <c r="J117" s="36">
        <f t="shared" si="2"/>
        <v>0</v>
      </c>
      <c r="K117" s="1"/>
      <c r="L117" s="1"/>
    </row>
    <row r="118" ht="15" customHeight="1">
      <c r="A118" s="1"/>
      <c r="B118" s="1" t="s">
        <v>117</v>
      </c>
      <c r="C118" s="35">
        <v>-20</v>
      </c>
      <c r="D118" s="35">
        <v>18</v>
      </c>
      <c r="E118" s="35">
        <v>4</v>
      </c>
      <c r="F118" s="35">
        <v>38</v>
      </c>
      <c r="G118" s="18">
        <f t="shared" si="3"/>
        <v>40</v>
      </c>
      <c r="H118" s="35">
        <v>37</v>
      </c>
      <c r="I118" s="35">
        <v>-16</v>
      </c>
      <c r="J118" s="42">
        <v>0</v>
      </c>
      <c r="K118" s="1" t="s">
        <v>95</v>
      </c>
      <c r="L118" s="1" t="s">
        <v>214</v>
      </c>
    </row>
    <row r="119" ht="15" customHeight="1">
      <c r="A119" s="1"/>
      <c r="B119" s="5" t="s">
        <v>73</v>
      </c>
      <c r="C119" s="43"/>
      <c r="D119" s="43"/>
      <c r="E119" s="43"/>
      <c r="F119" s="43"/>
      <c r="G119" s="43"/>
      <c r="H119" s="43" t="str">
        <f t="shared" si="1"/>
        <v>n/m</v>
      </c>
      <c r="I119" s="43" t="str">
        <f t="shared" si="1"/>
        <v>n/m</v>
      </c>
      <c r="J119" s="44" t="str">
        <f t="shared" si="1"/>
        <v>n/m</v>
      </c>
      <c r="K119" s="1"/>
      <c r="L119" s="1"/>
    </row>
    <row r="120" ht="15" customHeight="1">
      <c r="A120" s="1"/>
      <c r="B120" s="1" t="s">
        <v>90</v>
      </c>
      <c r="C120" s="18"/>
      <c r="D120" s="18">
        <f t="shared" si="2"/>
        <v>38</v>
      </c>
      <c r="E120" s="18">
        <f t="shared" si="2"/>
        <v>-14</v>
      </c>
      <c r="F120" s="18">
        <f t="shared" si="2"/>
        <v>34</v>
      </c>
      <c r="G120" s="18"/>
      <c r="H120" s="18">
        <f t="shared" si="4"/>
        <v>-1</v>
      </c>
      <c r="I120" s="18">
        <f t="shared" si="2"/>
        <v>-53</v>
      </c>
      <c r="J120" s="36">
        <f t="shared" si="2"/>
        <v>16</v>
      </c>
      <c r="K120" s="1"/>
      <c r="L120" s="1"/>
    </row>
    <row r="121" ht="15" customHeight="1">
      <c r="A121" s="1"/>
      <c r="B121" s="1" t="s">
        <v>118</v>
      </c>
      <c r="C121" s="35">
        <v>930</v>
      </c>
      <c r="D121" s="35">
        <v>811</v>
      </c>
      <c r="E121" s="35">
        <v>1180</v>
      </c>
      <c r="F121" s="35">
        <v>1889</v>
      </c>
      <c r="G121" s="18">
        <f t="shared" si="3"/>
        <v>4810</v>
      </c>
      <c r="H121" s="35">
        <v>770</v>
      </c>
      <c r="I121" s="35">
        <v>1274</v>
      </c>
      <c r="J121" s="36">
        <f>J114-J115-J118</f>
        <v>501.45675682539513</v>
      </c>
      <c r="K121" s="1" t="s">
        <v>95</v>
      </c>
      <c r="L121" s="1" t="s">
        <v>215</v>
      </c>
    </row>
    <row r="122" ht="15" customHeight="1">
      <c r="A122" s="1"/>
      <c r="B122" s="1" t="s">
        <v>216</v>
      </c>
      <c r="C122" s="18">
        <f t="shared" si="27" ref="C122:J122">C115+C118+C121-C114</f>
        <v>0</v>
      </c>
      <c r="D122" s="18">
        <f t="shared" si="27"/>
        <v>0</v>
      </c>
      <c r="E122" s="18">
        <f t="shared" si="27"/>
        <v>0</v>
      </c>
      <c r="F122" s="18">
        <f t="shared" si="27"/>
        <v>0</v>
      </c>
      <c r="G122" s="18">
        <f t="shared" si="27"/>
        <v>0</v>
      </c>
      <c r="H122" s="18">
        <f t="shared" si="27"/>
        <v>0</v>
      </c>
      <c r="I122" s="18">
        <f t="shared" si="27"/>
        <v>0</v>
      </c>
      <c r="J122" s="36">
        <f t="shared" si="27"/>
        <v>0</v>
      </c>
      <c r="K122" s="1"/>
      <c r="L122" s="1"/>
    </row>
    <row r="123" ht="15" customHeight="1">
      <c r="A123" s="1"/>
      <c r="B123" s="5" t="s">
        <v>121</v>
      </c>
      <c r="C123" s="19">
        <f t="shared" si="28" ref="C123:J123">C114/C78</f>
        <v>0.1409541511771995</v>
      </c>
      <c r="D123" s="19">
        <f t="shared" si="28"/>
        <v>0.12187591884739782</v>
      </c>
      <c r="E123" s="19">
        <f t="shared" si="28"/>
        <v>0.16355850255560161</v>
      </c>
      <c r="F123" s="19">
        <f t="shared" si="28"/>
        <v>0.2545910952569692</v>
      </c>
      <c r="G123" s="19">
        <f t="shared" si="28"/>
        <v>0.1728069550345614</v>
      </c>
      <c r="H123" s="19">
        <f t="shared" si="28"/>
        <v>0.10955742601140375</v>
      </c>
      <c r="I123" s="19">
        <f t="shared" si="28"/>
        <v>0.16485388546717336</v>
      </c>
      <c r="J123" s="32">
        <f t="shared" si="28"/>
        <v>0.05953422258404311</v>
      </c>
      <c r="K123" s="1"/>
      <c r="L123" s="1"/>
    </row>
    <row r="124" ht="15" customHeight="1">
      <c r="A124" s="1"/>
      <c r="B124" s="5" t="s">
        <v>122</v>
      </c>
      <c r="C124" s="19">
        <f t="shared" si="29" ref="C124:J124">C115/C78</f>
        <v>0</v>
      </c>
      <c r="D124" s="19">
        <f t="shared" si="29"/>
        <v>0</v>
      </c>
      <c r="E124" s="19">
        <f t="shared" si="29"/>
        <v>0</v>
      </c>
      <c r="F124" s="19">
        <f t="shared" si="29"/>
        <v>0</v>
      </c>
      <c r="G124" s="19">
        <f t="shared" si="29"/>
        <v>0</v>
      </c>
      <c r="H124" s="19">
        <f t="shared" si="29"/>
        <v>0</v>
      </c>
      <c r="I124" s="19">
        <f t="shared" si="29"/>
        <v>0</v>
      </c>
      <c r="J124" s="32">
        <f t="shared" si="29"/>
        <v>0</v>
      </c>
      <c r="K124" s="1"/>
      <c r="L124" s="1"/>
    </row>
    <row r="125" ht="15" customHeight="1">
      <c r="A125" s="1"/>
      <c r="B125" s="5" t="s">
        <v>123</v>
      </c>
      <c r="C125" s="19">
        <f t="shared" si="30" ref="C125:J125">C118/C78</f>
        <v>-0.0030978934324659233</v>
      </c>
      <c r="D125" s="19">
        <f t="shared" si="30"/>
        <v>0.0026462805057336078</v>
      </c>
      <c r="E125" s="19">
        <f t="shared" si="30"/>
        <v>0.0005525625086337892</v>
      </c>
      <c r="F125" s="19">
        <f t="shared" si="30"/>
        <v>0.00502047826661382</v>
      </c>
      <c r="G125" s="19">
        <f t="shared" si="30"/>
        <v>0.0014252120002850423</v>
      </c>
      <c r="H125" s="19">
        <f t="shared" si="30"/>
        <v>0.005023079011675265</v>
      </c>
      <c r="I125" s="19">
        <f t="shared" si="30"/>
        <v>-0.0020967107849561</v>
      </c>
      <c r="J125" s="32">
        <f t="shared" si="30"/>
        <v>0</v>
      </c>
      <c r="K125" s="1"/>
      <c r="L125" s="1"/>
    </row>
    <row r="126" ht="15" customHeight="1">
      <c r="A126" s="1"/>
      <c r="B126" s="45" t="s">
        <v>217</v>
      </c>
      <c r="C126" s="46">
        <f t="shared" si="31" ref="C126:J126">(1+C123)/((1+C124)*(1+C125))-1</f>
        <v>0.14449968924797996</v>
      </c>
      <c r="D126" s="46">
        <f t="shared" si="31"/>
        <v>0.11891495601173019</v>
      </c>
      <c r="E126" s="46">
        <f t="shared" si="31"/>
        <v>0.16291591881816925</v>
      </c>
      <c r="F126" s="46">
        <f t="shared" si="31"/>
        <v>0.24832391218614425</v>
      </c>
      <c r="G126" s="46">
        <f t="shared" si="31"/>
        <v>0.17113783533765026</v>
      </c>
      <c r="H126" s="46">
        <f t="shared" si="31"/>
        <v>0.1040118870728084</v>
      </c>
      <c r="I126" s="46">
        <f t="shared" si="31"/>
        <v>0.16730137885751795</v>
      </c>
      <c r="J126" s="47">
        <f t="shared" si="31"/>
        <v>0.05953422258404317</v>
      </c>
      <c r="K126" s="1"/>
      <c r="L126" s="1"/>
    </row>
    <row r="127" ht="15" customHeight="1">
      <c r="A127" s="1"/>
      <c r="B127" s="5" t="s">
        <v>126</v>
      </c>
      <c r="C127" s="19">
        <f t="shared" si="32" ref="C127:J127">C121/C78</f>
        <v>0.14405204460966542</v>
      </c>
      <c r="D127" s="19">
        <f t="shared" si="32"/>
        <v>0.11922963834166421</v>
      </c>
      <c r="E127" s="19">
        <f t="shared" si="32"/>
        <v>0.1630059400469678</v>
      </c>
      <c r="F127" s="19">
        <f t="shared" si="32"/>
        <v>0.2495706169903554</v>
      </c>
      <c r="G127" s="19">
        <f t="shared" si="32"/>
        <v>0.17138174303427633</v>
      </c>
      <c r="H127" s="19">
        <f t="shared" si="32"/>
        <v>0.10453434699972848</v>
      </c>
      <c r="I127" s="19">
        <f t="shared" si="32"/>
        <v>0.16695059625212946</v>
      </c>
      <c r="J127" s="32">
        <f t="shared" si="32"/>
        <v>0.05953422258404311</v>
      </c>
      <c r="K127" s="1"/>
      <c r="L127" s="1"/>
    </row>
    <row r="128" ht="15" customHeight="1">
      <c r="A128" s="1"/>
      <c r="B128" s="5" t="s">
        <v>127</v>
      </c>
      <c r="C128" s="48"/>
      <c r="D128" s="48"/>
      <c r="E128" s="48"/>
      <c r="F128" s="48"/>
      <c r="G128" s="48"/>
      <c r="H128" s="48">
        <f t="shared" si="33" ref="H128:J128">IF(COUNT(H126,C126)&lt;2,"n/a",(H126-C126)*10000)</f>
        <v>-404.8780217517156</v>
      </c>
      <c r="I128" s="48">
        <f t="shared" si="33"/>
        <v>483.8642284578776</v>
      </c>
      <c r="J128" s="49">
        <f t="shared" si="33"/>
        <v>-1033.8169623412607</v>
      </c>
      <c r="K128" s="1"/>
      <c r="L128" s="1"/>
    </row>
    <row r="129" ht="15" customHeight="1">
      <c r="A129" s="1"/>
      <c r="B129" s="5" t="s">
        <v>128</v>
      </c>
      <c r="C129" s="48"/>
      <c r="D129" s="48">
        <f t="shared" si="34" ref="D129:J129">IF(COUNT(D126,C126)&lt;2,"n/a",(D126-C126)*10000)</f>
        <v>-255.8473323624977</v>
      </c>
      <c r="E129" s="48">
        <f t="shared" si="34"/>
        <v>440.0096280643906</v>
      </c>
      <c r="F129" s="48">
        <f t="shared" si="34"/>
        <v>854.07993367975</v>
      </c>
      <c r="G129" s="48"/>
      <c r="H129" s="48">
        <f>IF(COUNT(H126,F126)&lt;2,"n/a",(H126-F126)*10000)</f>
        <v>-1443.1202511333586</v>
      </c>
      <c r="I129" s="48">
        <f t="shared" si="34"/>
        <v>632.8949178470955</v>
      </c>
      <c r="J129" s="49">
        <f t="shared" si="34"/>
        <v>-1077.6715627347478</v>
      </c>
      <c r="K129" s="1"/>
      <c r="L129" s="1"/>
    </row>
    <row r="130" ht="15" customHeight="1">
      <c r="A130" s="1"/>
      <c r="B130" s="1"/>
      <c r="C130" s="1"/>
      <c r="D130" s="1"/>
      <c r="E130" s="1"/>
      <c r="F130" s="1"/>
      <c r="G130" s="1"/>
      <c r="H130" s="1"/>
      <c r="I130" s="1"/>
      <c r="J130" s="29"/>
      <c r="K130" s="1"/>
      <c r="L130" s="1"/>
    </row>
    <row r="131" ht="15" customHeight="1">
      <c r="A131" s="1"/>
      <c r="B131" s="4" t="s">
        <v>222</v>
      </c>
      <c r="C131" s="1"/>
      <c r="D131" s="1"/>
      <c r="E131" s="1"/>
      <c r="F131" s="1"/>
      <c r="G131" s="1"/>
      <c r="H131" s="1"/>
      <c r="I131" s="1"/>
      <c r="J131" s="29"/>
      <c r="K131" s="1"/>
      <c r="L131" s="1"/>
    </row>
    <row r="132" ht="15" customHeight="1">
      <c r="A132" s="1"/>
      <c r="B132" s="1" t="s">
        <v>223</v>
      </c>
      <c r="C132" s="35">
        <v>-229</v>
      </c>
      <c r="D132" s="35">
        <v>-249</v>
      </c>
      <c r="E132" s="35">
        <v>-267</v>
      </c>
      <c r="F132" s="35">
        <v>-288</v>
      </c>
      <c r="G132" s="18">
        <f t="shared" si="3"/>
        <v>-1033</v>
      </c>
      <c r="H132" s="35">
        <v>-220</v>
      </c>
      <c r="I132" s="35">
        <v>-252</v>
      </c>
      <c r="J132" s="36">
        <f>J77*I132/I77</f>
        <v>-253.00518649116879</v>
      </c>
      <c r="K132" s="1" t="s">
        <v>81</v>
      </c>
      <c r="L132" s="1" t="s">
        <v>224</v>
      </c>
    </row>
    <row r="133" ht="15" customHeight="1">
      <c r="A133" s="1"/>
      <c r="B133" s="5" t="s">
        <v>73</v>
      </c>
      <c r="C133" s="19"/>
      <c r="D133" s="19"/>
      <c r="E133" s="19"/>
      <c r="F133" s="19"/>
      <c r="G133" s="19"/>
      <c r="H133" s="19">
        <f t="shared" si="1"/>
        <v>-0.0393013100436681</v>
      </c>
      <c r="I133" s="19">
        <f t="shared" si="1"/>
        <v>0.012048192771084265</v>
      </c>
      <c r="J133" s="32">
        <f t="shared" si="1"/>
        <v>-0.05241503186828167</v>
      </c>
      <c r="K133" s="1"/>
      <c r="L133" s="1"/>
    </row>
    <row r="134" ht="15" customHeight="1">
      <c r="A134" s="1"/>
      <c r="B134" s="1" t="s">
        <v>90</v>
      </c>
      <c r="C134" s="18"/>
      <c r="D134" s="18">
        <f t="shared" si="2"/>
        <v>-20</v>
      </c>
      <c r="E134" s="18">
        <f t="shared" si="2"/>
        <v>-18</v>
      </c>
      <c r="F134" s="18">
        <f t="shared" si="2"/>
        <v>-21</v>
      </c>
      <c r="G134" s="18"/>
      <c r="H134" s="18">
        <f t="shared" si="4"/>
        <v>68</v>
      </c>
      <c r="I134" s="18">
        <f t="shared" si="2"/>
        <v>-32</v>
      </c>
      <c r="J134" s="36">
        <f t="shared" si="2"/>
        <v>-1.0051864911687858</v>
      </c>
      <c r="K134" s="1"/>
      <c r="L134" s="1"/>
    </row>
    <row r="135" ht="15" customHeight="1">
      <c r="A135" s="1"/>
      <c r="B135" s="5" t="s">
        <v>225</v>
      </c>
      <c r="C135" s="19">
        <f t="shared" si="35" ref="C135:J135">-C132/C77</f>
        <v>0.031088786315503665</v>
      </c>
      <c r="D135" s="19">
        <f t="shared" si="35"/>
        <v>0.032630061590879306</v>
      </c>
      <c r="E135" s="19">
        <f t="shared" si="35"/>
        <v>0.03169891962483676</v>
      </c>
      <c r="F135" s="19">
        <f t="shared" si="35"/>
        <v>0.030328559393428812</v>
      </c>
      <c r="G135" s="19">
        <f t="shared" si="35"/>
        <v>0.03138291408433588</v>
      </c>
      <c r="H135" s="19">
        <f t="shared" si="35"/>
        <v>0.026917900403768506</v>
      </c>
      <c r="I135" s="19">
        <f t="shared" si="35"/>
        <v>0.028349645629429633</v>
      </c>
      <c r="J135" s="32">
        <f t="shared" si="35"/>
        <v>0.02834964562942963</v>
      </c>
      <c r="K135" s="1"/>
      <c r="L135" s="1"/>
    </row>
    <row r="136" ht="15" customHeight="1">
      <c r="A136" s="1"/>
      <c r="B136" s="5" t="s">
        <v>143</v>
      </c>
      <c r="C136" s="48"/>
      <c r="D136" s="48"/>
      <c r="E136" s="48"/>
      <c r="F136" s="48"/>
      <c r="G136" s="48"/>
      <c r="H136" s="48">
        <f t="shared" si="7"/>
        <v>-41.70885911735159</v>
      </c>
      <c r="I136" s="48">
        <f t="shared" si="7"/>
        <v>-42.804159614496726</v>
      </c>
      <c r="J136" s="49">
        <f t="shared" si="7"/>
        <v>-33.49273995407128</v>
      </c>
      <c r="K136" s="1"/>
      <c r="L136" s="1"/>
    </row>
    <row r="137" ht="15" customHeight="1">
      <c r="A137" s="1"/>
      <c r="B137" s="5" t="s">
        <v>128</v>
      </c>
      <c r="C137" s="48"/>
      <c r="D137" s="48">
        <f t="shared" si="8"/>
        <v>15.412752753756406</v>
      </c>
      <c r="E137" s="48">
        <f t="shared" si="8"/>
        <v>-9.311419660425479</v>
      </c>
      <c r="F137" s="48">
        <f t="shared" si="8"/>
        <v>-13.70360231407946</v>
      </c>
      <c r="G137" s="48"/>
      <c r="H137" s="48">
        <f t="shared" si="9"/>
        <v>-34.106589896603055</v>
      </c>
      <c r="I137" s="48">
        <f t="shared" si="8"/>
        <v>14.317452256611269</v>
      </c>
      <c r="J137" s="49">
        <f t="shared" si="8"/>
        <v>0</v>
      </c>
      <c r="K137" s="1"/>
      <c r="L137" s="1"/>
    </row>
    <row r="138" ht="15" customHeight="1">
      <c r="A138" s="1"/>
      <c r="B138" s="4" t="s">
        <v>226</v>
      </c>
      <c r="C138" s="52">
        <v>590</v>
      </c>
      <c r="D138" s="52">
        <v>608</v>
      </c>
      <c r="E138" s="52">
        <v>751</v>
      </c>
      <c r="F138" s="52">
        <v>776</v>
      </c>
      <c r="G138" s="33">
        <f t="shared" si="3"/>
        <v>2725</v>
      </c>
      <c r="H138" s="52">
        <v>711</v>
      </c>
      <c r="I138" s="52">
        <v>740</v>
      </c>
      <c r="J138" s="34">
        <f>J77*J141</f>
        <v>767.503281086984</v>
      </c>
      <c r="K138" s="1" t="s">
        <v>95</v>
      </c>
      <c r="L138" s="1" t="s">
        <v>227</v>
      </c>
    </row>
    <row r="139" ht="15" customHeight="1">
      <c r="A139" s="1"/>
      <c r="B139" s="5" t="s">
        <v>73</v>
      </c>
      <c r="C139" s="19"/>
      <c r="D139" s="19"/>
      <c r="E139" s="19"/>
      <c r="F139" s="19"/>
      <c r="G139" s="19"/>
      <c r="H139" s="19">
        <f t="shared" si="1"/>
        <v>0.20508474576271185</v>
      </c>
      <c r="I139" s="19">
        <f t="shared" si="1"/>
        <v>0.2171052631578947</v>
      </c>
      <c r="J139" s="32">
        <f t="shared" si="1"/>
        <v>0.021975074683067808</v>
      </c>
      <c r="K139" s="1"/>
      <c r="L139" s="1"/>
    </row>
    <row r="140" ht="15" customHeight="1">
      <c r="A140" s="1"/>
      <c r="B140" s="1" t="s">
        <v>90</v>
      </c>
      <c r="C140" s="18"/>
      <c r="D140" s="18">
        <f t="shared" si="2"/>
        <v>18</v>
      </c>
      <c r="E140" s="18">
        <f t="shared" si="2"/>
        <v>143</v>
      </c>
      <c r="F140" s="18">
        <f t="shared" si="2"/>
        <v>25</v>
      </c>
      <c r="G140" s="18"/>
      <c r="H140" s="18">
        <f t="shared" si="4"/>
        <v>-65</v>
      </c>
      <c r="I140" s="18">
        <f t="shared" si="2"/>
        <v>29</v>
      </c>
      <c r="J140" s="36">
        <f t="shared" si="2"/>
        <v>27.503281086983975</v>
      </c>
      <c r="K140" s="1"/>
      <c r="L140" s="1"/>
    </row>
    <row r="141" ht="15" customHeight="1">
      <c r="A141" s="1"/>
      <c r="B141" s="5" t="s">
        <v>228</v>
      </c>
      <c r="C141" s="19">
        <f t="shared" si="36" ref="C141:I141">C138/C77</f>
        <v>0.08009774640238936</v>
      </c>
      <c r="D141" s="19">
        <f t="shared" si="36"/>
        <v>0.07967500982833181</v>
      </c>
      <c r="E141" s="19">
        <f t="shared" si="36"/>
        <v>0.0891606316039416</v>
      </c>
      <c r="F141" s="19">
        <f t="shared" si="36"/>
        <v>0.08171861836562763</v>
      </c>
      <c r="G141" s="19">
        <f t="shared" si="36"/>
        <v>0.08278648681492283</v>
      </c>
      <c r="H141" s="19">
        <f t="shared" si="36"/>
        <v>0.08699375994127004</v>
      </c>
      <c r="I141" s="19">
        <f t="shared" si="36"/>
        <v>0.08324895938800765</v>
      </c>
      <c r="J141" s="66">
        <v>0.086</v>
      </c>
      <c r="K141" s="1"/>
      <c r="L141" s="1" t="s">
        <v>277</v>
      </c>
    </row>
    <row r="142" ht="15" customHeight="1">
      <c r="A142" s="1"/>
      <c r="B142" s="5" t="s">
        <v>143</v>
      </c>
      <c r="C142" s="48"/>
      <c r="D142" s="48"/>
      <c r="E142" s="48"/>
      <c r="F142" s="48"/>
      <c r="G142" s="48"/>
      <c r="H142" s="48">
        <f t="shared" si="7"/>
        <v>68.96013538880682</v>
      </c>
      <c r="I142" s="48">
        <f t="shared" si="7"/>
        <v>35.7394955967584</v>
      </c>
      <c r="J142" s="49">
        <f t="shared" si="7"/>
        <v>-31.606316039416022</v>
      </c>
      <c r="K142" s="1"/>
      <c r="L142" s="1"/>
    </row>
    <row r="143" ht="15" customHeight="1">
      <c r="A143" s="1"/>
      <c r="B143" s="5" t="s">
        <v>128</v>
      </c>
      <c r="C143" s="48"/>
      <c r="D143" s="48">
        <f t="shared" si="8"/>
        <v>-4.227365740575445</v>
      </c>
      <c r="E143" s="48">
        <f t="shared" si="8"/>
        <v>94.85621775609785</v>
      </c>
      <c r="F143" s="48">
        <f t="shared" si="8"/>
        <v>-74.42013238313963</v>
      </c>
      <c r="G143" s="48"/>
      <c r="H143" s="48">
        <f t="shared" si="9"/>
        <v>52.75141575642406</v>
      </c>
      <c r="I143" s="48">
        <f t="shared" si="8"/>
        <v>-37.44800553262387</v>
      </c>
      <c r="J143" s="49">
        <f t="shared" si="8"/>
        <v>27.51040611992342</v>
      </c>
      <c r="K143" s="1"/>
      <c r="L143" s="1"/>
    </row>
    <row r="144" ht="15" customHeight="1">
      <c r="A144" s="1"/>
      <c r="B144" s="1" t="s">
        <v>230</v>
      </c>
      <c r="C144" s="35">
        <v>-10</v>
      </c>
      <c r="D144" s="35">
        <v>-8</v>
      </c>
      <c r="E144" s="35">
        <v>0</v>
      </c>
      <c r="F144" s="35">
        <v>-3</v>
      </c>
      <c r="G144" s="18">
        <f t="shared" si="3"/>
        <v>-21</v>
      </c>
      <c r="H144" s="35">
        <v>-1</v>
      </c>
      <c r="I144" s="35">
        <v>-2</v>
      </c>
      <c r="J144" s="42">
        <v>-2</v>
      </c>
      <c r="K144" s="1" t="s">
        <v>95</v>
      </c>
      <c r="L144" s="1" t="s">
        <v>231</v>
      </c>
    </row>
    <row r="145" ht="15" customHeight="1">
      <c r="A145" s="1"/>
      <c r="B145" s="5" t="s">
        <v>73</v>
      </c>
      <c r="C145" s="43"/>
      <c r="D145" s="43"/>
      <c r="E145" s="43"/>
      <c r="F145" s="43"/>
      <c r="G145" s="43"/>
      <c r="H145" s="43">
        <f t="shared" si="1"/>
        <v>-0.9</v>
      </c>
      <c r="I145" s="43">
        <f t="shared" si="1"/>
        <v>-0.75</v>
      </c>
      <c r="J145" s="44" t="str">
        <f t="shared" si="1"/>
        <v>n/m</v>
      </c>
      <c r="K145" s="1"/>
      <c r="L145" s="1"/>
    </row>
    <row r="146" ht="15" customHeight="1">
      <c r="A146" s="1"/>
      <c r="B146" s="1" t="s">
        <v>90</v>
      </c>
      <c r="C146" s="18"/>
      <c r="D146" s="18">
        <f t="shared" si="2"/>
        <v>2</v>
      </c>
      <c r="E146" s="18">
        <f t="shared" si="2"/>
        <v>8</v>
      </c>
      <c r="F146" s="18">
        <f t="shared" si="2"/>
        <v>-3</v>
      </c>
      <c r="G146" s="18"/>
      <c r="H146" s="18">
        <f t="shared" si="4"/>
        <v>2</v>
      </c>
      <c r="I146" s="18">
        <f t="shared" si="2"/>
        <v>-1</v>
      </c>
      <c r="J146" s="36">
        <f t="shared" si="2"/>
        <v>0</v>
      </c>
      <c r="K146" s="1"/>
      <c r="L146" s="1"/>
    </row>
    <row r="147" ht="15" customHeight="1">
      <c r="A147" s="1"/>
      <c r="B147" s="1" t="s">
        <v>232</v>
      </c>
      <c r="C147" s="35">
        <v>0</v>
      </c>
      <c r="D147" s="35">
        <v>-108</v>
      </c>
      <c r="E147" s="35">
        <v>0</v>
      </c>
      <c r="F147" s="35">
        <v>0</v>
      </c>
      <c r="G147" s="18">
        <f t="shared" si="3"/>
        <v>-108</v>
      </c>
      <c r="H147" s="35">
        <v>0</v>
      </c>
      <c r="I147" s="35">
        <v>0</v>
      </c>
      <c r="J147" s="42">
        <v>0</v>
      </c>
      <c r="K147" s="1" t="s">
        <v>278</v>
      </c>
      <c r="L147" s="1" t="s">
        <v>279</v>
      </c>
    </row>
    <row r="148" ht="15" customHeight="1">
      <c r="A148" s="1"/>
      <c r="B148" s="5" t="s">
        <v>73</v>
      </c>
      <c r="C148" s="43"/>
      <c r="D148" s="43"/>
      <c r="E148" s="43"/>
      <c r="F148" s="43"/>
      <c r="G148" s="43"/>
      <c r="H148" s="43" t="str">
        <f t="shared" si="1"/>
        <v>n/m</v>
      </c>
      <c r="I148" s="43" t="str">
        <f t="shared" si="1"/>
        <v>n/m</v>
      </c>
      <c r="J148" s="44" t="str">
        <f t="shared" si="1"/>
        <v>n/m</v>
      </c>
      <c r="K148" s="1"/>
      <c r="L148" s="1"/>
    </row>
    <row r="149" ht="15" customHeight="1">
      <c r="A149" s="1"/>
      <c r="B149" s="1" t="s">
        <v>90</v>
      </c>
      <c r="C149" s="18"/>
      <c r="D149" s="18">
        <f t="shared" si="2"/>
        <v>-108</v>
      </c>
      <c r="E149" s="18">
        <f t="shared" si="2"/>
        <v>108</v>
      </c>
      <c r="F149" s="18">
        <f t="shared" si="2"/>
        <v>0</v>
      </c>
      <c r="G149" s="18"/>
      <c r="H149" s="18">
        <f t="shared" si="4"/>
        <v>0</v>
      </c>
      <c r="I149" s="18">
        <f t="shared" si="2"/>
        <v>0</v>
      </c>
      <c r="J149" s="36">
        <f t="shared" si="2"/>
        <v>0</v>
      </c>
      <c r="K149" s="1"/>
      <c r="L149" s="1"/>
    </row>
    <row r="150" ht="15" customHeight="1">
      <c r="A150" s="1"/>
      <c r="B150" s="4" t="s">
        <v>235</v>
      </c>
      <c r="C150" s="33">
        <f t="shared" si="37" ref="C150:J150">C138+C144+C147</f>
        <v>580</v>
      </c>
      <c r="D150" s="33">
        <f t="shared" si="37"/>
        <v>492</v>
      </c>
      <c r="E150" s="33">
        <f t="shared" si="37"/>
        <v>751</v>
      </c>
      <c r="F150" s="33">
        <f t="shared" si="37"/>
        <v>773</v>
      </c>
      <c r="G150" s="33">
        <f t="shared" si="37"/>
        <v>2596</v>
      </c>
      <c r="H150" s="33">
        <f t="shared" si="37"/>
        <v>710</v>
      </c>
      <c r="I150" s="33">
        <f t="shared" si="37"/>
        <v>738</v>
      </c>
      <c r="J150" s="34">
        <f t="shared" si="37"/>
        <v>765.503281086984</v>
      </c>
      <c r="K150" s="1"/>
      <c r="L150" s="1"/>
    </row>
    <row r="151" ht="15" customHeight="1">
      <c r="A151" s="1"/>
      <c r="B151" s="5" t="s">
        <v>73</v>
      </c>
      <c r="C151" s="19"/>
      <c r="D151" s="19"/>
      <c r="E151" s="19"/>
      <c r="F151" s="19"/>
      <c r="G151" s="19"/>
      <c r="H151" s="19">
        <f t="shared" si="1"/>
        <v>0.22413793103448265</v>
      </c>
      <c r="I151" s="19">
        <f t="shared" si="1"/>
        <v>0.5</v>
      </c>
      <c r="J151" s="32">
        <f t="shared" si="1"/>
        <v>0.019311958837528564</v>
      </c>
      <c r="K151" s="1"/>
      <c r="L151" s="1"/>
    </row>
    <row r="152" ht="15" customHeight="1">
      <c r="A152" s="1"/>
      <c r="B152" s="1" t="s">
        <v>90</v>
      </c>
      <c r="C152" s="18"/>
      <c r="D152" s="18">
        <f t="shared" si="2"/>
        <v>-88</v>
      </c>
      <c r="E152" s="18">
        <f t="shared" si="2"/>
        <v>259</v>
      </c>
      <c r="F152" s="18">
        <f t="shared" si="2"/>
        <v>22</v>
      </c>
      <c r="G152" s="18"/>
      <c r="H152" s="18">
        <f t="shared" si="4"/>
        <v>-63</v>
      </c>
      <c r="I152" s="18">
        <f t="shared" si="2"/>
        <v>28</v>
      </c>
      <c r="J152" s="36">
        <f t="shared" si="2"/>
        <v>27.503281086983975</v>
      </c>
      <c r="K152" s="1"/>
      <c r="L152" s="1"/>
    </row>
    <row r="153" ht="15" customHeight="1">
      <c r="A153" s="1"/>
      <c r="B153" s="5" t="s">
        <v>236</v>
      </c>
      <c r="C153" s="19">
        <f t="shared" si="38" ref="C153:J153">C150/C77</f>
        <v>0.07874015748031496</v>
      </c>
      <c r="D153" s="19">
        <f t="shared" si="38"/>
        <v>0.06447385663740007</v>
      </c>
      <c r="E153" s="19">
        <f t="shared" si="38"/>
        <v>0.0891606316039416</v>
      </c>
      <c r="F153" s="19">
        <f t="shared" si="38"/>
        <v>0.08140269587194608</v>
      </c>
      <c r="G153" s="19">
        <f t="shared" si="38"/>
        <v>0.07886742009964759</v>
      </c>
      <c r="H153" s="19">
        <f t="shared" si="38"/>
        <v>0.08687140584852564</v>
      </c>
      <c r="I153" s="19">
        <f t="shared" si="38"/>
        <v>0.08302396220047249</v>
      </c>
      <c r="J153" s="32">
        <f t="shared" si="38"/>
        <v>0.08577589672352097</v>
      </c>
      <c r="K153" s="1"/>
      <c r="L153" s="1"/>
    </row>
    <row r="154" ht="15" customHeight="1">
      <c r="A154" s="1"/>
      <c r="B154" s="5" t="s">
        <v>143</v>
      </c>
      <c r="C154" s="48"/>
      <c r="D154" s="48"/>
      <c r="E154" s="48"/>
      <c r="F154" s="48"/>
      <c r="G154" s="48"/>
      <c r="H154" s="48">
        <f t="shared" si="7"/>
        <v>81.31248368210677</v>
      </c>
      <c r="I154" s="48">
        <f t="shared" si="7"/>
        <v>185.50105563072418</v>
      </c>
      <c r="J154" s="49">
        <f t="shared" si="7"/>
        <v>-33.847348804206256</v>
      </c>
      <c r="K154" s="1"/>
      <c r="L154" s="1"/>
    </row>
    <row r="155" ht="15" customHeight="1">
      <c r="A155" s="1"/>
      <c r="B155" s="5" t="s">
        <v>128</v>
      </c>
      <c r="C155" s="48"/>
      <c r="D155" s="48">
        <f t="shared" si="8"/>
        <v>-142.66300842914887</v>
      </c>
      <c r="E155" s="48">
        <f t="shared" si="8"/>
        <v>246.86774966541523</v>
      </c>
      <c r="F155" s="48">
        <f t="shared" si="8"/>
        <v>-77.57935731995514</v>
      </c>
      <c r="G155" s="48"/>
      <c r="H155" s="48">
        <f t="shared" si="9"/>
        <v>54.68709976579555</v>
      </c>
      <c r="I155" s="48">
        <f t="shared" si="8"/>
        <v>-38.47443648053145</v>
      </c>
      <c r="J155" s="49">
        <f t="shared" si="8"/>
        <v>27.51934523048477</v>
      </c>
      <c r="K155" s="1"/>
      <c r="L155" s="1"/>
    </row>
    <row r="156" ht="15" customHeight="1">
      <c r="A156" s="1"/>
      <c r="B156" s="1" t="s">
        <v>237</v>
      </c>
      <c r="C156" s="35">
        <v>580</v>
      </c>
      <c r="D156" s="35">
        <v>492</v>
      </c>
      <c r="E156" s="35">
        <v>751</v>
      </c>
      <c r="F156" s="35">
        <v>773</v>
      </c>
      <c r="G156" s="18">
        <f t="shared" si="3"/>
        <v>2596</v>
      </c>
      <c r="H156" s="35">
        <v>710</v>
      </c>
      <c r="I156" s="35">
        <v>738</v>
      </c>
      <c r="J156" s="36"/>
      <c r="K156" s="1" t="s">
        <v>95</v>
      </c>
      <c r="L156" s="1"/>
    </row>
    <row r="157" ht="15" customHeight="1">
      <c r="A157" s="1"/>
      <c r="B157" s="1" t="s">
        <v>238</v>
      </c>
      <c r="C157" s="18">
        <f t="shared" si="39" ref="C157:I157">C150-C156</f>
        <v>0</v>
      </c>
      <c r="D157" s="18">
        <f t="shared" si="39"/>
        <v>0</v>
      </c>
      <c r="E157" s="18">
        <f t="shared" si="39"/>
        <v>0</v>
      </c>
      <c r="F157" s="18">
        <f t="shared" si="39"/>
        <v>0</v>
      </c>
      <c r="G157" s="18">
        <f t="shared" si="39"/>
        <v>0</v>
      </c>
      <c r="H157" s="18">
        <f t="shared" si="39"/>
        <v>0</v>
      </c>
      <c r="I157" s="18">
        <f t="shared" si="39"/>
        <v>0</v>
      </c>
      <c r="J157" s="36"/>
      <c r="K157" s="1"/>
      <c r="L157" s="1"/>
    </row>
    <row r="158" ht="15" customHeight="1">
      <c r="A158" s="1"/>
      <c r="B158" s="1" t="s">
        <v>239</v>
      </c>
      <c r="C158" s="35">
        <v>-6557</v>
      </c>
      <c r="D158" s="35">
        <v>-6890</v>
      </c>
      <c r="E158" s="35">
        <v>-7405</v>
      </c>
      <c r="F158" s="35">
        <v>-8435</v>
      </c>
      <c r="G158" s="18">
        <f t="shared" si="3"/>
        <v>-29287</v>
      </c>
      <c r="H158" s="35">
        <v>-7243</v>
      </c>
      <c r="I158" s="35">
        <v>-7899</v>
      </c>
      <c r="J158" s="36">
        <f>J150-J77-J132</f>
        <v>-7905.948289247242</v>
      </c>
      <c r="K158" s="1" t="s">
        <v>81</v>
      </c>
      <c r="L158" s="1" t="s">
        <v>240</v>
      </c>
    </row>
    <row r="159" ht="15" customHeight="1">
      <c r="A159" s="1"/>
      <c r="B159" s="5" t="s">
        <v>73</v>
      </c>
      <c r="C159" s="19"/>
      <c r="D159" s="19"/>
      <c r="E159" s="19"/>
      <c r="F159" s="19"/>
      <c r="G159" s="19"/>
      <c r="H159" s="19">
        <f t="shared" si="1"/>
        <v>0.10462101570840332</v>
      </c>
      <c r="I159" s="19">
        <f t="shared" si="1"/>
        <v>0.14644412191582012</v>
      </c>
      <c r="J159" s="32">
        <f t="shared" si="1"/>
        <v>0.06765000530010035</v>
      </c>
      <c r="K159" s="1"/>
      <c r="L159" s="1"/>
    </row>
    <row r="160" ht="15" customHeight="1">
      <c r="A160" s="1"/>
      <c r="B160" s="1" t="s">
        <v>90</v>
      </c>
      <c r="C160" s="18"/>
      <c r="D160" s="18">
        <f t="shared" si="2"/>
        <v>-333</v>
      </c>
      <c r="E160" s="18">
        <f t="shared" si="2"/>
        <v>-515</v>
      </c>
      <c r="F160" s="18">
        <f t="shared" si="2"/>
        <v>-1030</v>
      </c>
      <c r="G160" s="18"/>
      <c r="H160" s="18">
        <f t="shared" si="4"/>
        <v>1192</v>
      </c>
      <c r="I160" s="18">
        <f t="shared" si="2"/>
        <v>-656</v>
      </c>
      <c r="J160" s="36">
        <f t="shared" si="2"/>
        <v>-6.948289247242428</v>
      </c>
      <c r="K160" s="1"/>
      <c r="L160" s="1"/>
    </row>
    <row r="161" ht="15" customHeight="1">
      <c r="A161" s="1"/>
      <c r="B161" s="1" t="s">
        <v>241</v>
      </c>
      <c r="C161" s="18">
        <f t="shared" si="40" ref="C161:J161">C77+C132+C158-C150</f>
        <v>0</v>
      </c>
      <c r="D161" s="18">
        <f t="shared" si="40"/>
        <v>0</v>
      </c>
      <c r="E161" s="18">
        <f t="shared" si="40"/>
        <v>0</v>
      </c>
      <c r="F161" s="18">
        <f t="shared" si="40"/>
        <v>0</v>
      </c>
      <c r="G161" s="18">
        <f t="shared" si="40"/>
        <v>0</v>
      </c>
      <c r="H161" s="18">
        <f t="shared" si="40"/>
        <v>0</v>
      </c>
      <c r="I161" s="18">
        <f t="shared" si="40"/>
        <v>0</v>
      </c>
      <c r="J161" s="36">
        <f t="shared" si="40"/>
        <v>0</v>
      </c>
      <c r="K161" s="1"/>
      <c r="L161" s="1"/>
    </row>
    <row r="162" ht="15" customHeight="1">
      <c r="A162" s="1"/>
      <c r="B162" s="1"/>
      <c r="C162" s="1"/>
      <c r="D162" s="1"/>
      <c r="E162" s="1"/>
      <c r="F162" s="1"/>
      <c r="G162" s="1"/>
      <c r="H162" s="1"/>
      <c r="I162" s="1"/>
      <c r="J162" s="29"/>
      <c r="K162" s="1"/>
      <c r="L162" s="1"/>
    </row>
    <row r="163" ht="15" customHeight="1">
      <c r="A163" s="1"/>
      <c r="B163" s="4" t="s">
        <v>242</v>
      </c>
      <c r="C163" s="1"/>
      <c r="D163" s="1"/>
      <c r="E163" s="1"/>
      <c r="F163" s="1"/>
      <c r="G163" s="1"/>
      <c r="H163" s="1"/>
      <c r="I163" s="1"/>
      <c r="J163" s="29"/>
      <c r="K163" s="1"/>
      <c r="L163" s="1"/>
    </row>
    <row r="164" ht="15" customHeight="1">
      <c r="A164" s="1"/>
      <c r="B164" s="1" t="s">
        <v>243</v>
      </c>
      <c r="C164" s="35">
        <v>194</v>
      </c>
      <c r="D164" s="35">
        <v>194</v>
      </c>
      <c r="E164" s="35">
        <v>189</v>
      </c>
      <c r="F164" s="35">
        <v>209</v>
      </c>
      <c r="G164" s="18">
        <f t="shared" si="3"/>
        <v>786</v>
      </c>
      <c r="H164" s="35">
        <v>200</v>
      </c>
      <c r="I164" s="35">
        <v>203</v>
      </c>
      <c r="J164" s="36">
        <f t="shared" si="41"/>
        <v>203</v>
      </c>
      <c r="K164" s="1" t="s">
        <v>81</v>
      </c>
      <c r="L164" s="1" t="s">
        <v>82</v>
      </c>
    </row>
    <row r="165" ht="15" customHeight="1">
      <c r="A165" s="1"/>
      <c r="B165" s="5" t="s">
        <v>73</v>
      </c>
      <c r="C165" s="19"/>
      <c r="D165" s="19"/>
      <c r="E165" s="19"/>
      <c r="F165" s="19"/>
      <c r="G165" s="19"/>
      <c r="H165" s="19">
        <f t="shared" si="1"/>
        <v>0.030927835051546282</v>
      </c>
      <c r="I165" s="19">
        <f t="shared" si="1"/>
        <v>0.046391752577319645</v>
      </c>
      <c r="J165" s="32">
        <f t="shared" si="1"/>
        <v>0.07407407407407418</v>
      </c>
      <c r="K165" s="1"/>
      <c r="L165" s="1"/>
    </row>
    <row r="166" ht="15" customHeight="1">
      <c r="A166" s="1"/>
      <c r="B166" s="1" t="s">
        <v>90</v>
      </c>
      <c r="C166" s="18"/>
      <c r="D166" s="18">
        <f t="shared" si="2"/>
        <v>0</v>
      </c>
      <c r="E166" s="18">
        <f t="shared" si="2"/>
        <v>-5</v>
      </c>
      <c r="F166" s="18">
        <f t="shared" si="2"/>
        <v>20</v>
      </c>
      <c r="G166" s="18"/>
      <c r="H166" s="18">
        <f t="shared" si="4"/>
        <v>-9</v>
      </c>
      <c r="I166" s="18">
        <f t="shared" si="2"/>
        <v>3</v>
      </c>
      <c r="J166" s="36">
        <f t="shared" si="2"/>
        <v>0</v>
      </c>
      <c r="K166" s="1"/>
      <c r="L166" s="1"/>
    </row>
    <row r="167" ht="15" customHeight="1">
      <c r="A167" s="1"/>
      <c r="B167" s="1" t="s">
        <v>244</v>
      </c>
      <c r="C167" s="35">
        <v>153</v>
      </c>
      <c r="D167" s="35">
        <v>180</v>
      </c>
      <c r="E167" s="35">
        <v>236</v>
      </c>
      <c r="F167" s="35">
        <v>426</v>
      </c>
      <c r="G167" s="18">
        <f t="shared" si="3"/>
        <v>995</v>
      </c>
      <c r="H167" s="35">
        <v>174</v>
      </c>
      <c r="I167" s="35">
        <v>193</v>
      </c>
      <c r="J167" s="36">
        <f t="shared" si="41"/>
        <v>193</v>
      </c>
      <c r="K167" s="1" t="s">
        <v>81</v>
      </c>
      <c r="L167" s="1" t="s">
        <v>82</v>
      </c>
    </row>
    <row r="168" ht="15" customHeight="1">
      <c r="A168" s="1"/>
      <c r="B168" s="5" t="s">
        <v>73</v>
      </c>
      <c r="C168" s="19"/>
      <c r="D168" s="19"/>
      <c r="E168" s="19"/>
      <c r="F168" s="19"/>
      <c r="G168" s="19"/>
      <c r="H168" s="19">
        <f t="shared" si="1"/>
        <v>0.13725490196078427</v>
      </c>
      <c r="I168" s="19">
        <f t="shared" si="1"/>
        <v>0.07222222222222219</v>
      </c>
      <c r="J168" s="32">
        <f t="shared" si="1"/>
        <v>-0.18220338983050843</v>
      </c>
      <c r="K168" s="1"/>
      <c r="L168" s="1"/>
    </row>
    <row r="169" ht="15" customHeight="1">
      <c r="A169" s="1"/>
      <c r="B169" s="1" t="s">
        <v>90</v>
      </c>
      <c r="C169" s="18"/>
      <c r="D169" s="18">
        <f t="shared" si="2"/>
        <v>27</v>
      </c>
      <c r="E169" s="18">
        <f t="shared" si="2"/>
        <v>56</v>
      </c>
      <c r="F169" s="18">
        <f t="shared" si="2"/>
        <v>190</v>
      </c>
      <c r="G169" s="18"/>
      <c r="H169" s="18">
        <f t="shared" si="4"/>
        <v>-252</v>
      </c>
      <c r="I169" s="18">
        <f t="shared" si="2"/>
        <v>19</v>
      </c>
      <c r="J169" s="36">
        <f t="shared" si="2"/>
        <v>0</v>
      </c>
      <c r="K169" s="1"/>
      <c r="L169" s="1"/>
    </row>
    <row r="170" ht="15" customHeight="1">
      <c r="A170" s="1"/>
      <c r="B170" s="5" t="s">
        <v>245</v>
      </c>
      <c r="C170" s="19">
        <f t="shared" si="42" ref="C170:J170">C167/C77</f>
        <v>0.020771110507738257</v>
      </c>
      <c r="D170" s="19">
        <f t="shared" si="42"/>
        <v>0.023587996330756127</v>
      </c>
      <c r="E170" s="19">
        <f t="shared" si="42"/>
        <v>0.028018520717084175</v>
      </c>
      <c r="F170" s="19">
        <f t="shared" si="42"/>
        <v>0.04486099410278012</v>
      </c>
      <c r="G170" s="19">
        <f t="shared" si="42"/>
        <v>0.030228460323247053</v>
      </c>
      <c r="H170" s="19">
        <f t="shared" si="42"/>
        <v>0.021289612137526</v>
      </c>
      <c r="I170" s="19">
        <f t="shared" si="42"/>
        <v>0.021712228597142537</v>
      </c>
      <c r="J170" s="32">
        <f t="shared" si="42"/>
        <v>0.021625966180226514</v>
      </c>
      <c r="K170" s="1"/>
      <c r="L170" s="1"/>
    </row>
    <row r="171" ht="15" customHeight="1">
      <c r="A171" s="1"/>
      <c r="B171" s="5" t="s">
        <v>143</v>
      </c>
      <c r="C171" s="48"/>
      <c r="D171" s="48"/>
      <c r="E171" s="48"/>
      <c r="F171" s="48"/>
      <c r="G171" s="48"/>
      <c r="H171" s="48">
        <f t="shared" si="7"/>
        <v>5.185016297877438</v>
      </c>
      <c r="I171" s="48">
        <f t="shared" si="7"/>
        <v>-18.757677336135906</v>
      </c>
      <c r="J171" s="49">
        <f t="shared" si="7"/>
        <v>-63.92554536857661</v>
      </c>
      <c r="K171" s="1"/>
      <c r="L171" s="1"/>
    </row>
    <row r="172" ht="15" customHeight="1">
      <c r="A172" s="1"/>
      <c r="B172" s="5" t="s">
        <v>128</v>
      </c>
      <c r="C172" s="48"/>
      <c r="D172" s="48">
        <f t="shared" si="8"/>
        <v>28.168858230178706</v>
      </c>
      <c r="E172" s="48">
        <f t="shared" si="8"/>
        <v>44.305243863280474</v>
      </c>
      <c r="F172" s="48">
        <f t="shared" si="8"/>
        <v>168.42473385695945</v>
      </c>
      <c r="G172" s="48"/>
      <c r="H172" s="48">
        <f t="shared" si="9"/>
        <v>-235.7138196525412</v>
      </c>
      <c r="I172" s="48">
        <f t="shared" si="8"/>
        <v>4.226164596165365</v>
      </c>
      <c r="J172" s="49">
        <f t="shared" si="8"/>
        <v>-0.8626241691602268</v>
      </c>
      <c r="K172" s="1"/>
      <c r="L172" s="1"/>
    </row>
    <row r="173" ht="15" customHeight="1">
      <c r="A173" s="1"/>
      <c r="B173" s="1" t="s">
        <v>246</v>
      </c>
      <c r="C173" s="18">
        <f t="shared" si="43" ref="C173:J173">C138+C164</f>
        <v>784</v>
      </c>
      <c r="D173" s="18">
        <f t="shared" si="43"/>
        <v>802</v>
      </c>
      <c r="E173" s="18">
        <f t="shared" si="43"/>
        <v>940</v>
      </c>
      <c r="F173" s="18">
        <f t="shared" si="43"/>
        <v>985</v>
      </c>
      <c r="G173" s="18">
        <f t="shared" si="43"/>
        <v>3511</v>
      </c>
      <c r="H173" s="18">
        <f t="shared" si="43"/>
        <v>911</v>
      </c>
      <c r="I173" s="18">
        <f t="shared" si="43"/>
        <v>943</v>
      </c>
      <c r="J173" s="36">
        <f t="shared" si="43"/>
        <v>970.503281086984</v>
      </c>
      <c r="K173" s="1"/>
      <c r="L173" s="1"/>
    </row>
    <row r="174" ht="15" customHeight="1">
      <c r="A174" s="1"/>
      <c r="B174" s="5" t="s">
        <v>73</v>
      </c>
      <c r="C174" s="19"/>
      <c r="D174" s="19"/>
      <c r="E174" s="19"/>
      <c r="F174" s="19"/>
      <c r="G174" s="19"/>
      <c r="H174" s="19">
        <f t="shared" si="1"/>
        <v>0.16198979591836737</v>
      </c>
      <c r="I174" s="19">
        <f t="shared" si="1"/>
        <v>0.17581047381546133</v>
      </c>
      <c r="J174" s="32">
        <f t="shared" si="1"/>
        <v>0.03245029902870633</v>
      </c>
      <c r="K174" s="1"/>
      <c r="L174" s="1"/>
    </row>
    <row r="175" ht="15" customHeight="1">
      <c r="A175" s="1"/>
      <c r="B175" s="1"/>
      <c r="C175" s="1"/>
      <c r="D175" s="1"/>
      <c r="E175" s="1"/>
      <c r="F175" s="1"/>
      <c r="G175" s="1"/>
      <c r="H175" s="1"/>
      <c r="I175" s="1"/>
      <c r="J175" s="29"/>
      <c r="K175" s="1"/>
      <c r="L175" s="1"/>
    </row>
    <row r="176" ht="15" customHeight="1">
      <c r="A176" s="1"/>
      <c r="B176" s="4" t="s">
        <v>280</v>
      </c>
      <c r="C176" s="1"/>
      <c r="D176" s="1"/>
      <c r="E176" s="1"/>
      <c r="F176" s="1"/>
      <c r="G176" s="1"/>
      <c r="H176" s="1"/>
      <c r="I176" s="1"/>
      <c r="J176" s="29"/>
      <c r="K176" s="1"/>
      <c r="L176" s="1"/>
    </row>
    <row r="177" ht="15" customHeight="1">
      <c r="A177" s="1"/>
      <c r="B177" s="1" t="s">
        <v>147</v>
      </c>
      <c r="C177" s="18"/>
      <c r="D177" s="18"/>
      <c r="E177" s="18"/>
      <c r="F177" s="18">
        <f t="shared" si="44" ref="F177:J177">E180</f>
        <v>31000</v>
      </c>
      <c r="G177" s="18"/>
      <c r="H177" s="18">
        <f>F180</f>
        <v>32000</v>
      </c>
      <c r="I177" s="18">
        <f t="shared" si="44"/>
        <v>35000</v>
      </c>
      <c r="J177" s="36">
        <f t="shared" si="44"/>
        <v>33000</v>
      </c>
      <c r="K177" s="1"/>
      <c r="L177" s="1" t="s">
        <v>248</v>
      </c>
    </row>
    <row r="178" ht="15" customHeight="1">
      <c r="A178" s="1"/>
      <c r="B178" s="1" t="s">
        <v>249</v>
      </c>
      <c r="C178" s="18"/>
      <c r="D178" s="18"/>
      <c r="E178" s="18"/>
      <c r="F178" s="17">
        <f>-('Segment - Collins Aerospace'!F58+'Segment - Pratt &amp; Whitney'!F65)</f>
        <v>-4813</v>
      </c>
      <c r="G178" s="18"/>
      <c r="H178" s="17">
        <f>-('Segment - Collins Aerospace'!H58+'Segment - Pratt &amp; Whitney'!H65)</f>
        <v>-4382</v>
      </c>
      <c r="I178" s="17">
        <f>-('Segment - Collins Aerospace'!I58+'Segment - Pratt &amp; Whitney'!I65)</f>
        <v>-4772</v>
      </c>
      <c r="J178" s="30">
        <f>-('Segment - Collins Aerospace'!J58+'Segment - Pratt &amp; Whitney'!J65)</f>
        <v>-4651.016756825397</v>
      </c>
      <c r="K178" s="1"/>
      <c r="L178" s="1" t="s">
        <v>281</v>
      </c>
    </row>
    <row r="179" ht="15" customHeight="1">
      <c r="A179" s="1"/>
      <c r="B179" s="1" t="s">
        <v>149</v>
      </c>
      <c r="C179" s="18"/>
      <c r="D179" s="18"/>
      <c r="E179" s="18"/>
      <c r="F179" s="18">
        <f t="shared" si="45" ref="F179:I179">F180-F177-F178</f>
        <v>5813</v>
      </c>
      <c r="G179" s="18"/>
      <c r="H179" s="18">
        <f t="shared" si="45"/>
        <v>7382</v>
      </c>
      <c r="I179" s="18">
        <f t="shared" si="45"/>
        <v>2772</v>
      </c>
      <c r="J179" s="36">
        <f>-J178*J182</f>
        <v>5116.1184325079375</v>
      </c>
      <c r="K179" s="1"/>
      <c r="L179" s="1"/>
    </row>
    <row r="180" ht="15" customHeight="1">
      <c r="A180" s="1"/>
      <c r="B180" s="4" t="s">
        <v>251</v>
      </c>
      <c r="C180" s="33"/>
      <c r="D180" s="33"/>
      <c r="E180" s="69">
        <f>'Revenue summary'!E145-'Segment - Raytheon'!E15</f>
        <v>31000</v>
      </c>
      <c r="F180" s="69">
        <f>'Revenue summary'!F145-'Segment - Raytheon'!F15</f>
        <v>32000</v>
      </c>
      <c r="G180" s="33"/>
      <c r="H180" s="69">
        <f>'Revenue summary'!H145-'Segment - Raytheon'!H15</f>
        <v>35000</v>
      </c>
      <c r="I180" s="69">
        <f>'Revenue summary'!I145-'Segment - Raytheon'!I15</f>
        <v>33000</v>
      </c>
      <c r="J180" s="34">
        <f>J177+J179+J178</f>
        <v>33465.10167568254</v>
      </c>
      <c r="K180" s="1" t="s">
        <v>282</v>
      </c>
      <c r="L180" s="1"/>
    </row>
    <row r="181" ht="15" customHeight="1">
      <c r="A181" s="1"/>
      <c r="B181" s="1" t="s">
        <v>161</v>
      </c>
      <c r="C181" s="55"/>
      <c r="D181" s="55" t="str">
        <f t="shared" si="46" ref="D181:J181">IF(COUNT(D177,D180)&lt;2,"n/a",(D177+D180)/2)</f>
        <v>n/a</v>
      </c>
      <c r="E181" s="55" t="str">
        <f t="shared" si="46"/>
        <v>n/a</v>
      </c>
      <c r="F181" s="55">
        <f t="shared" si="46"/>
        <v>31500</v>
      </c>
      <c r="G181" s="55"/>
      <c r="H181" s="55">
        <f t="shared" si="46"/>
        <v>33500</v>
      </c>
      <c r="I181" s="55">
        <f t="shared" si="46"/>
        <v>34000</v>
      </c>
      <c r="J181" s="56">
        <f t="shared" si="46"/>
        <v>33232.55083784127</v>
      </c>
      <c r="K181" s="1"/>
      <c r="L181" s="1"/>
    </row>
    <row r="182" ht="15" customHeight="1">
      <c r="A182" s="1"/>
      <c r="B182" s="1" t="s">
        <v>252</v>
      </c>
      <c r="C182" s="53"/>
      <c r="D182" s="53" t="str">
        <f t="shared" si="47" ref="D182:I182">IF(COUNT(D179,D178)&lt;2,"n/a",D179/-D178)</f>
        <v>n/a</v>
      </c>
      <c r="E182" s="53" t="str">
        <f t="shared" si="47"/>
        <v>n/a</v>
      </c>
      <c r="F182" s="53">
        <f t="shared" si="47"/>
        <v>1.2077706212341575</v>
      </c>
      <c r="G182" s="53"/>
      <c r="H182" s="53">
        <f t="shared" si="47"/>
        <v>1.6846188954815153</v>
      </c>
      <c r="I182" s="53">
        <f t="shared" si="47"/>
        <v>0.5808885163453479</v>
      </c>
      <c r="J182" s="72">
        <v>1.1</v>
      </c>
      <c r="K182" s="1"/>
      <c r="L182" s="1" t="s">
        <v>231</v>
      </c>
    </row>
    <row r="183" ht="15" customHeight="1">
      <c r="A183" s="1"/>
      <c r="B183" s="5" t="s">
        <v>253</v>
      </c>
      <c r="C183" s="43"/>
      <c r="D183" s="43"/>
      <c r="E183" s="43"/>
      <c r="F183" s="43"/>
      <c r="G183" s="43"/>
      <c r="H183" s="43" t="str">
        <f t="shared" si="48" ref="H183:J183">IF(COUNT(H180,C180)&lt;2,"n/a",IF(H180*C180&lt;=0,"n/m",H180/C180-1))</f>
        <v>n/a</v>
      </c>
      <c r="I183" s="43" t="str">
        <f t="shared" si="48"/>
        <v>n/a</v>
      </c>
      <c r="J183" s="44">
        <f t="shared" si="48"/>
        <v>0.07951940889298514</v>
      </c>
      <c r="K183" s="1"/>
      <c r="L183" s="1"/>
    </row>
    <row r="184" ht="15" customHeight="1">
      <c r="A184" s="1"/>
      <c r="B184" s="1" t="s">
        <v>254</v>
      </c>
      <c r="C184" s="55"/>
      <c r="D184" s="55" t="str">
        <f t="shared" si="49" ref="D184:J184">IF(COUNT(D180,C180)&lt;2,"n/a",D180-C180)</f>
        <v>n/a</v>
      </c>
      <c r="E184" s="55" t="str">
        <f t="shared" si="49"/>
        <v>n/a</v>
      </c>
      <c r="F184" s="55">
        <f t="shared" si="49"/>
        <v>1000</v>
      </c>
      <c r="G184" s="55"/>
      <c r="H184" s="55">
        <f>IF(COUNT(H180,F180)&lt;2,"n/a",H180-F180)</f>
        <v>3000</v>
      </c>
      <c r="I184" s="55">
        <f t="shared" si="49"/>
        <v>-2000</v>
      </c>
      <c r="J184" s="56">
        <f t="shared" si="49"/>
        <v>465.1016756825411</v>
      </c>
      <c r="K184" s="1"/>
      <c r="L184" s="1"/>
    </row>
    <row r="185" ht="15" customHeight="1">
      <c r="A185" s="1"/>
      <c r="B185" s="5" t="s">
        <v>255</v>
      </c>
      <c r="C185" s="43"/>
      <c r="D185" s="43"/>
      <c r="E185" s="43"/>
      <c r="F185" s="43"/>
      <c r="G185" s="43"/>
      <c r="H185" s="43" t="str">
        <f t="shared" si="50" ref="H185:J185">IF(COUNT(H179,C179)&lt;2,"n/a",IF(H179*C179&lt;=0,"n/m",H179/C179-1))</f>
        <v>n/a</v>
      </c>
      <c r="I185" s="43" t="str">
        <f t="shared" si="50"/>
        <v>n/a</v>
      </c>
      <c r="J185" s="44" t="str">
        <f t="shared" si="50"/>
        <v>n/a</v>
      </c>
      <c r="K185" s="1"/>
      <c r="L185" s="1"/>
    </row>
    <row r="186" ht="15" customHeight="1">
      <c r="A186" s="1"/>
      <c r="B186" s="1" t="s">
        <v>256</v>
      </c>
      <c r="C186" s="55"/>
      <c r="D186" s="55" t="str">
        <f t="shared" si="51" ref="D186:J186">IF(COUNT(D179,C179)&lt;2,"n/a",D179-C179)</f>
        <v>n/a</v>
      </c>
      <c r="E186" s="55" t="str">
        <f t="shared" si="51"/>
        <v>n/a</v>
      </c>
      <c r="F186" s="55" t="str">
        <f t="shared" si="51"/>
        <v>n/a</v>
      </c>
      <c r="G186" s="55"/>
      <c r="H186" s="55">
        <f>IF(COUNT(H179,F179)&lt;2,"n/a",H179-F179)</f>
        <v>1569</v>
      </c>
      <c r="I186" s="55">
        <f t="shared" si="51"/>
        <v>-4610</v>
      </c>
      <c r="J186" s="56">
        <f t="shared" si="51"/>
        <v>2344.1184325079375</v>
      </c>
      <c r="K186" s="1"/>
      <c r="L186" s="1"/>
    </row>
    <row r="187" ht="15" customHeight="1">
      <c r="A187" s="1"/>
      <c r="B187" s="1" t="s">
        <v>162</v>
      </c>
      <c r="C187" s="55"/>
      <c r="D187" s="55" t="str">
        <f t="shared" si="52" ref="D187:J188">IF(COUNT(D181,C181)&lt;2,"n/a",D181-C181)</f>
        <v>n/a</v>
      </c>
      <c r="E187" s="55" t="str">
        <f t="shared" si="52"/>
        <v>n/a</v>
      </c>
      <c r="F187" s="55" t="str">
        <f t="shared" si="52"/>
        <v>n/a</v>
      </c>
      <c r="G187" s="55"/>
      <c r="H187" s="55">
        <f t="shared" si="53" ref="H187:H188">IF(COUNT(H181,F181)&lt;2,"n/a",H181-F181)</f>
        <v>2000</v>
      </c>
      <c r="I187" s="55">
        <f t="shared" si="52"/>
        <v>500</v>
      </c>
      <c r="J187" s="56">
        <f t="shared" si="52"/>
        <v>-767.4491621587295</v>
      </c>
      <c r="K187" s="1"/>
      <c r="L187" s="1"/>
    </row>
    <row r="188" ht="15" customHeight="1">
      <c r="A188" s="1"/>
      <c r="B188" s="1" t="s">
        <v>154</v>
      </c>
      <c r="C188" s="53"/>
      <c r="D188" s="53" t="str">
        <f t="shared" si="52"/>
        <v>n/a</v>
      </c>
      <c r="E188" s="53" t="str">
        <f t="shared" si="52"/>
        <v>n/a</v>
      </c>
      <c r="F188" s="53" t="str">
        <f t="shared" si="52"/>
        <v>n/a</v>
      </c>
      <c r="G188" s="53"/>
      <c r="H188" s="53">
        <f t="shared" si="53"/>
        <v>0.4768482742473579</v>
      </c>
      <c r="I188" s="53">
        <f t="shared" si="52"/>
        <v>-1.1037303791361674</v>
      </c>
      <c r="J188" s="54">
        <f t="shared" si="52"/>
        <v>0.5191114836546522</v>
      </c>
      <c r="K188" s="1"/>
      <c r="L188" s="1"/>
    </row>
    <row r="189" ht="15" customHeight="1">
      <c r="A189" s="1"/>
      <c r="B189" s="1" t="s">
        <v>155</v>
      </c>
      <c r="C189" s="53"/>
      <c r="D189" s="53"/>
      <c r="E189" s="53"/>
      <c r="F189" s="53"/>
      <c r="G189" s="53"/>
      <c r="H189" s="53" t="str">
        <f t="shared" si="54" ref="H189:J189">IF(COUNT(H182,C182)&lt;2,"n/a",H182-C182)</f>
        <v>n/a</v>
      </c>
      <c r="I189" s="53" t="str">
        <f t="shared" si="54"/>
        <v>n/a</v>
      </c>
      <c r="J189" s="54" t="str">
        <f t="shared" si="54"/>
        <v>n/a</v>
      </c>
      <c r="K189" s="1"/>
      <c r="L189" s="1"/>
    </row>
    <row r="190" ht="15" customHeight="1">
      <c r="A190" s="1"/>
      <c r="B190" s="5" t="s">
        <v>257</v>
      </c>
      <c r="C190" s="43"/>
      <c r="D190" s="43"/>
      <c r="E190" s="43"/>
      <c r="F190" s="43"/>
      <c r="G190" s="43"/>
      <c r="H190" s="43" t="str">
        <f t="shared" si="55" ref="H190:J190">IF(COUNT(H181,C181)&lt;2,"n/a",IF(H181*C181&lt;=0,"n/m",H181/C181-1))</f>
        <v>n/a</v>
      </c>
      <c r="I190" s="43" t="str">
        <f t="shared" si="55"/>
        <v>n/a</v>
      </c>
      <c r="J190" s="44" t="str">
        <f t="shared" si="55"/>
        <v>n/a</v>
      </c>
      <c r="K190" s="1"/>
      <c r="L190" s="1"/>
    </row>
    <row r="191" ht="15" customHeight="1">
      <c r="A191" s="1"/>
      <c r="B191" s="1"/>
      <c r="C191" s="1"/>
      <c r="D191" s="1"/>
      <c r="E191" s="1"/>
      <c r="F191" s="1"/>
      <c r="G191" s="1"/>
      <c r="H191" s="1"/>
      <c r="I191" s="1"/>
      <c r="J191" s="29"/>
      <c r="K191" s="1"/>
      <c r="L191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D872EA8-A6F8-58A2-2378-C48B373D8FF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6.00390625" customWidth="1"/>
    <col min="3" max="10" width="12.00390625" customWidth="1"/>
    <col min="11" max="11" width="20.00390625" customWidth="1"/>
    <col min="12" max="12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4" t="s">
        <v>283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ht="15" customHeight="1">
      <c r="A6" s="1"/>
      <c r="B6" s="6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8" t="s">
        <v>12</v>
      </c>
      <c r="K6" s="6" t="s">
        <v>13</v>
      </c>
      <c r="L6" s="6" t="s">
        <v>14</v>
      </c>
    </row>
    <row r="7" ht="15" customHeight="1">
      <c r="A7" s="1"/>
      <c r="B7" s="9" t="s">
        <v>15</v>
      </c>
      <c r="C7" s="10">
        <v>45747</v>
      </c>
      <c r="D7" s="10">
        <v>45838</v>
      </c>
      <c r="E7" s="10">
        <v>45930</v>
      </c>
      <c r="F7" s="10">
        <v>46022</v>
      </c>
      <c r="G7" s="10">
        <v>46022</v>
      </c>
      <c r="H7" s="10">
        <v>46112</v>
      </c>
      <c r="I7" s="10">
        <v>46203</v>
      </c>
      <c r="J7" s="11">
        <v>46295</v>
      </c>
      <c r="K7" s="9"/>
      <c r="L7" s="9" t="s">
        <v>284</v>
      </c>
    </row>
    <row r="8" ht="15" customHeight="1">
      <c r="A8" s="1"/>
      <c r="B8" s="12" t="s">
        <v>16</v>
      </c>
      <c r="C8" s="13">
        <f>C7-EOMONTH(C7,-3)</f>
        <v>90</v>
      </c>
      <c r="D8" s="13">
        <f t="shared" si="0" ref="D8:J8">D7-C7</f>
        <v>91</v>
      </c>
      <c r="E8" s="13">
        <f t="shared" si="0"/>
        <v>92</v>
      </c>
      <c r="F8" s="13">
        <f t="shared" si="0"/>
        <v>92</v>
      </c>
      <c r="G8" s="13">
        <f>G7-EOMONTH(G7,-12)</f>
        <v>365</v>
      </c>
      <c r="H8" s="13">
        <f>H7-F7</f>
        <v>90</v>
      </c>
      <c r="I8" s="13">
        <f t="shared" si="0"/>
        <v>91</v>
      </c>
      <c r="J8" s="14">
        <f t="shared" si="0"/>
        <v>92</v>
      </c>
      <c r="K8" s="12"/>
      <c r="L8" s="12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15" customHeight="1">
      <c r="A10" s="1"/>
      <c r="B10" s="4" t="s">
        <v>285</v>
      </c>
      <c r="C10" s="1"/>
      <c r="D10" s="1"/>
      <c r="E10" s="1"/>
      <c r="F10" s="1"/>
      <c r="G10" s="1"/>
      <c r="H10" s="1"/>
      <c r="I10" s="1"/>
      <c r="J10" s="29"/>
      <c r="K10" s="1"/>
      <c r="L10" s="1"/>
    </row>
    <row r="11" ht="15" customHeight="1">
      <c r="A11" s="1"/>
      <c r="B11" s="1" t="s">
        <v>147</v>
      </c>
      <c r="C11" s="18"/>
      <c r="D11" s="18"/>
      <c r="E11" s="18"/>
      <c r="F11" s="18">
        <f t="shared" si="1" ref="F11:J11">E15</f>
        <v>72000</v>
      </c>
      <c r="G11" s="18"/>
      <c r="H11" s="18">
        <f>F15</f>
        <v>75000</v>
      </c>
      <c r="I11" s="18">
        <f t="shared" si="1"/>
        <v>74000</v>
      </c>
      <c r="J11" s="36">
        <f t="shared" si="1"/>
        <v>86000</v>
      </c>
      <c r="K11" s="1" t="s">
        <v>286</v>
      </c>
      <c r="L11" s="1" t="s">
        <v>248</v>
      </c>
    </row>
    <row r="12" ht="15" customHeight="1">
      <c r="A12" s="1"/>
      <c r="B12" s="1" t="s">
        <v>287</v>
      </c>
      <c r="C12" s="18"/>
      <c r="D12" s="18"/>
      <c r="E12" s="35">
        <v>15900</v>
      </c>
      <c r="F12" s="35">
        <v>10300</v>
      </c>
      <c r="G12" s="18"/>
      <c r="H12" s="35">
        <v>6600</v>
      </c>
      <c r="I12" s="35">
        <v>19900</v>
      </c>
      <c r="J12" s="36">
        <f>-J17*J13</f>
        <v>11610</v>
      </c>
      <c r="K12" s="1" t="s">
        <v>288</v>
      </c>
      <c r="L12" s="1" t="s">
        <v>289</v>
      </c>
    </row>
    <row r="13" ht="15" customHeight="1">
      <c r="A13" s="1"/>
      <c r="B13" s="1" t="s">
        <v>290</v>
      </c>
      <c r="C13" s="18"/>
      <c r="D13" s="18"/>
      <c r="E13" s="18">
        <f t="shared" si="2" ref="E13:I13">-E59</f>
        <v>-7045</v>
      </c>
      <c r="F13" s="18">
        <f t="shared" si="2"/>
        <v>-7657</v>
      </c>
      <c r="G13" s="18"/>
      <c r="H13" s="18">
        <f t="shared" si="2"/>
        <v>-6945</v>
      </c>
      <c r="I13" s="18">
        <f t="shared" si="2"/>
        <v>-8269</v>
      </c>
      <c r="J13" s="36">
        <f>-J11*J18</f>
        <v>-7740</v>
      </c>
      <c r="K13" s="1"/>
      <c r="L13" s="1" t="s">
        <v>291</v>
      </c>
    </row>
    <row r="14" ht="15" customHeight="1">
      <c r="A14" s="1"/>
      <c r="B14" s="1" t="s">
        <v>292</v>
      </c>
      <c r="C14" s="18"/>
      <c r="D14" s="18"/>
      <c r="E14" s="18"/>
      <c r="F14" s="18">
        <f t="shared" si="3" ref="F14:I14">F15-F11-F12-F13</f>
        <v>357</v>
      </c>
      <c r="G14" s="18"/>
      <c r="H14" s="18">
        <f t="shared" si="3"/>
        <v>-655</v>
      </c>
      <c r="I14" s="18">
        <f t="shared" si="3"/>
        <v>369</v>
      </c>
      <c r="J14" s="42">
        <v>0</v>
      </c>
      <c r="K14" s="1"/>
      <c r="L14" s="1" t="s">
        <v>293</v>
      </c>
    </row>
    <row r="15" ht="15" customHeight="1">
      <c r="A15" s="1"/>
      <c r="B15" s="4" t="s">
        <v>251</v>
      </c>
      <c r="C15" s="33"/>
      <c r="D15" s="33"/>
      <c r="E15" s="52">
        <v>72000</v>
      </c>
      <c r="F15" s="52">
        <v>75000</v>
      </c>
      <c r="G15" s="33">
        <f t="shared" si="47" ref="G15:J158">F15</f>
        <v>75000</v>
      </c>
      <c r="H15" s="52">
        <v>74000</v>
      </c>
      <c r="I15" s="52">
        <v>86000</v>
      </c>
      <c r="J15" s="34">
        <f>J11+J12+J13+J14</f>
        <v>89870</v>
      </c>
      <c r="K15" s="1" t="s">
        <v>288</v>
      </c>
      <c r="L15" s="1"/>
    </row>
    <row r="16" ht="15" customHeight="1">
      <c r="A16" s="1"/>
      <c r="B16" s="5" t="s">
        <v>73</v>
      </c>
      <c r="C16" s="43"/>
      <c r="D16" s="43"/>
      <c r="E16" s="43"/>
      <c r="F16" s="43"/>
      <c r="G16" s="43"/>
      <c r="H16" s="43" t="str">
        <f t="shared" si="4" ref="H16:J165">IF(COUNT(H15,C15)&lt;2,"n/a",IF(H15*C15&lt;=0,"n/m",H15/C15-1))</f>
        <v>n/a</v>
      </c>
      <c r="I16" s="43" t="str">
        <f t="shared" si="4"/>
        <v>n/a</v>
      </c>
      <c r="J16" s="44">
        <f t="shared" si="4"/>
        <v>0.24819444444444438</v>
      </c>
      <c r="K16" s="1"/>
      <c r="L16" s="1" t="s">
        <v>294</v>
      </c>
    </row>
    <row r="17" ht="15" customHeight="1">
      <c r="A17" s="1"/>
      <c r="B17" s="1" t="s">
        <v>252</v>
      </c>
      <c r="C17" s="50"/>
      <c r="D17" s="50"/>
      <c r="E17" s="50">
        <f t="shared" si="5" ref="E17:I17">_xlfn.IFERROR(E12/-E13,"n/a")</f>
        <v>2.2569198012775016</v>
      </c>
      <c r="F17" s="50">
        <f t="shared" si="5"/>
        <v>1.345174350267729</v>
      </c>
      <c r="G17" s="50"/>
      <c r="H17" s="50">
        <f t="shared" si="5"/>
        <v>0.9503239740820735</v>
      </c>
      <c r="I17" s="50">
        <f t="shared" si="5"/>
        <v>2.406578788245253</v>
      </c>
      <c r="J17" s="51">
        <v>1.5</v>
      </c>
      <c r="K17" s="1"/>
      <c r="L17" s="1" t="s">
        <v>295</v>
      </c>
    </row>
    <row r="18" ht="15" customHeight="1">
      <c r="A18" s="1"/>
      <c r="B18" s="5" t="s">
        <v>296</v>
      </c>
      <c r="C18" s="19"/>
      <c r="D18" s="19"/>
      <c r="E18" s="19"/>
      <c r="F18" s="19">
        <f t="shared" si="6" ref="F18:I18">_xlfn.IFERROR(-F13/F11,"n/a")</f>
        <v>0.10634722222222222</v>
      </c>
      <c r="G18" s="19"/>
      <c r="H18" s="19">
        <f t="shared" si="6"/>
        <v>0.0926</v>
      </c>
      <c r="I18" s="19">
        <f t="shared" si="6"/>
        <v>0.11174324324324324</v>
      </c>
      <c r="J18" s="66">
        <v>0.09</v>
      </c>
      <c r="K18" s="1"/>
      <c r="L18" s="1" t="s">
        <v>297</v>
      </c>
    </row>
    <row r="19" ht="15" customHeight="1">
      <c r="A19" s="1"/>
      <c r="B19" s="5" t="s">
        <v>143</v>
      </c>
      <c r="C19" s="67"/>
      <c r="D19" s="67"/>
      <c r="E19" s="67"/>
      <c r="F19" s="67"/>
      <c r="G19" s="67"/>
      <c r="H19" s="67" t="str">
        <f t="shared" si="7" ref="H19:J162">IF(COUNT(H18,C18)&lt;2,"n/a",(H18-C18)*10000)</f>
        <v>n/a</v>
      </c>
      <c r="I19" s="67" t="str">
        <f t="shared" si="7"/>
        <v>n/a</v>
      </c>
      <c r="J19" s="68" t="str">
        <f t="shared" si="7"/>
        <v>n/a</v>
      </c>
      <c r="K19" s="1"/>
      <c r="L19" s="1"/>
    </row>
    <row r="20" ht="15" customHeight="1">
      <c r="A20" s="1"/>
      <c r="B20" s="5" t="s">
        <v>128</v>
      </c>
      <c r="C20" s="67"/>
      <c r="D20" s="67" t="str">
        <f t="shared" si="8" ref="D20:J163">IF(COUNT(D18,C18)&lt;2,"n/a",(D18-C18)*10000)</f>
        <v>n/a</v>
      </c>
      <c r="E20" s="67" t="str">
        <f t="shared" si="8"/>
        <v>n/a</v>
      </c>
      <c r="F20" s="67" t="str">
        <f t="shared" si="8"/>
        <v>n/a</v>
      </c>
      <c r="G20" s="67"/>
      <c r="H20" s="67">
        <f t="shared" si="24" ref="H20:H163">IF(COUNT(H18,F18)&lt;2,"n/a",(H18-F18)*10000)</f>
        <v>-137.47222222222217</v>
      </c>
      <c r="I20" s="67">
        <f t="shared" si="8"/>
        <v>191.43243243243236</v>
      </c>
      <c r="J20" s="68">
        <f t="shared" si="8"/>
        <v>-217.4324324324324</v>
      </c>
      <c r="K20" s="1"/>
      <c r="L20" s="1"/>
    </row>
    <row r="21" ht="15" customHeight="1">
      <c r="A21" s="1"/>
      <c r="B21" s="1" t="s">
        <v>161</v>
      </c>
      <c r="C21" s="18"/>
      <c r="D21" s="18"/>
      <c r="E21" s="18"/>
      <c r="F21" s="18">
        <f t="shared" si="9" ref="F21:J21">(F11+F15)/2</f>
        <v>73500</v>
      </c>
      <c r="G21" s="18"/>
      <c r="H21" s="18">
        <f t="shared" si="9"/>
        <v>74500</v>
      </c>
      <c r="I21" s="18">
        <f t="shared" si="9"/>
        <v>80000</v>
      </c>
      <c r="J21" s="36">
        <f t="shared" si="9"/>
        <v>87935</v>
      </c>
      <c r="K21" s="1"/>
      <c r="L21" s="1"/>
    </row>
    <row r="22" ht="15" customHeight="1">
      <c r="A22" s="1"/>
      <c r="B22" s="5" t="s">
        <v>257</v>
      </c>
      <c r="C22" s="43"/>
      <c r="D22" s="43"/>
      <c r="E22" s="43"/>
      <c r="F22" s="43"/>
      <c r="G22" s="43"/>
      <c r="H22" s="43" t="str">
        <f t="shared" si="4"/>
        <v>n/a</v>
      </c>
      <c r="I22" s="43" t="str">
        <f t="shared" si="4"/>
        <v>n/a</v>
      </c>
      <c r="J22" s="44" t="str">
        <f t="shared" si="4"/>
        <v>n/a</v>
      </c>
      <c r="K22" s="1"/>
      <c r="L22" s="1"/>
    </row>
    <row r="23" ht="15" customHeight="1">
      <c r="A23" s="1"/>
      <c r="B23" s="1" t="s">
        <v>162</v>
      </c>
      <c r="C23" s="55"/>
      <c r="D23" s="55" t="str">
        <f t="shared" si="10" ref="D23:J160">IF(COUNT(D21,C21)&lt;2,"n/a",D21-C21)</f>
        <v>n/a</v>
      </c>
      <c r="E23" s="55" t="str">
        <f t="shared" si="10"/>
        <v>n/a</v>
      </c>
      <c r="F23" s="55" t="str">
        <f t="shared" si="10"/>
        <v>n/a</v>
      </c>
      <c r="G23" s="55"/>
      <c r="H23" s="55">
        <f t="shared" si="15" ref="H23:H160">IF(COUNT(H21,F21)&lt;2,"n/a",H21-F21)</f>
        <v>1000</v>
      </c>
      <c r="I23" s="55">
        <f t="shared" si="10"/>
        <v>5500</v>
      </c>
      <c r="J23" s="56">
        <f t="shared" si="10"/>
        <v>7935</v>
      </c>
      <c r="K23" s="1"/>
      <c r="L23" s="1"/>
    </row>
    <row r="24" ht="15" customHeight="1">
      <c r="A24" s="1"/>
      <c r="B24" s="1" t="s">
        <v>254</v>
      </c>
      <c r="C24" s="55"/>
      <c r="D24" s="55" t="str">
        <f t="shared" si="11" ref="D24:J24">IF(COUNT(D15,C15)&lt;2,"n/a",D15-C15)</f>
        <v>n/a</v>
      </c>
      <c r="E24" s="55" t="str">
        <f t="shared" si="11"/>
        <v>n/a</v>
      </c>
      <c r="F24" s="55">
        <f t="shared" si="11"/>
        <v>3000</v>
      </c>
      <c r="G24" s="55"/>
      <c r="H24" s="55">
        <f>IF(COUNT(H15,F15)&lt;2,"n/a",H15-F15)</f>
        <v>-1000</v>
      </c>
      <c r="I24" s="55">
        <f t="shared" si="11"/>
        <v>12000</v>
      </c>
      <c r="J24" s="56">
        <f t="shared" si="11"/>
        <v>3870</v>
      </c>
      <c r="K24" s="1"/>
      <c r="L24" s="1"/>
    </row>
    <row r="25" ht="15" customHeight="1">
      <c r="A25" s="1"/>
      <c r="B25" s="5" t="s">
        <v>298</v>
      </c>
      <c r="C25" s="43"/>
      <c r="D25" s="43"/>
      <c r="E25" s="43"/>
      <c r="F25" s="43"/>
      <c r="G25" s="43"/>
      <c r="H25" s="43" t="str">
        <f t="shared" si="12" ref="H25:J25">IF(COUNT(H12,C12)&lt;2,"n/a",IF(H12*C12&lt;=0,"n/m",H12/C12-1))</f>
        <v>n/a</v>
      </c>
      <c r="I25" s="43" t="str">
        <f t="shared" si="12"/>
        <v>n/a</v>
      </c>
      <c r="J25" s="44">
        <f t="shared" si="12"/>
        <v>-0.26981132075471703</v>
      </c>
      <c r="K25" s="1"/>
      <c r="L25" s="1"/>
    </row>
    <row r="26" ht="15" customHeight="1">
      <c r="A26" s="1"/>
      <c r="B26" s="1" t="s">
        <v>299</v>
      </c>
      <c r="C26" s="55"/>
      <c r="D26" s="55" t="str">
        <f t="shared" si="13" ref="D26:J26">IF(COUNT(D12,C12)&lt;2,"n/a",D12-C12)</f>
        <v>n/a</v>
      </c>
      <c r="E26" s="55" t="str">
        <f t="shared" si="13"/>
        <v>n/a</v>
      </c>
      <c r="F26" s="55">
        <f t="shared" si="13"/>
        <v>-5600</v>
      </c>
      <c r="G26" s="55"/>
      <c r="H26" s="55">
        <f>IF(COUNT(H12,F12)&lt;2,"n/a",H12-F12)</f>
        <v>-3700</v>
      </c>
      <c r="I26" s="55">
        <f t="shared" si="13"/>
        <v>13300</v>
      </c>
      <c r="J26" s="56">
        <f t="shared" si="13"/>
        <v>-8290</v>
      </c>
      <c r="K26" s="1"/>
      <c r="L26" s="1"/>
    </row>
    <row r="27" ht="15" customHeight="1">
      <c r="A27" s="1"/>
      <c r="B27" s="1" t="s">
        <v>154</v>
      </c>
      <c r="C27" s="50"/>
      <c r="D27" s="50"/>
      <c r="E27" s="50"/>
      <c r="F27" s="50">
        <f t="shared" si="14" ref="F27:J27">_xlfn.IFERROR(F17-E17,"n/m")</f>
        <v>-0.9117454510097727</v>
      </c>
      <c r="G27" s="50"/>
      <c r="H27" s="50">
        <f>_xlfn.IFERROR(H17-F17,"n/m")</f>
        <v>-0.39485037618565544</v>
      </c>
      <c r="I27" s="50">
        <f t="shared" si="14"/>
        <v>1.4562548141631797</v>
      </c>
      <c r="J27" s="57">
        <f t="shared" si="14"/>
        <v>-0.9065787882452532</v>
      </c>
      <c r="K27" s="1"/>
      <c r="L27" s="1"/>
    </row>
    <row r="28" ht="15" customHeight="1">
      <c r="A28" s="1"/>
      <c r="B28" s="1" t="s">
        <v>155</v>
      </c>
      <c r="C28" s="50"/>
      <c r="D28" s="50"/>
      <c r="E28" s="50"/>
      <c r="F28" s="50"/>
      <c r="G28" s="50"/>
      <c r="H28" s="50"/>
      <c r="I28" s="50"/>
      <c r="J28" s="57">
        <f>J17-E17</f>
        <v>-0.7569198012775016</v>
      </c>
      <c r="K28" s="1"/>
      <c r="L28" s="1" t="s">
        <v>300</v>
      </c>
    </row>
    <row r="29" ht="15" customHeight="1">
      <c r="A29" s="1"/>
      <c r="B29" s="1"/>
      <c r="C29" s="1"/>
      <c r="D29" s="1"/>
      <c r="E29" s="1"/>
      <c r="F29" s="1"/>
      <c r="G29" s="1"/>
      <c r="H29" s="1"/>
      <c r="I29" s="1"/>
      <c r="J29" s="29"/>
      <c r="K29" s="1"/>
      <c r="L29" s="1"/>
    </row>
    <row r="30" ht="15" customHeight="1">
      <c r="A30" s="1"/>
      <c r="B30" s="4" t="s">
        <v>187</v>
      </c>
      <c r="C30" s="1"/>
      <c r="D30" s="1"/>
      <c r="E30" s="1"/>
      <c r="F30" s="1"/>
      <c r="G30" s="1"/>
      <c r="H30" s="1"/>
      <c r="I30" s="1"/>
      <c r="J30" s="29"/>
      <c r="K30" s="1"/>
      <c r="L30" s="1"/>
    </row>
    <row r="31" ht="15" customHeight="1">
      <c r="A31" s="1"/>
      <c r="B31" s="1" t="s">
        <v>132</v>
      </c>
      <c r="C31" s="35">
        <v>4435</v>
      </c>
      <c r="D31" s="35">
        <v>4900</v>
      </c>
      <c r="E31" s="35">
        <v>4834</v>
      </c>
      <c r="F31" s="35">
        <v>5068</v>
      </c>
      <c r="G31" s="18">
        <f t="shared" si="16" ref="G31:G158">SUM(C31:F31)</f>
        <v>19237</v>
      </c>
      <c r="H31" s="35">
        <v>4528</v>
      </c>
      <c r="I31" s="35">
        <v>5768</v>
      </c>
      <c r="J31" s="36">
        <f>-J13*I31/I59</f>
        <v>5398.998669730318</v>
      </c>
      <c r="K31" s="1" t="s">
        <v>81</v>
      </c>
      <c r="L31" s="1"/>
    </row>
    <row r="32" ht="15" customHeight="1">
      <c r="A32" s="1"/>
      <c r="B32" s="5" t="s">
        <v>73</v>
      </c>
      <c r="C32" s="19"/>
      <c r="D32" s="19"/>
      <c r="E32" s="19"/>
      <c r="F32" s="19"/>
      <c r="G32" s="19"/>
      <c r="H32" s="19">
        <f t="shared" si="4"/>
        <v>0.020969560315670766</v>
      </c>
      <c r="I32" s="19">
        <f t="shared" si="4"/>
        <v>0.17714285714285705</v>
      </c>
      <c r="J32" s="32">
        <f t="shared" si="4"/>
        <v>0.1168801550952252</v>
      </c>
      <c r="K32" s="1"/>
      <c r="L32" s="1"/>
    </row>
    <row r="33" ht="15" customHeight="1">
      <c r="A33" s="1"/>
      <c r="B33" s="1" t="s">
        <v>90</v>
      </c>
      <c r="C33" s="18"/>
      <c r="D33" s="18">
        <f t="shared" si="10"/>
        <v>465</v>
      </c>
      <c r="E33" s="18">
        <f t="shared" si="10"/>
        <v>-66</v>
      </c>
      <c r="F33" s="18">
        <f t="shared" si="10"/>
        <v>234</v>
      </c>
      <c r="G33" s="18"/>
      <c r="H33" s="18">
        <f t="shared" si="15"/>
        <v>-540</v>
      </c>
      <c r="I33" s="18">
        <f t="shared" si="10"/>
        <v>1240</v>
      </c>
      <c r="J33" s="36">
        <f t="shared" si="10"/>
        <v>-369.0013302696816</v>
      </c>
      <c r="K33" s="1"/>
      <c r="L33" s="1"/>
    </row>
    <row r="34" ht="15" customHeight="1">
      <c r="A34" s="1"/>
      <c r="B34" s="1" t="s">
        <v>91</v>
      </c>
      <c r="C34" s="37" t="s">
        <v>86</v>
      </c>
      <c r="D34" s="37" t="s">
        <v>86</v>
      </c>
      <c r="E34" s="37" t="s">
        <v>86</v>
      </c>
      <c r="F34" s="37" t="s">
        <v>86</v>
      </c>
      <c r="G34" s="37" t="s">
        <v>86</v>
      </c>
      <c r="H34" s="37" t="s">
        <v>86</v>
      </c>
      <c r="I34" s="37" t="s">
        <v>86</v>
      </c>
      <c r="J34" s="38" t="s">
        <v>86</v>
      </c>
      <c r="K34" s="1"/>
      <c r="L34" s="1" t="s">
        <v>188</v>
      </c>
    </row>
    <row r="35" ht="15" customHeight="1">
      <c r="A35" s="1"/>
      <c r="B35" s="1" t="s">
        <v>137</v>
      </c>
      <c r="C35" s="35">
        <v>976</v>
      </c>
      <c r="D35" s="35">
        <v>1127</v>
      </c>
      <c r="E35" s="35">
        <v>1119</v>
      </c>
      <c r="F35" s="35">
        <v>1258</v>
      </c>
      <c r="G35" s="18">
        <f t="shared" si="16"/>
        <v>4480</v>
      </c>
      <c r="H35" s="35">
        <v>1235</v>
      </c>
      <c r="I35" s="35">
        <v>1210</v>
      </c>
      <c r="J35" s="36">
        <f>-J13*I35/I59</f>
        <v>1132.591607207643</v>
      </c>
      <c r="K35" s="1" t="s">
        <v>81</v>
      </c>
      <c r="L35" s="1"/>
    </row>
    <row r="36" ht="15" customHeight="1">
      <c r="A36" s="1"/>
      <c r="B36" s="5" t="s">
        <v>73</v>
      </c>
      <c r="C36" s="19"/>
      <c r="D36" s="19"/>
      <c r="E36" s="19"/>
      <c r="F36" s="19"/>
      <c r="G36" s="19"/>
      <c r="H36" s="19">
        <f t="shared" si="4"/>
        <v>0.2653688524590163</v>
      </c>
      <c r="I36" s="19">
        <f t="shared" si="4"/>
        <v>0.07364685004436566</v>
      </c>
      <c r="J36" s="32">
        <f t="shared" si="4"/>
        <v>0.01214620840718772</v>
      </c>
      <c r="K36" s="1"/>
      <c r="L36" s="1"/>
    </row>
    <row r="37" ht="15" customHeight="1">
      <c r="A37" s="1"/>
      <c r="B37" s="1" t="s">
        <v>90</v>
      </c>
      <c r="C37" s="18"/>
      <c r="D37" s="18">
        <f t="shared" si="10"/>
        <v>151</v>
      </c>
      <c r="E37" s="18">
        <f t="shared" si="10"/>
        <v>-8</v>
      </c>
      <c r="F37" s="18">
        <f t="shared" si="10"/>
        <v>139</v>
      </c>
      <c r="G37" s="18"/>
      <c r="H37" s="18">
        <f t="shared" si="15"/>
        <v>-23</v>
      </c>
      <c r="I37" s="18">
        <f t="shared" si="10"/>
        <v>-25</v>
      </c>
      <c r="J37" s="36">
        <f t="shared" si="10"/>
        <v>-77.40839279235706</v>
      </c>
      <c r="K37" s="1"/>
      <c r="L37" s="1"/>
    </row>
    <row r="38" ht="15" customHeight="1">
      <c r="A38" s="1"/>
      <c r="B38" s="1" t="s">
        <v>91</v>
      </c>
      <c r="C38" s="37" t="s">
        <v>86</v>
      </c>
      <c r="D38" s="37" t="s">
        <v>86</v>
      </c>
      <c r="E38" s="37" t="s">
        <v>86</v>
      </c>
      <c r="F38" s="37" t="s">
        <v>86</v>
      </c>
      <c r="G38" s="37" t="s">
        <v>86</v>
      </c>
      <c r="H38" s="37" t="s">
        <v>86</v>
      </c>
      <c r="I38" s="37" t="s">
        <v>86</v>
      </c>
      <c r="J38" s="38" t="s">
        <v>86</v>
      </c>
      <c r="K38" s="1"/>
      <c r="L38" s="1" t="s">
        <v>188</v>
      </c>
    </row>
    <row r="39" ht="15" customHeight="1">
      <c r="A39" s="1"/>
      <c r="B39" s="1" t="s">
        <v>139</v>
      </c>
      <c r="C39" s="35">
        <v>876</v>
      </c>
      <c r="D39" s="35">
        <v>932</v>
      </c>
      <c r="E39" s="35">
        <v>1025</v>
      </c>
      <c r="F39" s="35">
        <v>1266</v>
      </c>
      <c r="G39" s="18">
        <f t="shared" si="16"/>
        <v>4099</v>
      </c>
      <c r="H39" s="35">
        <v>1100</v>
      </c>
      <c r="I39" s="35">
        <v>1228</v>
      </c>
      <c r="J39" s="36">
        <f>-J13*I39/I59</f>
        <v>1149.4400773975087</v>
      </c>
      <c r="K39" s="1" t="s">
        <v>81</v>
      </c>
      <c r="L39" s="1"/>
    </row>
    <row r="40" ht="15" customHeight="1">
      <c r="A40" s="1"/>
      <c r="B40" s="5" t="s">
        <v>73</v>
      </c>
      <c r="C40" s="19"/>
      <c r="D40" s="19"/>
      <c r="E40" s="19"/>
      <c r="F40" s="19"/>
      <c r="G40" s="19"/>
      <c r="H40" s="19">
        <f t="shared" si="4"/>
        <v>0.2557077625570776</v>
      </c>
      <c r="I40" s="19">
        <f t="shared" si="4"/>
        <v>0.31759656652360513</v>
      </c>
      <c r="J40" s="32">
        <f t="shared" si="4"/>
        <v>0.12140495355854508</v>
      </c>
      <c r="K40" s="1"/>
      <c r="L40" s="1"/>
    </row>
    <row r="41" ht="15" customHeight="1">
      <c r="A41" s="1"/>
      <c r="B41" s="1" t="s">
        <v>90</v>
      </c>
      <c r="C41" s="18"/>
      <c r="D41" s="18">
        <f t="shared" si="10"/>
        <v>56</v>
      </c>
      <c r="E41" s="18">
        <f t="shared" si="10"/>
        <v>93</v>
      </c>
      <c r="F41" s="18">
        <f t="shared" si="10"/>
        <v>241</v>
      </c>
      <c r="G41" s="18"/>
      <c r="H41" s="18">
        <f t="shared" si="15"/>
        <v>-166</v>
      </c>
      <c r="I41" s="18">
        <f t="shared" si="10"/>
        <v>128</v>
      </c>
      <c r="J41" s="36">
        <f t="shared" si="10"/>
        <v>-78.55992260249127</v>
      </c>
      <c r="K41" s="1"/>
      <c r="L41" s="1"/>
    </row>
    <row r="42" ht="15" customHeight="1">
      <c r="A42" s="1"/>
      <c r="B42" s="1" t="s">
        <v>91</v>
      </c>
      <c r="C42" s="37" t="s">
        <v>86</v>
      </c>
      <c r="D42" s="37" t="s">
        <v>86</v>
      </c>
      <c r="E42" s="37" t="s">
        <v>86</v>
      </c>
      <c r="F42" s="37" t="s">
        <v>86</v>
      </c>
      <c r="G42" s="37" t="s">
        <v>86</v>
      </c>
      <c r="H42" s="37" t="s">
        <v>86</v>
      </c>
      <c r="I42" s="37" t="s">
        <v>86</v>
      </c>
      <c r="J42" s="38" t="s">
        <v>86</v>
      </c>
      <c r="K42" s="1"/>
      <c r="L42" s="1" t="s">
        <v>188</v>
      </c>
    </row>
    <row r="43" ht="15" customHeight="1">
      <c r="A43" s="1"/>
      <c r="B43" s="1" t="s">
        <v>141</v>
      </c>
      <c r="C43" s="35">
        <v>13</v>
      </c>
      <c r="D43" s="35">
        <v>8</v>
      </c>
      <c r="E43" s="35">
        <v>25</v>
      </c>
      <c r="F43" s="35">
        <v>30</v>
      </c>
      <c r="G43" s="18">
        <f t="shared" si="16"/>
        <v>76</v>
      </c>
      <c r="H43" s="35">
        <v>51</v>
      </c>
      <c r="I43" s="35">
        <v>14</v>
      </c>
      <c r="J43" s="36">
        <f>-J13*I43/I59</f>
        <v>13.104365703228927</v>
      </c>
      <c r="K43" s="1" t="s">
        <v>81</v>
      </c>
      <c r="L43" s="1"/>
    </row>
    <row r="44" ht="15" customHeight="1">
      <c r="A44" s="1"/>
      <c r="B44" s="5" t="s">
        <v>73</v>
      </c>
      <c r="C44" s="19"/>
      <c r="D44" s="19"/>
      <c r="E44" s="19"/>
      <c r="F44" s="19"/>
      <c r="G44" s="19"/>
      <c r="H44" s="19">
        <f t="shared" si="4"/>
        <v>2.923076923076923</v>
      </c>
      <c r="I44" s="19">
        <f t="shared" si="4"/>
        <v>0.75</v>
      </c>
      <c r="J44" s="32">
        <f t="shared" si="4"/>
        <v>-0.47582537187084295</v>
      </c>
      <c r="K44" s="1"/>
      <c r="L44" s="1"/>
    </row>
    <row r="45" ht="15" customHeight="1">
      <c r="A45" s="1"/>
      <c r="B45" s="1" t="s">
        <v>90</v>
      </c>
      <c r="C45" s="18"/>
      <c r="D45" s="18">
        <f t="shared" si="10"/>
        <v>-5</v>
      </c>
      <c r="E45" s="18">
        <f t="shared" si="10"/>
        <v>17</v>
      </c>
      <c r="F45" s="18">
        <f t="shared" si="10"/>
        <v>5</v>
      </c>
      <c r="G45" s="18"/>
      <c r="H45" s="18">
        <f t="shared" si="15"/>
        <v>21</v>
      </c>
      <c r="I45" s="18">
        <f t="shared" si="10"/>
        <v>-37</v>
      </c>
      <c r="J45" s="36">
        <f t="shared" si="10"/>
        <v>-0.8956342967710729</v>
      </c>
      <c r="K45" s="1"/>
      <c r="L45" s="1"/>
    </row>
    <row r="46" ht="15" customHeight="1">
      <c r="A46" s="1"/>
      <c r="B46" s="1" t="s">
        <v>91</v>
      </c>
      <c r="C46" s="37" t="s">
        <v>86</v>
      </c>
      <c r="D46" s="37" t="s">
        <v>86</v>
      </c>
      <c r="E46" s="37" t="s">
        <v>86</v>
      </c>
      <c r="F46" s="37" t="s">
        <v>86</v>
      </c>
      <c r="G46" s="37" t="s">
        <v>86</v>
      </c>
      <c r="H46" s="37" t="s">
        <v>86</v>
      </c>
      <c r="I46" s="37" t="s">
        <v>86</v>
      </c>
      <c r="J46" s="38" t="s">
        <v>86</v>
      </c>
      <c r="K46" s="1"/>
      <c r="L46" s="1" t="s">
        <v>188</v>
      </c>
    </row>
    <row r="47" ht="15" customHeight="1">
      <c r="A47" s="1"/>
      <c r="B47" s="4" t="s">
        <v>189</v>
      </c>
      <c r="C47" s="33">
        <f t="shared" si="17" ref="C47:J47">C31+C35+C39</f>
        <v>6287</v>
      </c>
      <c r="D47" s="33">
        <f t="shared" si="17"/>
        <v>6959</v>
      </c>
      <c r="E47" s="33">
        <f t="shared" si="17"/>
        <v>6978</v>
      </c>
      <c r="F47" s="33">
        <f t="shared" si="17"/>
        <v>7592</v>
      </c>
      <c r="G47" s="33">
        <f t="shared" si="17"/>
        <v>27816</v>
      </c>
      <c r="H47" s="33">
        <f t="shared" si="17"/>
        <v>6863</v>
      </c>
      <c r="I47" s="33">
        <f t="shared" si="17"/>
        <v>8206</v>
      </c>
      <c r="J47" s="34">
        <f t="shared" si="17"/>
        <v>7681.030354335469</v>
      </c>
      <c r="K47" s="1"/>
      <c r="L47" s="1"/>
    </row>
    <row r="48" ht="15" customHeight="1">
      <c r="A48" s="1"/>
      <c r="B48" s="5" t="s">
        <v>73</v>
      </c>
      <c r="C48" s="19"/>
      <c r="D48" s="19"/>
      <c r="E48" s="19"/>
      <c r="F48" s="19"/>
      <c r="G48" s="19"/>
      <c r="H48" s="19">
        <f t="shared" si="4"/>
        <v>0.09161762366788606</v>
      </c>
      <c r="I48" s="19">
        <f t="shared" si="4"/>
        <v>0.17919241270297448</v>
      </c>
      <c r="J48" s="32">
        <f t="shared" si="4"/>
        <v>0.10074954920256074</v>
      </c>
      <c r="K48" s="1"/>
      <c r="L48" s="1"/>
    </row>
    <row r="49" ht="15" customHeight="1">
      <c r="A49" s="1"/>
      <c r="B49" s="1" t="s">
        <v>90</v>
      </c>
      <c r="C49" s="18"/>
      <c r="D49" s="18">
        <f t="shared" si="10"/>
        <v>672</v>
      </c>
      <c r="E49" s="18">
        <f t="shared" si="10"/>
        <v>19</v>
      </c>
      <c r="F49" s="18">
        <f t="shared" si="10"/>
        <v>614</v>
      </c>
      <c r="G49" s="18"/>
      <c r="H49" s="18">
        <f t="shared" si="15"/>
        <v>-729</v>
      </c>
      <c r="I49" s="18">
        <f t="shared" si="10"/>
        <v>1343</v>
      </c>
      <c r="J49" s="36">
        <f t="shared" si="10"/>
        <v>-524.9696456645306</v>
      </c>
      <c r="K49" s="1"/>
      <c r="L49" s="1"/>
    </row>
    <row r="50" ht="15" customHeight="1">
      <c r="A50" s="1"/>
      <c r="B50" s="1" t="s">
        <v>91</v>
      </c>
      <c r="C50" s="37" t="s">
        <v>86</v>
      </c>
      <c r="D50" s="37" t="s">
        <v>86</v>
      </c>
      <c r="E50" s="37" t="s">
        <v>86</v>
      </c>
      <c r="F50" s="37" t="s">
        <v>86</v>
      </c>
      <c r="G50" s="37" t="s">
        <v>86</v>
      </c>
      <c r="H50" s="37" t="s">
        <v>86</v>
      </c>
      <c r="I50" s="37" t="s">
        <v>86</v>
      </c>
      <c r="J50" s="38" t="s">
        <v>86</v>
      </c>
      <c r="K50" s="1"/>
      <c r="L50" s="1" t="s">
        <v>87</v>
      </c>
    </row>
    <row r="51" ht="15" customHeight="1">
      <c r="A51" s="1"/>
      <c r="B51" s="4" t="s">
        <v>190</v>
      </c>
      <c r="C51" s="33">
        <f t="shared" si="18" ref="C51:J51">C47+C43</f>
        <v>6300</v>
      </c>
      <c r="D51" s="33">
        <f t="shared" si="18"/>
        <v>6967</v>
      </c>
      <c r="E51" s="33">
        <f t="shared" si="18"/>
        <v>7003</v>
      </c>
      <c r="F51" s="33">
        <f t="shared" si="18"/>
        <v>7622</v>
      </c>
      <c r="G51" s="33">
        <f t="shared" si="18"/>
        <v>27892</v>
      </c>
      <c r="H51" s="33">
        <f t="shared" si="18"/>
        <v>6914</v>
      </c>
      <c r="I51" s="33">
        <f t="shared" si="18"/>
        <v>8220</v>
      </c>
      <c r="J51" s="34">
        <f t="shared" si="18"/>
        <v>7694.134720038698</v>
      </c>
      <c r="K51" s="1"/>
      <c r="L51" s="1"/>
    </row>
    <row r="52" ht="15" customHeight="1">
      <c r="A52" s="1"/>
      <c r="B52" s="5" t="s">
        <v>73</v>
      </c>
      <c r="C52" s="19"/>
      <c r="D52" s="19"/>
      <c r="E52" s="19"/>
      <c r="F52" s="19"/>
      <c r="G52" s="19"/>
      <c r="H52" s="19">
        <f t="shared" si="4"/>
        <v>0.09746031746031747</v>
      </c>
      <c r="I52" s="19">
        <f t="shared" si="4"/>
        <v>0.17984785416965687</v>
      </c>
      <c r="J52" s="32">
        <f t="shared" si="4"/>
        <v>0.09869123519044676</v>
      </c>
      <c r="K52" s="1"/>
      <c r="L52" s="1"/>
    </row>
    <row r="53" ht="15" customHeight="1">
      <c r="A53" s="1"/>
      <c r="B53" s="1" t="s">
        <v>90</v>
      </c>
      <c r="C53" s="18"/>
      <c r="D53" s="18">
        <f t="shared" si="10"/>
        <v>667</v>
      </c>
      <c r="E53" s="18">
        <f t="shared" si="10"/>
        <v>36</v>
      </c>
      <c r="F53" s="18">
        <f t="shared" si="10"/>
        <v>619</v>
      </c>
      <c r="G53" s="18"/>
      <c r="H53" s="18">
        <f t="shared" si="15"/>
        <v>-708</v>
      </c>
      <c r="I53" s="18">
        <f t="shared" si="10"/>
        <v>1306</v>
      </c>
      <c r="J53" s="36">
        <f t="shared" si="10"/>
        <v>-525.8652799613019</v>
      </c>
      <c r="K53" s="1"/>
      <c r="L53" s="1"/>
    </row>
    <row r="54" ht="15" customHeight="1">
      <c r="A54" s="1"/>
      <c r="B54" s="1" t="s">
        <v>91</v>
      </c>
      <c r="C54" s="37" t="s">
        <v>86</v>
      </c>
      <c r="D54" s="37" t="s">
        <v>86</v>
      </c>
      <c r="E54" s="37" t="s">
        <v>86</v>
      </c>
      <c r="F54" s="37" t="s">
        <v>86</v>
      </c>
      <c r="G54" s="37" t="s">
        <v>86</v>
      </c>
      <c r="H54" s="37" t="s">
        <v>86</v>
      </c>
      <c r="I54" s="37" t="s">
        <v>86</v>
      </c>
      <c r="J54" s="38" t="s">
        <v>86</v>
      </c>
      <c r="K54" s="1"/>
      <c r="L54" s="1" t="s">
        <v>87</v>
      </c>
    </row>
    <row r="55" ht="15" customHeight="1">
      <c r="A55" s="1"/>
      <c r="B55" s="1" t="s">
        <v>191</v>
      </c>
      <c r="C55" s="35">
        <v>40</v>
      </c>
      <c r="D55" s="35">
        <v>34</v>
      </c>
      <c r="E55" s="35">
        <v>42</v>
      </c>
      <c r="F55" s="35">
        <v>35</v>
      </c>
      <c r="G55" s="18">
        <f t="shared" si="16"/>
        <v>151</v>
      </c>
      <c r="H55" s="35">
        <v>31</v>
      </c>
      <c r="I55" s="35">
        <v>49</v>
      </c>
      <c r="J55" s="36">
        <f>-J13*I55/I59</f>
        <v>45.86527996130125</v>
      </c>
      <c r="K55" s="1" t="s">
        <v>81</v>
      </c>
      <c r="L55" s="1" t="s">
        <v>301</v>
      </c>
    </row>
    <row r="56" ht="15" customHeight="1">
      <c r="A56" s="1"/>
      <c r="B56" s="5" t="s">
        <v>73</v>
      </c>
      <c r="C56" s="19"/>
      <c r="D56" s="19"/>
      <c r="E56" s="19"/>
      <c r="F56" s="19"/>
      <c r="G56" s="19"/>
      <c r="H56" s="19">
        <f t="shared" si="4"/>
        <v>-0.22499999999999998</v>
      </c>
      <c r="I56" s="19">
        <f t="shared" si="4"/>
        <v>0.4411764705882353</v>
      </c>
      <c r="J56" s="32">
        <f t="shared" si="4"/>
        <v>0.09203047526907726</v>
      </c>
      <c r="K56" s="1"/>
      <c r="L56" s="1"/>
    </row>
    <row r="57" ht="15" customHeight="1">
      <c r="A57" s="1"/>
      <c r="B57" s="1" t="s">
        <v>90</v>
      </c>
      <c r="C57" s="18"/>
      <c r="D57" s="18">
        <f t="shared" si="10"/>
        <v>-6</v>
      </c>
      <c r="E57" s="18">
        <f t="shared" si="10"/>
        <v>8</v>
      </c>
      <c r="F57" s="18">
        <f t="shared" si="10"/>
        <v>-7</v>
      </c>
      <c r="G57" s="18"/>
      <c r="H57" s="18">
        <f t="shared" si="15"/>
        <v>-4</v>
      </c>
      <c r="I57" s="18">
        <f t="shared" si="10"/>
        <v>18</v>
      </c>
      <c r="J57" s="36">
        <f t="shared" si="10"/>
        <v>-3.1347200386987524</v>
      </c>
      <c r="K57" s="1"/>
      <c r="L57" s="1"/>
    </row>
    <row r="58" ht="15" customHeight="1">
      <c r="A58" s="1"/>
      <c r="B58" s="1" t="s">
        <v>91</v>
      </c>
      <c r="C58" s="37" t="s">
        <v>86</v>
      </c>
      <c r="D58" s="37" t="s">
        <v>86</v>
      </c>
      <c r="E58" s="37" t="s">
        <v>86</v>
      </c>
      <c r="F58" s="37" t="s">
        <v>86</v>
      </c>
      <c r="G58" s="37" t="s">
        <v>86</v>
      </c>
      <c r="H58" s="37" t="s">
        <v>86</v>
      </c>
      <c r="I58" s="37" t="s">
        <v>86</v>
      </c>
      <c r="J58" s="38" t="s">
        <v>86</v>
      </c>
      <c r="K58" s="1"/>
      <c r="L58" s="1" t="s">
        <v>87</v>
      </c>
    </row>
    <row r="59" ht="15" customHeight="1">
      <c r="A59" s="1"/>
      <c r="B59" s="4" t="s">
        <v>302</v>
      </c>
      <c r="C59" s="33">
        <f t="shared" si="19" ref="C59:J59">C51+C55</f>
        <v>6340</v>
      </c>
      <c r="D59" s="33">
        <f t="shared" si="19"/>
        <v>7001</v>
      </c>
      <c r="E59" s="33">
        <f t="shared" si="19"/>
        <v>7045</v>
      </c>
      <c r="F59" s="33">
        <f t="shared" si="19"/>
        <v>7657</v>
      </c>
      <c r="G59" s="33">
        <f t="shared" si="19"/>
        <v>28043</v>
      </c>
      <c r="H59" s="33">
        <f t="shared" si="19"/>
        <v>6945</v>
      </c>
      <c r="I59" s="33">
        <f t="shared" si="19"/>
        <v>8269</v>
      </c>
      <c r="J59" s="34">
        <f t="shared" si="19"/>
        <v>7739.999999999999</v>
      </c>
      <c r="K59" s="1"/>
      <c r="L59" s="1"/>
    </row>
    <row r="60" ht="15" customHeight="1">
      <c r="A60" s="1"/>
      <c r="B60" s="1" t="s">
        <v>194</v>
      </c>
      <c r="C60" s="35">
        <v>6659</v>
      </c>
      <c r="D60" s="35">
        <v>6581</v>
      </c>
      <c r="E60" s="35">
        <v>6386</v>
      </c>
      <c r="F60" s="35">
        <v>7157</v>
      </c>
      <c r="G60" s="18">
        <f t="shared" si="16"/>
        <v>26783</v>
      </c>
      <c r="H60" s="18">
        <f t="shared" si="20" ref="H60:J60">C59</f>
        <v>6340</v>
      </c>
      <c r="I60" s="18">
        <f t="shared" si="20"/>
        <v>7001</v>
      </c>
      <c r="J60" s="36">
        <f t="shared" si="20"/>
        <v>7045</v>
      </c>
      <c r="K60" s="1" t="s">
        <v>95</v>
      </c>
      <c r="L60" s="1" t="s">
        <v>195</v>
      </c>
    </row>
    <row r="61" ht="15" customHeight="1">
      <c r="A61" s="1"/>
      <c r="B61" s="5" t="s">
        <v>73</v>
      </c>
      <c r="C61" s="19">
        <f t="shared" si="21" ref="C61:J61">IF(COUNT(C59,C60)&lt;2,"n/a",IF(C59*C60&lt;=0,"n/m",C59/C60-1))</f>
        <v>-0.04790509085448269</v>
      </c>
      <c r="D61" s="19">
        <f t="shared" si="21"/>
        <v>0.06382008813250262</v>
      </c>
      <c r="E61" s="19">
        <f t="shared" si="21"/>
        <v>0.10319448794237385</v>
      </c>
      <c r="F61" s="19">
        <f t="shared" si="21"/>
        <v>0.0698616738857063</v>
      </c>
      <c r="G61" s="19">
        <f t="shared" si="21"/>
        <v>0.04704476720307649</v>
      </c>
      <c r="H61" s="19">
        <f t="shared" si="21"/>
        <v>0.09542586750788651</v>
      </c>
      <c r="I61" s="19">
        <f t="shared" si="21"/>
        <v>0.18111698328810166</v>
      </c>
      <c r="J61" s="32">
        <f t="shared" si="21"/>
        <v>0.09865152590489701</v>
      </c>
      <c r="K61" s="1"/>
      <c r="L61" s="1"/>
    </row>
    <row r="62" ht="15" customHeight="1">
      <c r="A62" s="1"/>
      <c r="B62" s="1" t="s">
        <v>90</v>
      </c>
      <c r="C62" s="18"/>
      <c r="D62" s="18">
        <f t="shared" si="22" ref="D62:J62">IF(COUNT(D59,C59)&lt;2,"n/a",D59-C59)</f>
        <v>661</v>
      </c>
      <c r="E62" s="18">
        <f t="shared" si="22"/>
        <v>44</v>
      </c>
      <c r="F62" s="18">
        <f t="shared" si="22"/>
        <v>612</v>
      </c>
      <c r="G62" s="18"/>
      <c r="H62" s="18">
        <f>IF(COUNT(H59,F59)&lt;2,"n/a",H59-F59)</f>
        <v>-712</v>
      </c>
      <c r="I62" s="18">
        <f t="shared" si="22"/>
        <v>1324</v>
      </c>
      <c r="J62" s="36">
        <f t="shared" si="22"/>
        <v>-529.0000000000009</v>
      </c>
      <c r="K62" s="1"/>
      <c r="L62" s="1"/>
    </row>
    <row r="63" ht="15" customHeight="1">
      <c r="A63" s="1"/>
      <c r="B63" s="5" t="s">
        <v>196</v>
      </c>
      <c r="C63" s="19">
        <f t="shared" si="23" ref="C63:J63">IF(COUNT(C31,C59)&lt;2,"n/a",C31/C59)</f>
        <v>0.6995268138801262</v>
      </c>
      <c r="D63" s="19">
        <f t="shared" si="23"/>
        <v>0.6999000142836738</v>
      </c>
      <c r="E63" s="19">
        <f t="shared" si="23"/>
        <v>0.6861603974449965</v>
      </c>
      <c r="F63" s="19">
        <f t="shared" si="23"/>
        <v>0.6618780201123156</v>
      </c>
      <c r="G63" s="19">
        <f t="shared" si="23"/>
        <v>0.685982241557608</v>
      </c>
      <c r="H63" s="19">
        <f t="shared" si="23"/>
        <v>0.651979841612671</v>
      </c>
      <c r="I63" s="19">
        <f t="shared" si="23"/>
        <v>0.6975450477687749</v>
      </c>
      <c r="J63" s="32">
        <f t="shared" si="23"/>
        <v>0.697545047768775</v>
      </c>
      <c r="K63" s="1"/>
      <c r="L63" s="1"/>
    </row>
    <row r="64" ht="15" customHeight="1">
      <c r="A64" s="1"/>
      <c r="B64" s="5" t="s">
        <v>133</v>
      </c>
      <c r="C64" s="48"/>
      <c r="D64" s="48"/>
      <c r="E64" s="48"/>
      <c r="F64" s="48"/>
      <c r="G64" s="48"/>
      <c r="H64" s="48">
        <f t="shared" si="7"/>
        <v>-475.4697226745519</v>
      </c>
      <c r="I64" s="48">
        <f t="shared" si="7"/>
        <v>-23.549665148988595</v>
      </c>
      <c r="J64" s="49">
        <f t="shared" si="7"/>
        <v>113.84650323778556</v>
      </c>
      <c r="K64" s="1"/>
      <c r="L64" s="1"/>
    </row>
    <row r="65" ht="15" customHeight="1">
      <c r="A65" s="1"/>
      <c r="B65" s="5" t="s">
        <v>134</v>
      </c>
      <c r="C65" s="48"/>
      <c r="D65" s="48">
        <f t="shared" si="8"/>
        <v>3.732004035476022</v>
      </c>
      <c r="E65" s="48">
        <f t="shared" si="8"/>
        <v>-137.39616838677304</v>
      </c>
      <c r="F65" s="48">
        <f t="shared" si="8"/>
        <v>-242.82377332680903</v>
      </c>
      <c r="G65" s="48"/>
      <c r="H65" s="48">
        <f t="shared" si="24"/>
        <v>-98.98178499644584</v>
      </c>
      <c r="I65" s="48">
        <f t="shared" si="8"/>
        <v>455.6520615610393</v>
      </c>
      <c r="J65" s="49">
        <f t="shared" si="8"/>
        <v>0</v>
      </c>
      <c r="K65" s="1"/>
      <c r="L65" s="1"/>
    </row>
    <row r="66" ht="15" customHeight="1">
      <c r="A66" s="1"/>
      <c r="B66" s="5" t="s">
        <v>197</v>
      </c>
      <c r="C66" s="19">
        <f t="shared" si="25" ref="C66:J66">IF(COUNT(C35,C59)&lt;2,"n/a",C35/C59)</f>
        <v>0.15394321766561514</v>
      </c>
      <c r="D66" s="19">
        <f t="shared" si="25"/>
        <v>0.16097700328524497</v>
      </c>
      <c r="E66" s="19">
        <f t="shared" si="25"/>
        <v>0.1588360539389638</v>
      </c>
      <c r="F66" s="19">
        <f t="shared" si="25"/>
        <v>0.16429410996473814</v>
      </c>
      <c r="G66" s="19">
        <f t="shared" si="25"/>
        <v>0.159754662482616</v>
      </c>
      <c r="H66" s="19">
        <f t="shared" si="25"/>
        <v>0.17782577393808496</v>
      </c>
      <c r="I66" s="19">
        <f t="shared" si="25"/>
        <v>0.14632966501390737</v>
      </c>
      <c r="J66" s="32">
        <f t="shared" si="25"/>
        <v>0.14632966501390737</v>
      </c>
      <c r="K66" s="1"/>
      <c r="L66" s="1"/>
    </row>
    <row r="67" ht="15" customHeight="1">
      <c r="A67" s="1"/>
      <c r="B67" s="5" t="s">
        <v>133</v>
      </c>
      <c r="C67" s="48"/>
      <c r="D67" s="48"/>
      <c r="E67" s="48"/>
      <c r="F67" s="48"/>
      <c r="G67" s="48"/>
      <c r="H67" s="48">
        <f t="shared" si="7"/>
        <v>238.82556272469824</v>
      </c>
      <c r="I67" s="48">
        <f t="shared" si="7"/>
        <v>-146.473382713376</v>
      </c>
      <c r="J67" s="49">
        <f t="shared" si="7"/>
        <v>-125.06388925056427</v>
      </c>
      <c r="K67" s="1"/>
      <c r="L67" s="1"/>
    </row>
    <row r="68" ht="15" customHeight="1">
      <c r="A68" s="1"/>
      <c r="B68" s="5" t="s">
        <v>134</v>
      </c>
      <c r="C68" s="48"/>
      <c r="D68" s="48">
        <f t="shared" si="8"/>
        <v>70.33785619629835</v>
      </c>
      <c r="E68" s="48">
        <f t="shared" si="8"/>
        <v>-21.409493462811735</v>
      </c>
      <c r="F68" s="48">
        <f t="shared" si="8"/>
        <v>54.580560257743436</v>
      </c>
      <c r="G68" s="48"/>
      <c r="H68" s="48">
        <f t="shared" si="24"/>
        <v>135.31663973346818</v>
      </c>
      <c r="I68" s="48">
        <f t="shared" si="8"/>
        <v>-314.9610892417759</v>
      </c>
      <c r="J68" s="49">
        <f t="shared" si="8"/>
        <v>0</v>
      </c>
      <c r="K68" s="1"/>
      <c r="L68" s="1"/>
    </row>
    <row r="69" ht="15" customHeight="1">
      <c r="A69" s="1"/>
      <c r="B69" s="5" t="s">
        <v>198</v>
      </c>
      <c r="C69" s="19">
        <f t="shared" si="26" ref="C69:J69">IF(COUNT(C39,C59)&lt;2,"n/a",C39/C59)</f>
        <v>0.1381703470031546</v>
      </c>
      <c r="D69" s="19">
        <f t="shared" si="26"/>
        <v>0.13312383945150694</v>
      </c>
      <c r="E69" s="19">
        <f t="shared" si="26"/>
        <v>0.14549325762952448</v>
      </c>
      <c r="F69" s="19">
        <f t="shared" si="26"/>
        <v>0.16533890557659658</v>
      </c>
      <c r="G69" s="19">
        <f t="shared" si="26"/>
        <v>0.1461683842670185</v>
      </c>
      <c r="H69" s="19">
        <f t="shared" si="26"/>
        <v>0.1583873290136789</v>
      </c>
      <c r="I69" s="19">
        <f t="shared" si="26"/>
        <v>0.14850646994799854</v>
      </c>
      <c r="J69" s="32">
        <f t="shared" si="26"/>
        <v>0.14850646994799857</v>
      </c>
      <c r="K69" s="1"/>
      <c r="L69" s="1"/>
    </row>
    <row r="70" ht="15" customHeight="1">
      <c r="A70" s="1"/>
      <c r="B70" s="5" t="s">
        <v>133</v>
      </c>
      <c r="C70" s="48"/>
      <c r="D70" s="48"/>
      <c r="E70" s="48"/>
      <c r="F70" s="48"/>
      <c r="G70" s="48"/>
      <c r="H70" s="48">
        <f t="shared" si="7"/>
        <v>202.16982010524325</v>
      </c>
      <c r="I70" s="48">
        <f t="shared" si="7"/>
        <v>153.82630496491606</v>
      </c>
      <c r="J70" s="49">
        <f t="shared" si="7"/>
        <v>30.132123184740955</v>
      </c>
      <c r="K70" s="1"/>
      <c r="L70" s="1"/>
    </row>
    <row r="71" ht="15" customHeight="1">
      <c r="A71" s="1"/>
      <c r="B71" s="5" t="s">
        <v>134</v>
      </c>
      <c r="C71" s="48"/>
      <c r="D71" s="48">
        <f t="shared" si="8"/>
        <v>-50.465075516476496</v>
      </c>
      <c r="E71" s="48">
        <f t="shared" si="8"/>
        <v>123.69418178017538</v>
      </c>
      <c r="F71" s="48">
        <f t="shared" si="8"/>
        <v>198.4564794707211</v>
      </c>
      <c r="G71" s="48"/>
      <c r="H71" s="48">
        <f t="shared" si="24"/>
        <v>-69.51576562917671</v>
      </c>
      <c r="I71" s="48">
        <f t="shared" si="8"/>
        <v>-98.8085906568037</v>
      </c>
      <c r="J71" s="49">
        <f t="shared" si="8"/>
        <v>0</v>
      </c>
      <c r="K71" s="1"/>
      <c r="L71" s="1"/>
    </row>
    <row r="72" ht="15" customHeight="1">
      <c r="A72" s="1"/>
      <c r="B72" s="5" t="s">
        <v>199</v>
      </c>
      <c r="C72" s="19">
        <f t="shared" si="27" ref="C72:J72">IF(COUNT(C43,C59)&lt;2,"n/a",C43/C59)</f>
        <v>0.002050473186119874</v>
      </c>
      <c r="D72" s="19">
        <f t="shared" si="27"/>
        <v>0.0011426939008713042</v>
      </c>
      <c r="E72" s="19">
        <f t="shared" si="27"/>
        <v>0.0035486160397444995</v>
      </c>
      <c r="F72" s="19">
        <f t="shared" si="27"/>
        <v>0.003917983544469113</v>
      </c>
      <c r="G72" s="19">
        <f t="shared" si="27"/>
        <v>0.0027101237385443785</v>
      </c>
      <c r="H72" s="19">
        <f t="shared" si="27"/>
        <v>0.00734341252699784</v>
      </c>
      <c r="I72" s="19">
        <f t="shared" si="27"/>
        <v>0.0016930705042931431</v>
      </c>
      <c r="J72" s="32">
        <f t="shared" si="27"/>
        <v>0.0016930705042931433</v>
      </c>
      <c r="K72" s="1"/>
      <c r="L72" s="1"/>
    </row>
    <row r="73" ht="15" customHeight="1">
      <c r="A73" s="1"/>
      <c r="B73" s="5" t="s">
        <v>133</v>
      </c>
      <c r="C73" s="48"/>
      <c r="D73" s="48"/>
      <c r="E73" s="48"/>
      <c r="F73" s="48"/>
      <c r="G73" s="48"/>
      <c r="H73" s="48">
        <f t="shared" si="7"/>
        <v>52.92939340877967</v>
      </c>
      <c r="I73" s="48">
        <f t="shared" si="7"/>
        <v>5.50376603421839</v>
      </c>
      <c r="J73" s="49">
        <f t="shared" si="7"/>
        <v>-18.555455354513562</v>
      </c>
      <c r="K73" s="1"/>
      <c r="L73" s="1"/>
    </row>
    <row r="74" ht="15" customHeight="1">
      <c r="A74" s="1"/>
      <c r="B74" s="5" t="s">
        <v>134</v>
      </c>
      <c r="C74" s="48"/>
      <c r="D74" s="48">
        <f t="shared" si="8"/>
        <v>-9.077792852485699</v>
      </c>
      <c r="E74" s="48">
        <f t="shared" si="8"/>
        <v>24.059221388731956</v>
      </c>
      <c r="F74" s="48">
        <f t="shared" si="8"/>
        <v>3.6936750472461344</v>
      </c>
      <c r="G74" s="48"/>
      <c r="H74" s="48">
        <f t="shared" si="24"/>
        <v>34.25428982528727</v>
      </c>
      <c r="I74" s="48">
        <f t="shared" si="8"/>
        <v>-56.503420227046966</v>
      </c>
      <c r="J74" s="49">
        <f t="shared" si="8"/>
        <v>0</v>
      </c>
      <c r="K74" s="1"/>
      <c r="L74" s="1"/>
    </row>
    <row r="75" ht="15" customHeight="1">
      <c r="A75" s="1"/>
      <c r="B75" s="5" t="s">
        <v>200</v>
      </c>
      <c r="C75" s="19">
        <f t="shared" si="28" ref="C75:J75">IF(COUNT(C47,C59)&lt;2,"n/a",C47/C59)</f>
        <v>0.9916403785488959</v>
      </c>
      <c r="D75" s="19">
        <f t="shared" si="28"/>
        <v>0.9940008570204256</v>
      </c>
      <c r="E75" s="19">
        <f t="shared" si="28"/>
        <v>0.9904897090134848</v>
      </c>
      <c r="F75" s="19">
        <f t="shared" si="28"/>
        <v>0.9915110356536503</v>
      </c>
      <c r="G75" s="19">
        <f t="shared" si="28"/>
        <v>0.9919052883072424</v>
      </c>
      <c r="H75" s="19">
        <f t="shared" si="28"/>
        <v>0.9881929445644348</v>
      </c>
      <c r="I75" s="19">
        <f t="shared" si="28"/>
        <v>0.9923811827306809</v>
      </c>
      <c r="J75" s="32">
        <f t="shared" si="28"/>
        <v>0.9923811827306809</v>
      </c>
      <c r="K75" s="1"/>
      <c r="L75" s="1"/>
    </row>
    <row r="76" ht="15" customHeight="1">
      <c r="A76" s="1"/>
      <c r="B76" s="5" t="s">
        <v>133</v>
      </c>
      <c r="C76" s="48"/>
      <c r="D76" s="48"/>
      <c r="E76" s="48"/>
      <c r="F76" s="48"/>
      <c r="G76" s="48"/>
      <c r="H76" s="48">
        <f t="shared" si="7"/>
        <v>-34.47433984461013</v>
      </c>
      <c r="I76" s="48">
        <f t="shared" si="7"/>
        <v>-16.196742897447436</v>
      </c>
      <c r="J76" s="49">
        <f t="shared" si="7"/>
        <v>18.91473717196113</v>
      </c>
      <c r="K76" s="1"/>
      <c r="L76" s="1"/>
    </row>
    <row r="77" ht="15" customHeight="1">
      <c r="A77" s="1"/>
      <c r="B77" s="5" t="s">
        <v>134</v>
      </c>
      <c r="C77" s="48"/>
      <c r="D77" s="48">
        <f t="shared" si="8"/>
        <v>23.60478471529759</v>
      </c>
      <c r="E77" s="48">
        <f t="shared" si="8"/>
        <v>-35.111480069408564</v>
      </c>
      <c r="F77" s="48">
        <f t="shared" si="8"/>
        <v>10.213266401655208</v>
      </c>
      <c r="G77" s="48"/>
      <c r="H77" s="48">
        <f t="shared" si="24"/>
        <v>-33.18091089215436</v>
      </c>
      <c r="I77" s="48">
        <f t="shared" si="8"/>
        <v>41.882381662460276</v>
      </c>
      <c r="J77" s="49">
        <f t="shared" si="8"/>
        <v>0</v>
      </c>
      <c r="K77" s="1"/>
      <c r="L77" s="1"/>
    </row>
    <row r="78" ht="15" customHeight="1">
      <c r="A78" s="1"/>
      <c r="B78" s="1" t="s">
        <v>201</v>
      </c>
      <c r="C78" s="35">
        <v>6340</v>
      </c>
      <c r="D78" s="35">
        <v>7001</v>
      </c>
      <c r="E78" s="35">
        <v>7045</v>
      </c>
      <c r="F78" s="35">
        <v>7657</v>
      </c>
      <c r="G78" s="18">
        <f t="shared" si="16"/>
        <v>28043</v>
      </c>
      <c r="H78" s="35">
        <v>6945</v>
      </c>
      <c r="I78" s="35">
        <v>8269</v>
      </c>
      <c r="J78" s="36"/>
      <c r="K78" s="1" t="s">
        <v>95</v>
      </c>
      <c r="L78" s="1"/>
    </row>
    <row r="79" ht="15" customHeight="1">
      <c r="A79" s="1"/>
      <c r="B79" s="1" t="s">
        <v>202</v>
      </c>
      <c r="C79" s="18">
        <f t="shared" si="29" ref="C79:I79">C59-C78</f>
        <v>0</v>
      </c>
      <c r="D79" s="18">
        <f t="shared" si="29"/>
        <v>0</v>
      </c>
      <c r="E79" s="18">
        <f t="shared" si="29"/>
        <v>0</v>
      </c>
      <c r="F79" s="18">
        <f t="shared" si="29"/>
        <v>0</v>
      </c>
      <c r="G79" s="18">
        <f t="shared" si="29"/>
        <v>0</v>
      </c>
      <c r="H79" s="18">
        <f t="shared" si="29"/>
        <v>0</v>
      </c>
      <c r="I79" s="18">
        <f t="shared" si="29"/>
        <v>0</v>
      </c>
      <c r="J79" s="36"/>
      <c r="K79" s="1"/>
      <c r="L79" s="1"/>
    </row>
    <row r="80" ht="15" customHeight="1">
      <c r="A80" s="1"/>
      <c r="B80" s="1"/>
      <c r="C80" s="1"/>
      <c r="D80" s="1"/>
      <c r="E80" s="1"/>
      <c r="F80" s="1"/>
      <c r="G80" s="1"/>
      <c r="H80" s="1"/>
      <c r="I80" s="1"/>
      <c r="J80" s="29"/>
      <c r="K80" s="1"/>
      <c r="L80" s="1"/>
    </row>
    <row r="81" ht="15" customHeight="1">
      <c r="A81" s="1"/>
      <c r="B81" s="4" t="s">
        <v>203</v>
      </c>
      <c r="C81" s="1"/>
      <c r="D81" s="1"/>
      <c r="E81" s="1"/>
      <c r="F81" s="1"/>
      <c r="G81" s="1"/>
      <c r="H81" s="1"/>
      <c r="I81" s="1"/>
      <c r="J81" s="29"/>
      <c r="K81" s="1"/>
      <c r="L81" s="1"/>
    </row>
    <row r="82" ht="15" customHeight="1">
      <c r="A82" s="1"/>
      <c r="B82" s="1" t="s">
        <v>204</v>
      </c>
      <c r="C82" s="35">
        <v>5406</v>
      </c>
      <c r="D82" s="35">
        <v>5975</v>
      </c>
      <c r="E82" s="35">
        <v>6013</v>
      </c>
      <c r="F82" s="35">
        <v>6669</v>
      </c>
      <c r="G82" s="18">
        <f t="shared" si="16"/>
        <v>24063</v>
      </c>
      <c r="H82" s="35">
        <v>6006</v>
      </c>
      <c r="I82" s="35">
        <v>7297</v>
      </c>
      <c r="J82" s="36">
        <f>J51*I82/I51</f>
        <v>6830.182609747248</v>
      </c>
      <c r="K82" s="1" t="s">
        <v>81</v>
      </c>
      <c r="L82" s="1" t="s">
        <v>205</v>
      </c>
    </row>
    <row r="83" ht="15" customHeight="1">
      <c r="A83" s="1"/>
      <c r="B83" s="5" t="s">
        <v>73</v>
      </c>
      <c r="C83" s="19"/>
      <c r="D83" s="19"/>
      <c r="E83" s="19"/>
      <c r="F83" s="19"/>
      <c r="G83" s="19"/>
      <c r="H83" s="19">
        <f t="shared" si="4"/>
        <v>0.11098779134295222</v>
      </c>
      <c r="I83" s="19">
        <f t="shared" si="4"/>
        <v>0.22125523012552306</v>
      </c>
      <c r="J83" s="32">
        <f t="shared" si="4"/>
        <v>0.1359026458917758</v>
      </c>
      <c r="K83" s="1"/>
      <c r="L83" s="1"/>
    </row>
    <row r="84" ht="15" customHeight="1">
      <c r="A84" s="1"/>
      <c r="B84" s="1" t="s">
        <v>90</v>
      </c>
      <c r="C84" s="18"/>
      <c r="D84" s="18">
        <f t="shared" si="10"/>
        <v>569</v>
      </c>
      <c r="E84" s="18">
        <f t="shared" si="10"/>
        <v>38</v>
      </c>
      <c r="F84" s="18">
        <f t="shared" si="10"/>
        <v>656</v>
      </c>
      <c r="G84" s="18"/>
      <c r="H84" s="18">
        <f t="shared" si="15"/>
        <v>-663</v>
      </c>
      <c r="I84" s="18">
        <f t="shared" si="10"/>
        <v>1291</v>
      </c>
      <c r="J84" s="36">
        <f t="shared" si="10"/>
        <v>-466.8173902527524</v>
      </c>
      <c r="K84" s="1"/>
      <c r="L84" s="1"/>
    </row>
    <row r="85" ht="15" customHeight="1">
      <c r="A85" s="1"/>
      <c r="B85" s="1" t="s">
        <v>91</v>
      </c>
      <c r="C85" s="37" t="s">
        <v>86</v>
      </c>
      <c r="D85" s="37" t="s">
        <v>86</v>
      </c>
      <c r="E85" s="37" t="s">
        <v>86</v>
      </c>
      <c r="F85" s="37" t="s">
        <v>86</v>
      </c>
      <c r="G85" s="37" t="s">
        <v>86</v>
      </c>
      <c r="H85" s="37" t="s">
        <v>86</v>
      </c>
      <c r="I85" s="37" t="s">
        <v>86</v>
      </c>
      <c r="J85" s="38" t="s">
        <v>86</v>
      </c>
      <c r="K85" s="1"/>
      <c r="L85" s="1" t="s">
        <v>206</v>
      </c>
    </row>
    <row r="86" ht="15" customHeight="1">
      <c r="A86" s="1"/>
      <c r="B86" s="1" t="s">
        <v>207</v>
      </c>
      <c r="C86" s="35">
        <v>894</v>
      </c>
      <c r="D86" s="35">
        <v>992</v>
      </c>
      <c r="E86" s="35">
        <v>990</v>
      </c>
      <c r="F86" s="35">
        <v>953</v>
      </c>
      <c r="G86" s="18">
        <f t="shared" si="16"/>
        <v>3829</v>
      </c>
      <c r="H86" s="35">
        <v>908</v>
      </c>
      <c r="I86" s="35">
        <v>923</v>
      </c>
      <c r="J86" s="36">
        <f>J51-J82</f>
        <v>863.9521102914505</v>
      </c>
      <c r="K86" s="1" t="s">
        <v>81</v>
      </c>
      <c r="L86" s="1"/>
    </row>
    <row r="87" ht="15" customHeight="1">
      <c r="A87" s="1"/>
      <c r="B87" s="5" t="s">
        <v>73</v>
      </c>
      <c r="C87" s="19"/>
      <c r="D87" s="19"/>
      <c r="E87" s="19"/>
      <c r="F87" s="19"/>
      <c r="G87" s="19"/>
      <c r="H87" s="19">
        <f t="shared" si="4"/>
        <v>0.015659955257270708</v>
      </c>
      <c r="I87" s="19">
        <f t="shared" si="4"/>
        <v>-0.06955645161290325</v>
      </c>
      <c r="J87" s="32">
        <f t="shared" si="4"/>
        <v>-0.12732110071570657</v>
      </c>
      <c r="K87" s="1"/>
      <c r="L87" s="1"/>
    </row>
    <row r="88" ht="15" customHeight="1">
      <c r="A88" s="1"/>
      <c r="B88" s="1" t="s">
        <v>90</v>
      </c>
      <c r="C88" s="18"/>
      <c r="D88" s="18">
        <f t="shared" si="10"/>
        <v>98</v>
      </c>
      <c r="E88" s="18">
        <f t="shared" si="10"/>
        <v>-2</v>
      </c>
      <c r="F88" s="18">
        <f t="shared" si="10"/>
        <v>-37</v>
      </c>
      <c r="G88" s="18"/>
      <c r="H88" s="18">
        <f t="shared" si="15"/>
        <v>-45</v>
      </c>
      <c r="I88" s="18">
        <f t="shared" si="10"/>
        <v>15</v>
      </c>
      <c r="J88" s="36">
        <f t="shared" si="10"/>
        <v>-59.04788970854952</v>
      </c>
      <c r="K88" s="1"/>
      <c r="L88" s="1"/>
    </row>
    <row r="89" ht="15" customHeight="1">
      <c r="A89" s="1"/>
      <c r="B89" s="1" t="s">
        <v>91</v>
      </c>
      <c r="C89" s="37" t="s">
        <v>86</v>
      </c>
      <c r="D89" s="37" t="s">
        <v>86</v>
      </c>
      <c r="E89" s="37" t="s">
        <v>86</v>
      </c>
      <c r="F89" s="37" t="s">
        <v>86</v>
      </c>
      <c r="G89" s="37" t="s">
        <v>86</v>
      </c>
      <c r="H89" s="37" t="s">
        <v>86</v>
      </c>
      <c r="I89" s="37" t="s">
        <v>86</v>
      </c>
      <c r="J89" s="38" t="s">
        <v>86</v>
      </c>
      <c r="K89" s="1"/>
      <c r="L89" s="1" t="s">
        <v>208</v>
      </c>
    </row>
    <row r="90" ht="15" customHeight="1">
      <c r="A90" s="1"/>
      <c r="B90" s="5" t="s">
        <v>209</v>
      </c>
      <c r="C90" s="19">
        <f t="shared" si="30" ref="C90:J90">IF(COUNT(C82,C51)&lt;2,"n/a",C82/C51)</f>
        <v>0.8580952380952381</v>
      </c>
      <c r="D90" s="19">
        <f t="shared" si="30"/>
        <v>0.8576144682072628</v>
      </c>
      <c r="E90" s="19">
        <f t="shared" si="30"/>
        <v>0.8586320148507782</v>
      </c>
      <c r="F90" s="19">
        <f t="shared" si="30"/>
        <v>0.8749672002099187</v>
      </c>
      <c r="G90" s="19">
        <f t="shared" si="30"/>
        <v>0.8627204933314212</v>
      </c>
      <c r="H90" s="19">
        <f t="shared" si="30"/>
        <v>0.8686722591842638</v>
      </c>
      <c r="I90" s="19">
        <f t="shared" si="30"/>
        <v>0.8877128953771289</v>
      </c>
      <c r="J90" s="32">
        <f t="shared" si="30"/>
        <v>0.8877128953771288</v>
      </c>
      <c r="K90" s="1"/>
      <c r="L90" s="1"/>
    </row>
    <row r="91" ht="15" customHeight="1">
      <c r="A91" s="1"/>
      <c r="B91" s="5" t="s">
        <v>143</v>
      </c>
      <c r="C91" s="48"/>
      <c r="D91" s="48"/>
      <c r="E91" s="48"/>
      <c r="F91" s="48"/>
      <c r="G91" s="48"/>
      <c r="H91" s="48">
        <f t="shared" si="7"/>
        <v>105.77021089025695</v>
      </c>
      <c r="I91" s="48">
        <f t="shared" si="7"/>
        <v>300.984271698661</v>
      </c>
      <c r="J91" s="49">
        <f t="shared" si="7"/>
        <v>290.80880526350603</v>
      </c>
      <c r="K91" s="1"/>
      <c r="L91" s="1"/>
    </row>
    <row r="92" ht="15" customHeight="1">
      <c r="A92" s="1"/>
      <c r="B92" s="5" t="s">
        <v>128</v>
      </c>
      <c r="C92" s="48"/>
      <c r="D92" s="48">
        <f t="shared" si="8"/>
        <v>-4.807698879752964</v>
      </c>
      <c r="E92" s="48">
        <f t="shared" si="8"/>
        <v>10.17546643515388</v>
      </c>
      <c r="F92" s="48">
        <f t="shared" si="8"/>
        <v>163.3518535914047</v>
      </c>
      <c r="G92" s="48"/>
      <c r="H92" s="48">
        <f t="shared" si="24"/>
        <v>-62.94941025654865</v>
      </c>
      <c r="I92" s="48">
        <f t="shared" si="8"/>
        <v>190.40636192865114</v>
      </c>
      <c r="J92" s="49">
        <f t="shared" si="8"/>
        <v>0</v>
      </c>
      <c r="K92" s="1"/>
      <c r="L92" s="1"/>
    </row>
    <row r="93" ht="15" customHeight="1">
      <c r="A93" s="1"/>
      <c r="B93" s="1" t="s">
        <v>210</v>
      </c>
      <c r="C93" s="18">
        <f t="shared" si="31" ref="C93:J93">C82+C86-C51</f>
        <v>0</v>
      </c>
      <c r="D93" s="18">
        <f t="shared" si="31"/>
        <v>0</v>
      </c>
      <c r="E93" s="18">
        <f t="shared" si="31"/>
        <v>0</v>
      </c>
      <c r="F93" s="18">
        <f t="shared" si="31"/>
        <v>0</v>
      </c>
      <c r="G93" s="18">
        <f t="shared" si="31"/>
        <v>0</v>
      </c>
      <c r="H93" s="18">
        <f t="shared" si="31"/>
        <v>0</v>
      </c>
      <c r="I93" s="18">
        <f t="shared" si="31"/>
        <v>0</v>
      </c>
      <c r="J93" s="36">
        <f t="shared" si="31"/>
        <v>0</v>
      </c>
      <c r="K93" s="1"/>
      <c r="L93" s="1"/>
    </row>
    <row r="94" ht="15" customHeight="1">
      <c r="A94" s="1"/>
      <c r="B94" s="1" t="s">
        <v>303</v>
      </c>
      <c r="C94" s="35">
        <v>3605</v>
      </c>
      <c r="D94" s="35">
        <v>3991</v>
      </c>
      <c r="E94" s="35">
        <v>4089</v>
      </c>
      <c r="F94" s="35">
        <v>4962</v>
      </c>
      <c r="G94" s="18">
        <f t="shared" si="16"/>
        <v>16647</v>
      </c>
      <c r="H94" s="35">
        <v>4062</v>
      </c>
      <c r="I94" s="35">
        <v>5106</v>
      </c>
      <c r="J94" s="36">
        <f>J51*I94/I51</f>
        <v>4779.349377191921</v>
      </c>
      <c r="K94" s="1" t="s">
        <v>81</v>
      </c>
      <c r="L94" s="1" t="s">
        <v>304</v>
      </c>
    </row>
    <row r="95" ht="15" customHeight="1">
      <c r="A95" s="1"/>
      <c r="B95" s="5" t="s">
        <v>73</v>
      </c>
      <c r="C95" s="19"/>
      <c r="D95" s="19"/>
      <c r="E95" s="19"/>
      <c r="F95" s="19"/>
      <c r="G95" s="19"/>
      <c r="H95" s="19">
        <f t="shared" si="4"/>
        <v>0.12676837725381418</v>
      </c>
      <c r="I95" s="19">
        <f t="shared" si="4"/>
        <v>0.27937860185417196</v>
      </c>
      <c r="J95" s="32">
        <f t="shared" si="4"/>
        <v>0.1688308577138471</v>
      </c>
      <c r="K95" s="1"/>
      <c r="L95" s="1"/>
    </row>
    <row r="96" ht="15" customHeight="1">
      <c r="A96" s="1"/>
      <c r="B96" s="1" t="s">
        <v>90</v>
      </c>
      <c r="C96" s="18"/>
      <c r="D96" s="18">
        <f t="shared" si="10"/>
        <v>386</v>
      </c>
      <c r="E96" s="18">
        <f t="shared" si="10"/>
        <v>98</v>
      </c>
      <c r="F96" s="18">
        <f t="shared" si="10"/>
        <v>873</v>
      </c>
      <c r="G96" s="18"/>
      <c r="H96" s="18">
        <f t="shared" si="15"/>
        <v>-900</v>
      </c>
      <c r="I96" s="18">
        <f t="shared" si="10"/>
        <v>1044</v>
      </c>
      <c r="J96" s="36">
        <f t="shared" si="10"/>
        <v>-326.6506228080789</v>
      </c>
      <c r="K96" s="1"/>
      <c r="L96" s="1"/>
    </row>
    <row r="97" ht="15" customHeight="1">
      <c r="A97" s="1"/>
      <c r="B97" s="1" t="s">
        <v>305</v>
      </c>
      <c r="C97" s="35">
        <v>2695</v>
      </c>
      <c r="D97" s="35">
        <v>2976</v>
      </c>
      <c r="E97" s="35">
        <v>2914</v>
      </c>
      <c r="F97" s="35">
        <v>2660</v>
      </c>
      <c r="G97" s="18">
        <f t="shared" si="16"/>
        <v>11245</v>
      </c>
      <c r="H97" s="35">
        <v>2852</v>
      </c>
      <c r="I97" s="35">
        <v>3114</v>
      </c>
      <c r="J97" s="36">
        <f>J51-J94</f>
        <v>2914.785342846777</v>
      </c>
      <c r="K97" s="1" t="s">
        <v>81</v>
      </c>
      <c r="L97" s="1"/>
    </row>
    <row r="98" ht="15" customHeight="1">
      <c r="A98" s="1"/>
      <c r="B98" s="5" t="s">
        <v>73</v>
      </c>
      <c r="C98" s="19"/>
      <c r="D98" s="19"/>
      <c r="E98" s="19"/>
      <c r="F98" s="19"/>
      <c r="G98" s="19"/>
      <c r="H98" s="19">
        <f t="shared" si="4"/>
        <v>0.058256029684601085</v>
      </c>
      <c r="I98" s="19">
        <f t="shared" si="4"/>
        <v>0.0463709677419355</v>
      </c>
      <c r="J98" s="32">
        <f t="shared" si="4"/>
        <v>0.00026950681083626193</v>
      </c>
      <c r="K98" s="1"/>
      <c r="L98" s="1"/>
    </row>
    <row r="99" ht="15" customHeight="1">
      <c r="A99" s="1"/>
      <c r="B99" s="1" t="s">
        <v>90</v>
      </c>
      <c r="C99" s="18"/>
      <c r="D99" s="18">
        <f t="shared" si="10"/>
        <v>281</v>
      </c>
      <c r="E99" s="18">
        <f t="shared" si="10"/>
        <v>-62</v>
      </c>
      <c r="F99" s="18">
        <f t="shared" si="10"/>
        <v>-254</v>
      </c>
      <c r="G99" s="18"/>
      <c r="H99" s="18">
        <f t="shared" si="15"/>
        <v>192</v>
      </c>
      <c r="I99" s="18">
        <f t="shared" si="10"/>
        <v>262</v>
      </c>
      <c r="J99" s="36">
        <f t="shared" si="10"/>
        <v>-199.21465715322302</v>
      </c>
      <c r="K99" s="1"/>
      <c r="L99" s="1"/>
    </row>
    <row r="100" ht="15" customHeight="1">
      <c r="A100" s="1"/>
      <c r="B100" s="5" t="s">
        <v>306</v>
      </c>
      <c r="C100" s="19">
        <f t="shared" si="32" ref="C100:J100">IF(COUNT(C94,C51)&lt;2,"n/a",C94/C51)</f>
        <v>0.5722222222222222</v>
      </c>
      <c r="D100" s="19">
        <f t="shared" si="32"/>
        <v>0.5728434046217884</v>
      </c>
      <c r="E100" s="19">
        <f t="shared" si="32"/>
        <v>0.5838926174496645</v>
      </c>
      <c r="F100" s="19">
        <f t="shared" si="32"/>
        <v>0.6510102335345054</v>
      </c>
      <c r="G100" s="19">
        <f t="shared" si="32"/>
        <v>0.5968378029542522</v>
      </c>
      <c r="H100" s="19">
        <f t="shared" si="32"/>
        <v>0.5875036158518947</v>
      </c>
      <c r="I100" s="19">
        <f t="shared" si="32"/>
        <v>0.6211678832116788</v>
      </c>
      <c r="J100" s="32">
        <f t="shared" si="32"/>
        <v>0.6211678832116788</v>
      </c>
      <c r="K100" s="1"/>
      <c r="L100" s="1"/>
    </row>
    <row r="101" ht="15" customHeight="1">
      <c r="A101" s="1"/>
      <c r="B101" s="5" t="s">
        <v>143</v>
      </c>
      <c r="C101" s="48"/>
      <c r="D101" s="48"/>
      <c r="E101" s="48"/>
      <c r="F101" s="48"/>
      <c r="G101" s="48"/>
      <c r="H101" s="48">
        <f t="shared" si="7"/>
        <v>152.81393629672513</v>
      </c>
      <c r="I101" s="48">
        <f t="shared" si="7"/>
        <v>483.2447858989042</v>
      </c>
      <c r="J101" s="49">
        <f t="shared" si="7"/>
        <v>372.7526576201434</v>
      </c>
      <c r="K101" s="1"/>
      <c r="L101" s="1"/>
    </row>
    <row r="102" ht="15" customHeight="1">
      <c r="A102" s="1"/>
      <c r="B102" s="5" t="s">
        <v>128</v>
      </c>
      <c r="C102" s="48"/>
      <c r="D102" s="48">
        <f t="shared" si="8"/>
        <v>6.2118239956621135</v>
      </c>
      <c r="E102" s="48">
        <f t="shared" si="8"/>
        <v>110.49212827876076</v>
      </c>
      <c r="F102" s="48">
        <f t="shared" si="8"/>
        <v>671.176160848409</v>
      </c>
      <c r="G102" s="48"/>
      <c r="H102" s="48">
        <f t="shared" si="24"/>
        <v>-635.0661768261068</v>
      </c>
      <c r="I102" s="48">
        <f t="shared" si="8"/>
        <v>336.64267359784117</v>
      </c>
      <c r="J102" s="49">
        <f t="shared" si="8"/>
        <v>0</v>
      </c>
      <c r="K102" s="1"/>
      <c r="L102" s="1"/>
    </row>
    <row r="103" ht="15" customHeight="1">
      <c r="A103" s="1"/>
      <c r="B103" s="1"/>
      <c r="C103" s="1"/>
      <c r="D103" s="1"/>
      <c r="E103" s="1"/>
      <c r="F103" s="1"/>
      <c r="G103" s="1"/>
      <c r="H103" s="1"/>
      <c r="I103" s="1"/>
      <c r="J103" s="29"/>
      <c r="K103" s="1"/>
      <c r="L103" s="1"/>
    </row>
    <row r="104" ht="15" customHeight="1">
      <c r="A104" s="1"/>
      <c r="B104" s="4" t="s">
        <v>211</v>
      </c>
      <c r="C104" s="1"/>
      <c r="D104" s="1"/>
      <c r="E104" s="1"/>
      <c r="F104" s="1"/>
      <c r="G104" s="1"/>
      <c r="H104" s="1"/>
      <c r="I104" s="1"/>
      <c r="J104" s="29"/>
      <c r="K104" s="1"/>
      <c r="L104" s="1"/>
    </row>
    <row r="105" ht="15" customHeight="1">
      <c r="A105" s="1"/>
      <c r="B105" s="1" t="s">
        <v>111</v>
      </c>
      <c r="C105" s="35">
        <v>-319</v>
      </c>
      <c r="D105" s="35">
        <v>490</v>
      </c>
      <c r="E105" s="35">
        <v>659</v>
      </c>
      <c r="F105" s="35">
        <v>500</v>
      </c>
      <c r="G105" s="18">
        <f t="shared" si="16"/>
        <v>1330</v>
      </c>
      <c r="H105" s="35">
        <v>605</v>
      </c>
      <c r="I105" s="35">
        <v>1268</v>
      </c>
      <c r="J105" s="36">
        <f>J59-J60</f>
        <v>694.9999999999991</v>
      </c>
      <c r="K105" s="1" t="s">
        <v>95</v>
      </c>
      <c r="L105" s="1" t="s">
        <v>212</v>
      </c>
    </row>
    <row r="106" ht="15" customHeight="1">
      <c r="A106" s="1"/>
      <c r="B106" s="1" t="s">
        <v>116</v>
      </c>
      <c r="C106" s="35">
        <v>-460</v>
      </c>
      <c r="D106" s="35">
        <v>0</v>
      </c>
      <c r="E106" s="35">
        <v>0</v>
      </c>
      <c r="F106" s="35">
        <v>0</v>
      </c>
      <c r="G106" s="18">
        <f t="shared" si="16"/>
        <v>-460</v>
      </c>
      <c r="H106" s="35">
        <v>0</v>
      </c>
      <c r="I106" s="35">
        <v>0</v>
      </c>
      <c r="J106" s="42">
        <v>0</v>
      </c>
      <c r="K106" s="1" t="s">
        <v>95</v>
      </c>
      <c r="L106" s="1" t="s">
        <v>307</v>
      </c>
    </row>
    <row r="107" ht="15" customHeight="1">
      <c r="A107" s="1"/>
      <c r="B107" s="5" t="s">
        <v>73</v>
      </c>
      <c r="C107" s="43"/>
      <c r="D107" s="43"/>
      <c r="E107" s="43"/>
      <c r="F107" s="43"/>
      <c r="G107" s="43"/>
      <c r="H107" s="43" t="str">
        <f t="shared" si="4"/>
        <v>n/m</v>
      </c>
      <c r="I107" s="43" t="str">
        <f t="shared" si="4"/>
        <v>n/m</v>
      </c>
      <c r="J107" s="44" t="str">
        <f t="shared" si="4"/>
        <v>n/m</v>
      </c>
      <c r="K107" s="1"/>
      <c r="L107" s="1"/>
    </row>
    <row r="108" ht="15" customHeight="1">
      <c r="A108" s="1"/>
      <c r="B108" s="1" t="s">
        <v>90</v>
      </c>
      <c r="C108" s="18"/>
      <c r="D108" s="18">
        <f t="shared" si="10"/>
        <v>460</v>
      </c>
      <c r="E108" s="18">
        <f t="shared" si="10"/>
        <v>0</v>
      </c>
      <c r="F108" s="18">
        <f t="shared" si="10"/>
        <v>0</v>
      </c>
      <c r="G108" s="18"/>
      <c r="H108" s="18">
        <f t="shared" si="15"/>
        <v>0</v>
      </c>
      <c r="I108" s="18">
        <f t="shared" si="10"/>
        <v>0</v>
      </c>
      <c r="J108" s="36">
        <f t="shared" si="10"/>
        <v>0</v>
      </c>
      <c r="K108" s="1"/>
      <c r="L108" s="1"/>
    </row>
    <row r="109" ht="15" customHeight="1">
      <c r="A109" s="1"/>
      <c r="B109" s="1" t="s">
        <v>117</v>
      </c>
      <c r="C109" s="35">
        <v>-5</v>
      </c>
      <c r="D109" s="35">
        <v>75</v>
      </c>
      <c r="E109" s="35">
        <v>0</v>
      </c>
      <c r="F109" s="35">
        <v>5</v>
      </c>
      <c r="G109" s="18">
        <f t="shared" si="16"/>
        <v>75</v>
      </c>
      <c r="H109" s="35">
        <v>17</v>
      </c>
      <c r="I109" s="35">
        <v>12</v>
      </c>
      <c r="J109" s="42">
        <v>0</v>
      </c>
      <c r="K109" s="1" t="s">
        <v>95</v>
      </c>
      <c r="L109" s="1" t="s">
        <v>214</v>
      </c>
    </row>
    <row r="110" ht="15" customHeight="1">
      <c r="A110" s="1"/>
      <c r="B110" s="5" t="s">
        <v>73</v>
      </c>
      <c r="C110" s="43"/>
      <c r="D110" s="43"/>
      <c r="E110" s="43"/>
      <c r="F110" s="43"/>
      <c r="G110" s="43"/>
      <c r="H110" s="43" t="str">
        <f t="shared" si="4"/>
        <v>n/m</v>
      </c>
      <c r="I110" s="43">
        <f t="shared" si="4"/>
        <v>-0.84</v>
      </c>
      <c r="J110" s="44" t="str">
        <f t="shared" si="4"/>
        <v>n/m</v>
      </c>
      <c r="K110" s="1"/>
      <c r="L110" s="1"/>
    </row>
    <row r="111" ht="15" customHeight="1">
      <c r="A111" s="1"/>
      <c r="B111" s="1" t="s">
        <v>90</v>
      </c>
      <c r="C111" s="18"/>
      <c r="D111" s="18">
        <f t="shared" si="10"/>
        <v>80</v>
      </c>
      <c r="E111" s="18">
        <f t="shared" si="10"/>
        <v>-75</v>
      </c>
      <c r="F111" s="18">
        <f t="shared" si="10"/>
        <v>5</v>
      </c>
      <c r="G111" s="18"/>
      <c r="H111" s="18">
        <f t="shared" si="15"/>
        <v>12</v>
      </c>
      <c r="I111" s="18">
        <f t="shared" si="10"/>
        <v>-5</v>
      </c>
      <c r="J111" s="36">
        <f t="shared" si="10"/>
        <v>-12</v>
      </c>
      <c r="K111" s="1"/>
      <c r="L111" s="1"/>
    </row>
    <row r="112" ht="15" customHeight="1">
      <c r="A112" s="1"/>
      <c r="B112" s="1" t="s">
        <v>118</v>
      </c>
      <c r="C112" s="35">
        <v>146</v>
      </c>
      <c r="D112" s="35">
        <v>415</v>
      </c>
      <c r="E112" s="35">
        <v>659</v>
      </c>
      <c r="F112" s="35">
        <v>495</v>
      </c>
      <c r="G112" s="18">
        <f t="shared" si="16"/>
        <v>1715</v>
      </c>
      <c r="H112" s="35">
        <v>588</v>
      </c>
      <c r="I112" s="35">
        <v>1256</v>
      </c>
      <c r="J112" s="36">
        <f>J105-J106-J109</f>
        <v>694.9999999999991</v>
      </c>
      <c r="K112" s="1" t="s">
        <v>95</v>
      </c>
      <c r="L112" s="1" t="s">
        <v>215</v>
      </c>
    </row>
    <row r="113" ht="15" customHeight="1">
      <c r="A113" s="1"/>
      <c r="B113" s="1" t="s">
        <v>216</v>
      </c>
      <c r="C113" s="18">
        <f t="shared" si="33" ref="C113:J113">C106+C109+C112-C105</f>
        <v>0</v>
      </c>
      <c r="D113" s="18">
        <f t="shared" si="33"/>
        <v>0</v>
      </c>
      <c r="E113" s="18">
        <f t="shared" si="33"/>
        <v>0</v>
      </c>
      <c r="F113" s="18">
        <f t="shared" si="33"/>
        <v>0</v>
      </c>
      <c r="G113" s="18">
        <f t="shared" si="33"/>
        <v>0</v>
      </c>
      <c r="H113" s="18">
        <f t="shared" si="33"/>
        <v>0</v>
      </c>
      <c r="I113" s="18">
        <f t="shared" si="33"/>
        <v>0</v>
      </c>
      <c r="J113" s="36">
        <f t="shared" si="33"/>
        <v>0</v>
      </c>
      <c r="K113" s="1"/>
      <c r="L113" s="1"/>
    </row>
    <row r="114" ht="15" customHeight="1">
      <c r="A114" s="1"/>
      <c r="B114" s="5" t="s">
        <v>121</v>
      </c>
      <c r="C114" s="19">
        <f t="shared" si="34" ref="C114:J114">C105/C60</f>
        <v>-0.047905090854482656</v>
      </c>
      <c r="D114" s="19">
        <f t="shared" si="34"/>
        <v>0.07445676948791977</v>
      </c>
      <c r="E114" s="19">
        <f t="shared" si="34"/>
        <v>0.10319448794237394</v>
      </c>
      <c r="F114" s="19">
        <f t="shared" si="34"/>
        <v>0.0698616738857063</v>
      </c>
      <c r="G114" s="19">
        <f t="shared" si="34"/>
        <v>0.04965836538102528</v>
      </c>
      <c r="H114" s="19">
        <f t="shared" si="34"/>
        <v>0.09542586750788644</v>
      </c>
      <c r="I114" s="19">
        <f t="shared" si="34"/>
        <v>0.1811169832881017</v>
      </c>
      <c r="J114" s="32">
        <f t="shared" si="34"/>
        <v>0.09865152590489697</v>
      </c>
      <c r="K114" s="1"/>
      <c r="L114" s="1"/>
    </row>
    <row r="115" ht="15" customHeight="1">
      <c r="A115" s="1"/>
      <c r="B115" s="5" t="s">
        <v>122</v>
      </c>
      <c r="C115" s="19">
        <f t="shared" si="35" ref="C115:J115">C106/C60</f>
        <v>-0.0690794413575612</v>
      </c>
      <c r="D115" s="19">
        <f t="shared" si="35"/>
        <v>0</v>
      </c>
      <c r="E115" s="19">
        <f t="shared" si="35"/>
        <v>0</v>
      </c>
      <c r="F115" s="19">
        <f t="shared" si="35"/>
        <v>0</v>
      </c>
      <c r="G115" s="19">
        <f t="shared" si="35"/>
        <v>-0.017175073740805735</v>
      </c>
      <c r="H115" s="19">
        <f t="shared" si="35"/>
        <v>0</v>
      </c>
      <c r="I115" s="19">
        <f t="shared" si="35"/>
        <v>0</v>
      </c>
      <c r="J115" s="32">
        <f t="shared" si="35"/>
        <v>0</v>
      </c>
      <c r="K115" s="1"/>
      <c r="L115" s="1"/>
    </row>
    <row r="116" ht="15" customHeight="1">
      <c r="A116" s="1"/>
      <c r="B116" s="5" t="s">
        <v>123</v>
      </c>
      <c r="C116" s="19">
        <f t="shared" si="36" ref="C116:J116">C109/C60</f>
        <v>-0.0007508634930169695</v>
      </c>
      <c r="D116" s="19">
        <f t="shared" si="36"/>
        <v>0.011396444309375475</v>
      </c>
      <c r="E116" s="19">
        <f t="shared" si="36"/>
        <v>0</v>
      </c>
      <c r="F116" s="19">
        <f t="shared" si="36"/>
        <v>0.000698616738857063</v>
      </c>
      <c r="G116" s="19">
        <f t="shared" si="36"/>
        <v>0.0028002837620878917</v>
      </c>
      <c r="H116" s="19">
        <f t="shared" si="36"/>
        <v>0.0026813880126182964</v>
      </c>
      <c r="I116" s="19">
        <f t="shared" si="36"/>
        <v>0.0017140408513069561</v>
      </c>
      <c r="J116" s="32">
        <f t="shared" si="36"/>
        <v>0</v>
      </c>
      <c r="K116" s="1"/>
      <c r="L116" s="1"/>
    </row>
    <row r="117" ht="15" customHeight="1">
      <c r="A117" s="1"/>
      <c r="B117" s="45" t="s">
        <v>217</v>
      </c>
      <c r="C117" s="46">
        <f t="shared" si="37" ref="C117:J117">(1+C114)/((1+C115)*(1+C116))-1</f>
        <v>0.023514123519636554</v>
      </c>
      <c r="D117" s="46">
        <f t="shared" si="37"/>
        <v>0.06234975961538458</v>
      </c>
      <c r="E117" s="46">
        <f t="shared" si="37"/>
        <v>0.10319448794237385</v>
      </c>
      <c r="F117" s="46">
        <f t="shared" si="37"/>
        <v>0.06911477240994146</v>
      </c>
      <c r="G117" s="46">
        <f t="shared" si="37"/>
        <v>0.06501901217915029</v>
      </c>
      <c r="H117" s="46">
        <f t="shared" si="37"/>
        <v>0.09249646059462036</v>
      </c>
      <c r="I117" s="46">
        <f t="shared" si="37"/>
        <v>0.17909596463710242</v>
      </c>
      <c r="J117" s="47">
        <f t="shared" si="37"/>
        <v>0.09865152590489701</v>
      </c>
      <c r="K117" s="1"/>
      <c r="L117" s="1"/>
    </row>
    <row r="118" ht="15" customHeight="1">
      <c r="A118" s="1"/>
      <c r="B118" s="5" t="s">
        <v>126</v>
      </c>
      <c r="C118" s="19">
        <f t="shared" si="38" ref="C118:J118">C112/C60</f>
        <v>0.02192521399609551</v>
      </c>
      <c r="D118" s="19">
        <f t="shared" si="38"/>
        <v>0.06306032517854429</v>
      </c>
      <c r="E118" s="19">
        <f t="shared" si="38"/>
        <v>0.10319448794237394</v>
      </c>
      <c r="F118" s="19">
        <f t="shared" si="38"/>
        <v>0.06916305714684924</v>
      </c>
      <c r="G118" s="19">
        <f t="shared" si="38"/>
        <v>0.06403315535974312</v>
      </c>
      <c r="H118" s="19">
        <f t="shared" si="38"/>
        <v>0.09274447949526814</v>
      </c>
      <c r="I118" s="19">
        <f t="shared" si="38"/>
        <v>0.17940294243679475</v>
      </c>
      <c r="J118" s="32">
        <f t="shared" si="38"/>
        <v>0.09865152590489697</v>
      </c>
      <c r="K118" s="1"/>
      <c r="L118" s="1"/>
    </row>
    <row r="119" ht="15" customHeight="1">
      <c r="A119" s="1"/>
      <c r="B119" s="5" t="s">
        <v>127</v>
      </c>
      <c r="C119" s="48"/>
      <c r="D119" s="48"/>
      <c r="E119" s="48"/>
      <c r="F119" s="48"/>
      <c r="G119" s="48"/>
      <c r="H119" s="48">
        <f t="shared" si="39" ref="H119:J119">IF(COUNT(H117,C117)&lt;2,"n/a",(H117-C117)*10000)</f>
        <v>689.823370749838</v>
      </c>
      <c r="I119" s="48">
        <f t="shared" si="39"/>
        <v>1167.4620502171783</v>
      </c>
      <c r="J119" s="49">
        <f t="shared" si="39"/>
        <v>-45.42962037476839</v>
      </c>
      <c r="K119" s="1"/>
      <c r="L119" s="1"/>
    </row>
    <row r="120" ht="15" customHeight="1">
      <c r="A120" s="1"/>
      <c r="B120" s="5" t="s">
        <v>128</v>
      </c>
      <c r="C120" s="48"/>
      <c r="D120" s="48">
        <f t="shared" si="40" ref="D120:J120">IF(COUNT(D117,C117)&lt;2,"n/a",(D117-C117)*10000)</f>
        <v>388.35636095748026</v>
      </c>
      <c r="E120" s="48">
        <f t="shared" si="40"/>
        <v>408.44728326989264</v>
      </c>
      <c r="F120" s="48">
        <f t="shared" si="40"/>
        <v>-340.79715532432385</v>
      </c>
      <c r="G120" s="48"/>
      <c r="H120" s="48">
        <f>IF(COUNT(H117,F117)&lt;2,"n/a",(H117-F117)*10000)</f>
        <v>233.81688184678896</v>
      </c>
      <c r="I120" s="48">
        <f t="shared" si="40"/>
        <v>865.9950404248207</v>
      </c>
      <c r="J120" s="49">
        <f t="shared" si="40"/>
        <v>-804.4443873220541</v>
      </c>
      <c r="K120" s="1"/>
      <c r="L120" s="1"/>
    </row>
    <row r="121" ht="15" customHeight="1">
      <c r="A121" s="1"/>
      <c r="B121" s="1"/>
      <c r="C121" s="1"/>
      <c r="D121" s="1"/>
      <c r="E121" s="1"/>
      <c r="F121" s="1"/>
      <c r="G121" s="1"/>
      <c r="H121" s="1"/>
      <c r="I121" s="1"/>
      <c r="J121" s="29"/>
      <c r="K121" s="1"/>
      <c r="L121" s="1"/>
    </row>
    <row r="122" ht="15" customHeight="1">
      <c r="A122" s="1"/>
      <c r="B122" s="4" t="s">
        <v>222</v>
      </c>
      <c r="C122" s="1"/>
      <c r="D122" s="1"/>
      <c r="E122" s="1"/>
      <c r="F122" s="1"/>
      <c r="G122" s="1"/>
      <c r="H122" s="1"/>
      <c r="I122" s="1"/>
      <c r="J122" s="29"/>
      <c r="K122" s="1"/>
      <c r="L122" s="1"/>
    </row>
    <row r="123" ht="15" customHeight="1">
      <c r="A123" s="1"/>
      <c r="B123" s="1" t="s">
        <v>223</v>
      </c>
      <c r="C123" s="35">
        <v>-98</v>
      </c>
      <c r="D123" s="35">
        <v>-121</v>
      </c>
      <c r="E123" s="35">
        <v>-115</v>
      </c>
      <c r="F123" s="35">
        <v>-149</v>
      </c>
      <c r="G123" s="18">
        <f t="shared" si="16"/>
        <v>-483</v>
      </c>
      <c r="H123" s="35">
        <v>-114</v>
      </c>
      <c r="I123" s="35">
        <v>-140</v>
      </c>
      <c r="J123" s="36">
        <f>J59*I123/I59</f>
        <v>-131.04365703228925</v>
      </c>
      <c r="K123" s="1" t="s">
        <v>81</v>
      </c>
      <c r="L123" s="1" t="s">
        <v>224</v>
      </c>
    </row>
    <row r="124" ht="15" customHeight="1">
      <c r="A124" s="1"/>
      <c r="B124" s="5" t="s">
        <v>73</v>
      </c>
      <c r="C124" s="19"/>
      <c r="D124" s="19"/>
      <c r="E124" s="19"/>
      <c r="F124" s="19"/>
      <c r="G124" s="19"/>
      <c r="H124" s="19">
        <f t="shared" si="4"/>
        <v>0.16326530612244894</v>
      </c>
      <c r="I124" s="19">
        <f t="shared" si="4"/>
        <v>0.15702479338842967</v>
      </c>
      <c r="J124" s="32">
        <f t="shared" si="4"/>
        <v>0.13951006115034126</v>
      </c>
      <c r="K124" s="1"/>
      <c r="L124" s="1"/>
    </row>
    <row r="125" ht="15" customHeight="1">
      <c r="A125" s="1"/>
      <c r="B125" s="1" t="s">
        <v>90</v>
      </c>
      <c r="C125" s="18"/>
      <c r="D125" s="18">
        <f t="shared" si="10"/>
        <v>-23</v>
      </c>
      <c r="E125" s="18">
        <f t="shared" si="10"/>
        <v>6</v>
      </c>
      <c r="F125" s="18">
        <f t="shared" si="10"/>
        <v>-34</v>
      </c>
      <c r="G125" s="18"/>
      <c r="H125" s="18">
        <f t="shared" si="15"/>
        <v>35</v>
      </c>
      <c r="I125" s="18">
        <f t="shared" si="10"/>
        <v>-26</v>
      </c>
      <c r="J125" s="36">
        <f t="shared" si="10"/>
        <v>8.956342967710754</v>
      </c>
      <c r="K125" s="1"/>
      <c r="L125" s="1"/>
    </row>
    <row r="126" ht="15" customHeight="1">
      <c r="A126" s="1"/>
      <c r="B126" s="5" t="s">
        <v>225</v>
      </c>
      <c r="C126" s="19">
        <f t="shared" si="41" ref="C126:J126">-C123/C59</f>
        <v>0.015457413249211356</v>
      </c>
      <c r="D126" s="19">
        <f t="shared" si="41"/>
        <v>0.017283245250678474</v>
      </c>
      <c r="E126" s="19">
        <f t="shared" si="41"/>
        <v>0.016323633782824698</v>
      </c>
      <c r="F126" s="19">
        <f t="shared" si="41"/>
        <v>0.019459318270863262</v>
      </c>
      <c r="G126" s="19">
        <f t="shared" si="41"/>
        <v>0.017223549548907036</v>
      </c>
      <c r="H126" s="19">
        <f t="shared" si="41"/>
        <v>0.016414686825053995</v>
      </c>
      <c r="I126" s="19">
        <f t="shared" si="41"/>
        <v>0.01693070504293143</v>
      </c>
      <c r="J126" s="32">
        <f t="shared" si="41"/>
        <v>0.01693070504293143</v>
      </c>
      <c r="K126" s="1"/>
      <c r="L126" s="1"/>
    </row>
    <row r="127" ht="15" customHeight="1">
      <c r="A127" s="1"/>
      <c r="B127" s="5" t="s">
        <v>143</v>
      </c>
      <c r="C127" s="48"/>
      <c r="D127" s="48"/>
      <c r="E127" s="48"/>
      <c r="F127" s="48"/>
      <c r="G127" s="48"/>
      <c r="H127" s="48">
        <f t="shared" si="7"/>
        <v>9.57273575842639</v>
      </c>
      <c r="I127" s="48">
        <f t="shared" si="7"/>
        <v>-3.525402077470437</v>
      </c>
      <c r="J127" s="49">
        <f t="shared" si="7"/>
        <v>6.07071260106732</v>
      </c>
      <c r="K127" s="1"/>
      <c r="L127" s="1"/>
    </row>
    <row r="128" ht="15" customHeight="1">
      <c r="A128" s="1"/>
      <c r="B128" s="5" t="s">
        <v>128</v>
      </c>
      <c r="C128" s="48"/>
      <c r="D128" s="48">
        <f t="shared" si="8"/>
        <v>18.258320014671174</v>
      </c>
      <c r="E128" s="48">
        <f t="shared" si="8"/>
        <v>-9.596114678537756</v>
      </c>
      <c r="F128" s="48">
        <f t="shared" si="8"/>
        <v>31.35684488038564</v>
      </c>
      <c r="G128" s="48"/>
      <c r="H128" s="48">
        <f t="shared" si="24"/>
        <v>-30.44631445809267</v>
      </c>
      <c r="I128" s="48">
        <f t="shared" si="8"/>
        <v>5.160182178774349</v>
      </c>
      <c r="J128" s="49">
        <f t="shared" si="8"/>
        <v>0</v>
      </c>
      <c r="K128" s="1"/>
      <c r="L128" s="1"/>
    </row>
    <row r="129" ht="15" customHeight="1">
      <c r="A129" s="1"/>
      <c r="B129" s="4" t="s">
        <v>226</v>
      </c>
      <c r="C129" s="52">
        <v>678</v>
      </c>
      <c r="D129" s="52">
        <v>809</v>
      </c>
      <c r="E129" s="52">
        <v>859</v>
      </c>
      <c r="F129" s="52">
        <v>885</v>
      </c>
      <c r="G129" s="33">
        <f t="shared" si="16"/>
        <v>3231</v>
      </c>
      <c r="H129" s="52">
        <v>845</v>
      </c>
      <c r="I129" s="52">
        <v>1043</v>
      </c>
      <c r="J129" s="34">
        <f>J59*J132</f>
        <v>967.4999999999999</v>
      </c>
      <c r="K129" s="1" t="s">
        <v>95</v>
      </c>
      <c r="L129" s="1" t="s">
        <v>227</v>
      </c>
    </row>
    <row r="130" ht="15" customHeight="1">
      <c r="A130" s="1"/>
      <c r="B130" s="5" t="s">
        <v>73</v>
      </c>
      <c r="C130" s="19"/>
      <c r="D130" s="19"/>
      <c r="E130" s="19"/>
      <c r="F130" s="19"/>
      <c r="G130" s="19"/>
      <c r="H130" s="19">
        <f t="shared" si="4"/>
        <v>0.2463126843657817</v>
      </c>
      <c r="I130" s="19">
        <f t="shared" si="4"/>
        <v>0.2892459826946847</v>
      </c>
      <c r="J130" s="32">
        <f t="shared" si="4"/>
        <v>0.12630966239813723</v>
      </c>
      <c r="K130" s="1"/>
      <c r="L130" s="1"/>
    </row>
    <row r="131" ht="15" customHeight="1">
      <c r="A131" s="1"/>
      <c r="B131" s="1" t="s">
        <v>90</v>
      </c>
      <c r="C131" s="18"/>
      <c r="D131" s="18">
        <f t="shared" si="10"/>
        <v>131</v>
      </c>
      <c r="E131" s="18">
        <f t="shared" si="10"/>
        <v>50</v>
      </c>
      <c r="F131" s="18">
        <f t="shared" si="10"/>
        <v>26</v>
      </c>
      <c r="G131" s="18"/>
      <c r="H131" s="18">
        <f t="shared" si="15"/>
        <v>-40</v>
      </c>
      <c r="I131" s="18">
        <f t="shared" si="10"/>
        <v>198</v>
      </c>
      <c r="J131" s="36">
        <f t="shared" si="10"/>
        <v>-75.50000000000011</v>
      </c>
      <c r="K131" s="1"/>
      <c r="L131" s="1"/>
    </row>
    <row r="132" ht="15" customHeight="1">
      <c r="A132" s="1"/>
      <c r="B132" s="5" t="s">
        <v>228</v>
      </c>
      <c r="C132" s="19">
        <f t="shared" si="42" ref="C132:I132">C129/C59</f>
        <v>0.10694006309148266</v>
      </c>
      <c r="D132" s="19">
        <f t="shared" si="42"/>
        <v>0.11555492072561063</v>
      </c>
      <c r="E132" s="19">
        <f t="shared" si="42"/>
        <v>0.12193044712562101</v>
      </c>
      <c r="F132" s="19">
        <f t="shared" si="42"/>
        <v>0.11558051456183883</v>
      </c>
      <c r="G132" s="19">
        <f t="shared" si="42"/>
        <v>0.11521591841101166</v>
      </c>
      <c r="H132" s="19">
        <f t="shared" si="42"/>
        <v>0.1216702663786897</v>
      </c>
      <c r="I132" s="19">
        <f t="shared" si="42"/>
        <v>0.12613375256983916</v>
      </c>
      <c r="J132" s="66">
        <v>0.125</v>
      </c>
      <c r="K132" s="1"/>
      <c r="L132" s="1" t="s">
        <v>308</v>
      </c>
    </row>
    <row r="133" ht="15" customHeight="1">
      <c r="A133" s="1"/>
      <c r="B133" s="5" t="s">
        <v>143</v>
      </c>
      <c r="C133" s="48"/>
      <c r="D133" s="48"/>
      <c r="E133" s="48"/>
      <c r="F133" s="48"/>
      <c r="G133" s="48"/>
      <c r="H133" s="48">
        <f t="shared" si="7"/>
        <v>147.30203287207047</v>
      </c>
      <c r="I133" s="48">
        <f t="shared" si="7"/>
        <v>105.78831844228532</v>
      </c>
      <c r="J133" s="49">
        <f t="shared" si="7"/>
        <v>30.69552874378989</v>
      </c>
      <c r="K133" s="1"/>
      <c r="L133" s="1"/>
    </row>
    <row r="134" ht="15" customHeight="1">
      <c r="A134" s="1"/>
      <c r="B134" s="5" t="s">
        <v>128</v>
      </c>
      <c r="C134" s="48"/>
      <c r="D134" s="48">
        <f t="shared" si="8"/>
        <v>86.14857634127976</v>
      </c>
      <c r="E134" s="48">
        <f t="shared" si="8"/>
        <v>63.755264000103786</v>
      </c>
      <c r="F134" s="48">
        <f t="shared" si="8"/>
        <v>-63.49932563782176</v>
      </c>
      <c r="G134" s="48"/>
      <c r="H134" s="48">
        <f t="shared" si="24"/>
        <v>60.89751816850869</v>
      </c>
      <c r="I134" s="48">
        <f t="shared" si="8"/>
        <v>44.6348619114946</v>
      </c>
      <c r="J134" s="49">
        <f t="shared" si="8"/>
        <v>-11.337525698391637</v>
      </c>
      <c r="K134" s="1"/>
      <c r="L134" s="1"/>
    </row>
    <row r="135" ht="15" customHeight="1">
      <c r="A135" s="1"/>
      <c r="B135" s="1" t="s">
        <v>230</v>
      </c>
      <c r="C135" s="35">
        <v>0</v>
      </c>
      <c r="D135" s="35">
        <v>-4</v>
      </c>
      <c r="E135" s="35">
        <v>0</v>
      </c>
      <c r="F135" s="35">
        <v>0</v>
      </c>
      <c r="G135" s="18">
        <f t="shared" si="16"/>
        <v>-4</v>
      </c>
      <c r="H135" s="35">
        <v>-4</v>
      </c>
      <c r="I135" s="35">
        <v>-1</v>
      </c>
      <c r="J135" s="42">
        <v>-2</v>
      </c>
      <c r="K135" s="1" t="s">
        <v>95</v>
      </c>
      <c r="L135" s="1" t="s">
        <v>231</v>
      </c>
    </row>
    <row r="136" ht="15" customHeight="1">
      <c r="A136" s="1"/>
      <c r="B136" s="5" t="s">
        <v>73</v>
      </c>
      <c r="C136" s="43"/>
      <c r="D136" s="43"/>
      <c r="E136" s="43"/>
      <c r="F136" s="43"/>
      <c r="G136" s="43"/>
      <c r="H136" s="43" t="str">
        <f t="shared" si="4"/>
        <v>n/m</v>
      </c>
      <c r="I136" s="43">
        <f t="shared" si="4"/>
        <v>-0.75</v>
      </c>
      <c r="J136" s="44" t="str">
        <f t="shared" si="4"/>
        <v>n/m</v>
      </c>
      <c r="K136" s="1"/>
      <c r="L136" s="1"/>
    </row>
    <row r="137" ht="15" customHeight="1">
      <c r="A137" s="1"/>
      <c r="B137" s="1" t="s">
        <v>90</v>
      </c>
      <c r="C137" s="18"/>
      <c r="D137" s="18">
        <f t="shared" si="10"/>
        <v>-4</v>
      </c>
      <c r="E137" s="18">
        <f t="shared" si="10"/>
        <v>4</v>
      </c>
      <c r="F137" s="18">
        <f t="shared" si="10"/>
        <v>0</v>
      </c>
      <c r="G137" s="18"/>
      <c r="H137" s="18">
        <f t="shared" si="15"/>
        <v>-4</v>
      </c>
      <c r="I137" s="18">
        <f t="shared" si="10"/>
        <v>3</v>
      </c>
      <c r="J137" s="36">
        <f t="shared" si="10"/>
        <v>-1</v>
      </c>
      <c r="K137" s="1"/>
      <c r="L137" s="1"/>
    </row>
    <row r="138" ht="15" customHeight="1">
      <c r="A138" s="1"/>
      <c r="B138" s="1" t="s">
        <v>232</v>
      </c>
      <c r="C138" s="35">
        <v>0</v>
      </c>
      <c r="D138" s="35">
        <v>0</v>
      </c>
      <c r="E138" s="35">
        <v>0</v>
      </c>
      <c r="F138" s="35">
        <v>0</v>
      </c>
      <c r="G138" s="18">
        <f t="shared" si="16"/>
        <v>0</v>
      </c>
      <c r="H138" s="35">
        <v>0</v>
      </c>
      <c r="I138" s="35">
        <v>0</v>
      </c>
      <c r="J138" s="42">
        <v>0</v>
      </c>
      <c r="K138" s="1" t="s">
        <v>95</v>
      </c>
      <c r="L138" s="1" t="s">
        <v>309</v>
      </c>
    </row>
    <row r="139" ht="15" customHeight="1">
      <c r="A139" s="1"/>
      <c r="B139" s="5" t="s">
        <v>73</v>
      </c>
      <c r="C139" s="43"/>
      <c r="D139" s="43"/>
      <c r="E139" s="43"/>
      <c r="F139" s="43"/>
      <c r="G139" s="43"/>
      <c r="H139" s="43" t="str">
        <f t="shared" si="4"/>
        <v>n/m</v>
      </c>
      <c r="I139" s="43" t="str">
        <f t="shared" si="4"/>
        <v>n/m</v>
      </c>
      <c r="J139" s="44" t="str">
        <f t="shared" si="4"/>
        <v>n/m</v>
      </c>
      <c r="K139" s="1"/>
      <c r="L139" s="1"/>
    </row>
    <row r="140" ht="15" customHeight="1">
      <c r="A140" s="1"/>
      <c r="B140" s="1" t="s">
        <v>90</v>
      </c>
      <c r="C140" s="18"/>
      <c r="D140" s="18">
        <f t="shared" si="10"/>
        <v>0</v>
      </c>
      <c r="E140" s="18">
        <f t="shared" si="10"/>
        <v>0</v>
      </c>
      <c r="F140" s="18">
        <f t="shared" si="10"/>
        <v>0</v>
      </c>
      <c r="G140" s="18"/>
      <c r="H140" s="18">
        <f t="shared" si="15"/>
        <v>0</v>
      </c>
      <c r="I140" s="18">
        <f t="shared" si="10"/>
        <v>0</v>
      </c>
      <c r="J140" s="36">
        <f t="shared" si="10"/>
        <v>0</v>
      </c>
      <c r="K140" s="1"/>
      <c r="L140" s="1"/>
    </row>
    <row r="141" ht="15" customHeight="1">
      <c r="A141" s="1"/>
      <c r="B141" s="4" t="s">
        <v>235</v>
      </c>
      <c r="C141" s="33">
        <f t="shared" si="43" ref="C141:J141">C129+C135+C138</f>
        <v>678</v>
      </c>
      <c r="D141" s="33">
        <f t="shared" si="43"/>
        <v>805</v>
      </c>
      <c r="E141" s="33">
        <f t="shared" si="43"/>
        <v>859</v>
      </c>
      <c r="F141" s="33">
        <f t="shared" si="43"/>
        <v>885</v>
      </c>
      <c r="G141" s="33">
        <f t="shared" si="43"/>
        <v>3227</v>
      </c>
      <c r="H141" s="33">
        <f t="shared" si="43"/>
        <v>841</v>
      </c>
      <c r="I141" s="33">
        <f t="shared" si="43"/>
        <v>1042</v>
      </c>
      <c r="J141" s="34">
        <f t="shared" si="43"/>
        <v>965.4999999999999</v>
      </c>
      <c r="K141" s="1"/>
      <c r="L141" s="1"/>
    </row>
    <row r="142" ht="15" customHeight="1">
      <c r="A142" s="1"/>
      <c r="B142" s="5" t="s">
        <v>73</v>
      </c>
      <c r="C142" s="19"/>
      <c r="D142" s="19"/>
      <c r="E142" s="19"/>
      <c r="F142" s="19"/>
      <c r="G142" s="19"/>
      <c r="H142" s="19">
        <f t="shared" si="4"/>
        <v>0.24041297935103234</v>
      </c>
      <c r="I142" s="19">
        <f t="shared" si="4"/>
        <v>0.2944099378881988</v>
      </c>
      <c r="J142" s="32">
        <f t="shared" si="4"/>
        <v>0.12398137369033746</v>
      </c>
      <c r="K142" s="1"/>
      <c r="L142" s="1"/>
    </row>
    <row r="143" ht="15" customHeight="1">
      <c r="A143" s="1"/>
      <c r="B143" s="1" t="s">
        <v>90</v>
      </c>
      <c r="C143" s="18"/>
      <c r="D143" s="18">
        <f t="shared" si="10"/>
        <v>127</v>
      </c>
      <c r="E143" s="18">
        <f t="shared" si="10"/>
        <v>54</v>
      </c>
      <c r="F143" s="18">
        <f t="shared" si="10"/>
        <v>26</v>
      </c>
      <c r="G143" s="18"/>
      <c r="H143" s="18">
        <f t="shared" si="15"/>
        <v>-44</v>
      </c>
      <c r="I143" s="18">
        <f t="shared" si="10"/>
        <v>201</v>
      </c>
      <c r="J143" s="36">
        <f t="shared" si="10"/>
        <v>-76.50000000000011</v>
      </c>
      <c r="K143" s="1"/>
      <c r="L143" s="1"/>
    </row>
    <row r="144" ht="15" customHeight="1">
      <c r="A144" s="1"/>
      <c r="B144" s="5" t="s">
        <v>236</v>
      </c>
      <c r="C144" s="19">
        <f t="shared" si="44" ref="C144:J144">C141/C59</f>
        <v>0.10694006309148266</v>
      </c>
      <c r="D144" s="19">
        <f t="shared" si="44"/>
        <v>0.11498357377517497</v>
      </c>
      <c r="E144" s="19">
        <f t="shared" si="44"/>
        <v>0.12193044712562101</v>
      </c>
      <c r="F144" s="19">
        <f t="shared" si="44"/>
        <v>0.11558051456183883</v>
      </c>
      <c r="G144" s="19">
        <f t="shared" si="44"/>
        <v>0.11507328031950932</v>
      </c>
      <c r="H144" s="19">
        <f t="shared" si="44"/>
        <v>0.1210943124550036</v>
      </c>
      <c r="I144" s="19">
        <f t="shared" si="44"/>
        <v>0.12601281896238964</v>
      </c>
      <c r="J144" s="32">
        <f t="shared" si="44"/>
        <v>0.12474160206718346</v>
      </c>
      <c r="K144" s="1"/>
      <c r="L144" s="1"/>
    </row>
    <row r="145" ht="15" customHeight="1">
      <c r="A145" s="1"/>
      <c r="B145" s="5" t="s">
        <v>143</v>
      </c>
      <c r="C145" s="48"/>
      <c r="D145" s="48"/>
      <c r="E145" s="48"/>
      <c r="F145" s="48"/>
      <c r="G145" s="48"/>
      <c r="H145" s="48">
        <f t="shared" si="7"/>
        <v>141.54249363520944</v>
      </c>
      <c r="I145" s="48">
        <f t="shared" si="7"/>
        <v>110.29245187214667</v>
      </c>
      <c r="J145" s="49">
        <f t="shared" si="7"/>
        <v>28.11154941562449</v>
      </c>
      <c r="K145" s="1"/>
      <c r="L145" s="1"/>
    </row>
    <row r="146" ht="15" customHeight="1">
      <c r="A146" s="1"/>
      <c r="B146" s="5" t="s">
        <v>128</v>
      </c>
      <c r="C146" s="48"/>
      <c r="D146" s="48">
        <f t="shared" si="8"/>
        <v>80.43510683692315</v>
      </c>
      <c r="E146" s="48">
        <f t="shared" si="8"/>
        <v>69.46873350446039</v>
      </c>
      <c r="F146" s="48">
        <f t="shared" si="8"/>
        <v>-63.49932563782176</v>
      </c>
      <c r="G146" s="48"/>
      <c r="H146" s="48">
        <f t="shared" si="24"/>
        <v>55.13797893164765</v>
      </c>
      <c r="I146" s="48">
        <f t="shared" si="8"/>
        <v>49.18506507386039</v>
      </c>
      <c r="J146" s="49">
        <f t="shared" si="8"/>
        <v>-12.712168952061786</v>
      </c>
      <c r="K146" s="1"/>
      <c r="L146" s="1"/>
    </row>
    <row r="147" ht="15" customHeight="1">
      <c r="A147" s="1"/>
      <c r="B147" s="1" t="s">
        <v>237</v>
      </c>
      <c r="C147" s="35">
        <v>678</v>
      </c>
      <c r="D147" s="35">
        <v>805</v>
      </c>
      <c r="E147" s="35">
        <v>859</v>
      </c>
      <c r="F147" s="35">
        <v>885</v>
      </c>
      <c r="G147" s="18">
        <f t="shared" si="16"/>
        <v>3227</v>
      </c>
      <c r="H147" s="35">
        <v>841</v>
      </c>
      <c r="I147" s="35">
        <v>1042</v>
      </c>
      <c r="J147" s="36"/>
      <c r="K147" s="1" t="s">
        <v>95</v>
      </c>
      <c r="L147" s="1"/>
    </row>
    <row r="148" ht="15" customHeight="1">
      <c r="A148" s="1"/>
      <c r="B148" s="1" t="s">
        <v>238</v>
      </c>
      <c r="C148" s="18">
        <f t="shared" si="45" ref="C148:I148">C141-C147</f>
        <v>0</v>
      </c>
      <c r="D148" s="18">
        <f t="shared" si="45"/>
        <v>0</v>
      </c>
      <c r="E148" s="18">
        <f t="shared" si="45"/>
        <v>0</v>
      </c>
      <c r="F148" s="18">
        <f t="shared" si="45"/>
        <v>0</v>
      </c>
      <c r="G148" s="18">
        <f t="shared" si="45"/>
        <v>0</v>
      </c>
      <c r="H148" s="18">
        <f t="shared" si="45"/>
        <v>0</v>
      </c>
      <c r="I148" s="18">
        <f t="shared" si="45"/>
        <v>0</v>
      </c>
      <c r="J148" s="36"/>
      <c r="K148" s="1"/>
      <c r="L148" s="1"/>
    </row>
    <row r="149" ht="15" customHeight="1">
      <c r="A149" s="1"/>
      <c r="B149" s="1" t="s">
        <v>239</v>
      </c>
      <c r="C149" s="35">
        <v>-5564</v>
      </c>
      <c r="D149" s="35">
        <v>-6075</v>
      </c>
      <c r="E149" s="35">
        <v>-6071</v>
      </c>
      <c r="F149" s="35">
        <v>-6623</v>
      </c>
      <c r="G149" s="18">
        <f t="shared" si="16"/>
        <v>-24333</v>
      </c>
      <c r="H149" s="35">
        <v>-5990</v>
      </c>
      <c r="I149" s="35">
        <v>-7087</v>
      </c>
      <c r="J149" s="36">
        <f>J141-J59-J123</f>
        <v>-6643.45634296771</v>
      </c>
      <c r="K149" s="1" t="s">
        <v>81</v>
      </c>
      <c r="L149" s="1" t="s">
        <v>240</v>
      </c>
    </row>
    <row r="150" ht="15" customHeight="1">
      <c r="A150" s="1"/>
      <c r="B150" s="5" t="s">
        <v>73</v>
      </c>
      <c r="C150" s="19"/>
      <c r="D150" s="19"/>
      <c r="E150" s="19"/>
      <c r="F150" s="19"/>
      <c r="G150" s="19"/>
      <c r="H150" s="19">
        <f t="shared" si="4"/>
        <v>0.07656362329259525</v>
      </c>
      <c r="I150" s="19">
        <f t="shared" si="4"/>
        <v>0.16658436213991767</v>
      </c>
      <c r="J150" s="32">
        <f t="shared" si="4"/>
        <v>0.09429358309466473</v>
      </c>
      <c r="K150" s="1"/>
      <c r="L150" s="1"/>
    </row>
    <row r="151" ht="15" customHeight="1">
      <c r="A151" s="1"/>
      <c r="B151" s="1" t="s">
        <v>90</v>
      </c>
      <c r="C151" s="18"/>
      <c r="D151" s="18">
        <f t="shared" si="10"/>
        <v>-511</v>
      </c>
      <c r="E151" s="18">
        <f t="shared" si="10"/>
        <v>4</v>
      </c>
      <c r="F151" s="18">
        <f t="shared" si="10"/>
        <v>-552</v>
      </c>
      <c r="G151" s="18"/>
      <c r="H151" s="18">
        <f t="shared" si="15"/>
        <v>633</v>
      </c>
      <c r="I151" s="18">
        <f t="shared" si="10"/>
        <v>-1097</v>
      </c>
      <c r="J151" s="36">
        <f t="shared" si="10"/>
        <v>443.54365703228996</v>
      </c>
      <c r="K151" s="1"/>
      <c r="L151" s="1"/>
    </row>
    <row r="152" ht="15" customHeight="1">
      <c r="A152" s="1"/>
      <c r="B152" s="1" t="s">
        <v>241</v>
      </c>
      <c r="C152" s="18">
        <f t="shared" si="46" ref="C152:J152">C59+C123+C149-C141</f>
        <v>0</v>
      </c>
      <c r="D152" s="18">
        <f t="shared" si="46"/>
        <v>0</v>
      </c>
      <c r="E152" s="18">
        <f t="shared" si="46"/>
        <v>0</v>
      </c>
      <c r="F152" s="18">
        <f t="shared" si="46"/>
        <v>0</v>
      </c>
      <c r="G152" s="18">
        <f t="shared" si="46"/>
        <v>0</v>
      </c>
      <c r="H152" s="18">
        <f t="shared" si="46"/>
        <v>0</v>
      </c>
      <c r="I152" s="18">
        <f t="shared" si="46"/>
        <v>0</v>
      </c>
      <c r="J152" s="36">
        <f t="shared" si="46"/>
        <v>0</v>
      </c>
      <c r="K152" s="1"/>
      <c r="L152" s="1"/>
    </row>
    <row r="153" ht="15" customHeight="1">
      <c r="A153" s="1"/>
      <c r="B153" s="1"/>
      <c r="C153" s="1"/>
      <c r="D153" s="1"/>
      <c r="E153" s="1"/>
      <c r="F153" s="1"/>
      <c r="G153" s="1"/>
      <c r="H153" s="1"/>
      <c r="I153" s="1"/>
      <c r="J153" s="29"/>
      <c r="K153" s="1"/>
      <c r="L153" s="1"/>
    </row>
    <row r="154" ht="15" customHeight="1">
      <c r="A154" s="1"/>
      <c r="B154" s="4" t="s">
        <v>242</v>
      </c>
      <c r="C154" s="1"/>
      <c r="D154" s="1"/>
      <c r="E154" s="1"/>
      <c r="F154" s="1"/>
      <c r="G154" s="1"/>
      <c r="H154" s="1"/>
      <c r="I154" s="1"/>
      <c r="J154" s="29"/>
      <c r="K154" s="1"/>
      <c r="L154" s="1"/>
    </row>
    <row r="155" ht="15" customHeight="1">
      <c r="A155" s="1"/>
      <c r="B155" s="1" t="s">
        <v>243</v>
      </c>
      <c r="C155" s="35">
        <v>131</v>
      </c>
      <c r="D155" s="35">
        <v>135</v>
      </c>
      <c r="E155" s="35">
        <v>138</v>
      </c>
      <c r="F155" s="35">
        <v>138</v>
      </c>
      <c r="G155" s="18">
        <f t="shared" si="16"/>
        <v>542</v>
      </c>
      <c r="H155" s="35">
        <v>127</v>
      </c>
      <c r="I155" s="35">
        <v>133</v>
      </c>
      <c r="J155" s="36">
        <f t="shared" si="47"/>
        <v>133</v>
      </c>
      <c r="K155" s="1" t="s">
        <v>81</v>
      </c>
      <c r="L155" s="1" t="s">
        <v>82</v>
      </c>
    </row>
    <row r="156" ht="15" customHeight="1">
      <c r="A156" s="1"/>
      <c r="B156" s="5" t="s">
        <v>73</v>
      </c>
      <c r="C156" s="19"/>
      <c r="D156" s="19"/>
      <c r="E156" s="19"/>
      <c r="F156" s="19"/>
      <c r="G156" s="19"/>
      <c r="H156" s="19">
        <f t="shared" si="4"/>
        <v>-0.03053435114503822</v>
      </c>
      <c r="I156" s="19">
        <f t="shared" si="4"/>
        <v>-0.014814814814814836</v>
      </c>
      <c r="J156" s="32">
        <f t="shared" si="4"/>
        <v>-0.036231884057971064</v>
      </c>
      <c r="K156" s="1"/>
      <c r="L156" s="1"/>
    </row>
    <row r="157" ht="15" customHeight="1">
      <c r="A157" s="1"/>
      <c r="B157" s="1" t="s">
        <v>90</v>
      </c>
      <c r="C157" s="18"/>
      <c r="D157" s="18">
        <f t="shared" si="10"/>
        <v>4</v>
      </c>
      <c r="E157" s="18">
        <f t="shared" si="10"/>
        <v>3</v>
      </c>
      <c r="F157" s="18">
        <f t="shared" si="10"/>
        <v>0</v>
      </c>
      <c r="G157" s="18"/>
      <c r="H157" s="18">
        <f t="shared" si="15"/>
        <v>-11</v>
      </c>
      <c r="I157" s="18">
        <f t="shared" si="10"/>
        <v>6</v>
      </c>
      <c r="J157" s="36">
        <f t="shared" si="10"/>
        <v>0</v>
      </c>
      <c r="K157" s="1"/>
      <c r="L157" s="1"/>
    </row>
    <row r="158" ht="15" customHeight="1">
      <c r="A158" s="1"/>
      <c r="B158" s="1" t="s">
        <v>244</v>
      </c>
      <c r="C158" s="35">
        <v>225</v>
      </c>
      <c r="D158" s="35">
        <v>134</v>
      </c>
      <c r="E158" s="35">
        <v>128</v>
      </c>
      <c r="F158" s="35">
        <v>157</v>
      </c>
      <c r="G158" s="18">
        <f t="shared" si="16"/>
        <v>644</v>
      </c>
      <c r="H158" s="35">
        <v>171</v>
      </c>
      <c r="I158" s="35">
        <v>194</v>
      </c>
      <c r="J158" s="36">
        <f t="shared" si="47"/>
        <v>194</v>
      </c>
      <c r="K158" s="1" t="s">
        <v>81</v>
      </c>
      <c r="L158" s="1" t="s">
        <v>82</v>
      </c>
    </row>
    <row r="159" ht="15" customHeight="1">
      <c r="A159" s="1"/>
      <c r="B159" s="5" t="s">
        <v>73</v>
      </c>
      <c r="C159" s="19"/>
      <c r="D159" s="19"/>
      <c r="E159" s="19"/>
      <c r="F159" s="19"/>
      <c r="G159" s="19"/>
      <c r="H159" s="19">
        <f t="shared" si="4"/>
        <v>-0.24</v>
      </c>
      <c r="I159" s="19">
        <f t="shared" si="4"/>
        <v>0.4477611940298507</v>
      </c>
      <c r="J159" s="32">
        <f t="shared" si="4"/>
        <v>0.515625</v>
      </c>
      <c r="K159" s="1"/>
      <c r="L159" s="1"/>
    </row>
    <row r="160" ht="15" customHeight="1">
      <c r="A160" s="1"/>
      <c r="B160" s="1" t="s">
        <v>90</v>
      </c>
      <c r="C160" s="18"/>
      <c r="D160" s="18">
        <f t="shared" si="10"/>
        <v>-91</v>
      </c>
      <c r="E160" s="18">
        <f t="shared" si="10"/>
        <v>-6</v>
      </c>
      <c r="F160" s="18">
        <f t="shared" si="10"/>
        <v>29</v>
      </c>
      <c r="G160" s="18"/>
      <c r="H160" s="18">
        <f t="shared" si="15"/>
        <v>14</v>
      </c>
      <c r="I160" s="18">
        <f t="shared" si="10"/>
        <v>23</v>
      </c>
      <c r="J160" s="36">
        <f t="shared" si="10"/>
        <v>0</v>
      </c>
      <c r="K160" s="1"/>
      <c r="L160" s="1"/>
    </row>
    <row r="161" ht="15" customHeight="1">
      <c r="A161" s="1"/>
      <c r="B161" s="5" t="s">
        <v>245</v>
      </c>
      <c r="C161" s="19">
        <f t="shared" si="48" ref="C161:J161">C158/C59</f>
        <v>0.03548895899053628</v>
      </c>
      <c r="D161" s="19">
        <f t="shared" si="48"/>
        <v>0.019140122839594344</v>
      </c>
      <c r="E161" s="19">
        <f t="shared" si="48"/>
        <v>0.01816891412349184</v>
      </c>
      <c r="F161" s="19">
        <f t="shared" si="48"/>
        <v>0.020504113882721692</v>
      </c>
      <c r="G161" s="19">
        <f t="shared" si="48"/>
        <v>0.022964732731876047</v>
      </c>
      <c r="H161" s="19">
        <f t="shared" si="48"/>
        <v>0.024622030237580993</v>
      </c>
      <c r="I161" s="19">
        <f t="shared" si="48"/>
        <v>0.02346111984520498</v>
      </c>
      <c r="J161" s="32">
        <f t="shared" si="48"/>
        <v>0.025064599483204136</v>
      </c>
      <c r="K161" s="1"/>
      <c r="L161" s="1"/>
    </row>
    <row r="162" ht="15" customHeight="1">
      <c r="A162" s="1"/>
      <c r="B162" s="5" t="s">
        <v>143</v>
      </c>
      <c r="C162" s="48"/>
      <c r="D162" s="48"/>
      <c r="E162" s="48"/>
      <c r="F162" s="48"/>
      <c r="G162" s="48"/>
      <c r="H162" s="48">
        <f t="shared" si="7"/>
        <v>-108.66928752955286</v>
      </c>
      <c r="I162" s="48">
        <f t="shared" si="7"/>
        <v>43.20997005610637</v>
      </c>
      <c r="J162" s="49">
        <f t="shared" si="7"/>
        <v>68.95685359712297</v>
      </c>
      <c r="K162" s="1"/>
      <c r="L162" s="1"/>
    </row>
    <row r="163" ht="15" customHeight="1">
      <c r="A163" s="1"/>
      <c r="B163" s="5" t="s">
        <v>128</v>
      </c>
      <c r="C163" s="48"/>
      <c r="D163" s="48">
        <f t="shared" si="8"/>
        <v>-163.48836150941935</v>
      </c>
      <c r="E163" s="48">
        <f t="shared" si="8"/>
        <v>-9.712087161025048</v>
      </c>
      <c r="F163" s="48">
        <f t="shared" si="8"/>
        <v>23.35199759229852</v>
      </c>
      <c r="G163" s="48"/>
      <c r="H163" s="48">
        <f t="shared" si="24"/>
        <v>41.17916354859301</v>
      </c>
      <c r="I163" s="48">
        <f t="shared" si="8"/>
        <v>-11.609103923760113</v>
      </c>
      <c r="J163" s="49">
        <f t="shared" si="8"/>
        <v>16.034796379991548</v>
      </c>
      <c r="K163" s="1"/>
      <c r="L163" s="1"/>
    </row>
    <row r="164" ht="15" customHeight="1">
      <c r="A164" s="1"/>
      <c r="B164" s="1" t="s">
        <v>246</v>
      </c>
      <c r="C164" s="18">
        <f t="shared" si="49" ref="C164:J164">C129+C155</f>
        <v>809</v>
      </c>
      <c r="D164" s="18">
        <f t="shared" si="49"/>
        <v>944</v>
      </c>
      <c r="E164" s="18">
        <f t="shared" si="49"/>
        <v>997</v>
      </c>
      <c r="F164" s="18">
        <f t="shared" si="49"/>
        <v>1023</v>
      </c>
      <c r="G164" s="18">
        <f t="shared" si="49"/>
        <v>3773</v>
      </c>
      <c r="H164" s="18">
        <f t="shared" si="49"/>
        <v>972</v>
      </c>
      <c r="I164" s="18">
        <f t="shared" si="49"/>
        <v>1176</v>
      </c>
      <c r="J164" s="36">
        <f t="shared" si="49"/>
        <v>1100.5</v>
      </c>
      <c r="K164" s="1"/>
      <c r="L164" s="1"/>
    </row>
    <row r="165" ht="15" customHeight="1">
      <c r="A165" s="1"/>
      <c r="B165" s="5" t="s">
        <v>73</v>
      </c>
      <c r="C165" s="19"/>
      <c r="D165" s="19"/>
      <c r="E165" s="19"/>
      <c r="F165" s="19"/>
      <c r="G165" s="19"/>
      <c r="H165" s="19">
        <f t="shared" si="4"/>
        <v>0.20148331273176767</v>
      </c>
      <c r="I165" s="19">
        <f t="shared" si="4"/>
        <v>0.2457627118644068</v>
      </c>
      <c r="J165" s="32">
        <f t="shared" si="4"/>
        <v>0.10381143430290862</v>
      </c>
      <c r="K165" s="1"/>
      <c r="L165" s="1"/>
    </row>
    <row r="166" ht="15" customHeight="1">
      <c r="A166" s="1"/>
      <c r="B166" s="1"/>
      <c r="C166" s="1"/>
      <c r="D166" s="1"/>
      <c r="E166" s="1"/>
      <c r="F166" s="1"/>
      <c r="G166" s="1"/>
      <c r="H166" s="1"/>
      <c r="I166" s="1"/>
      <c r="J166" s="29"/>
      <c r="K166" s="1"/>
      <c r="L166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C0ED398-06C8-66AD-2ED8-50A1E5EF205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6.00390625" customWidth="1"/>
    <col min="3" max="10" width="12.00390625" customWidth="1"/>
    <col min="11" max="11" width="20.00390625" customWidth="1"/>
    <col min="12" max="12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4" t="s">
        <v>310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ht="15" customHeight="1">
      <c r="A6" s="1"/>
      <c r="B6" s="6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8" t="s">
        <v>12</v>
      </c>
      <c r="K6" s="6" t="s">
        <v>13</v>
      </c>
      <c r="L6" s="6" t="s">
        <v>14</v>
      </c>
    </row>
    <row r="7" ht="15" customHeight="1">
      <c r="A7" s="1"/>
      <c r="B7" s="9" t="s">
        <v>15</v>
      </c>
      <c r="C7" s="10">
        <v>45747</v>
      </c>
      <c r="D7" s="10">
        <v>45838</v>
      </c>
      <c r="E7" s="10">
        <v>45930</v>
      </c>
      <c r="F7" s="10">
        <v>46022</v>
      </c>
      <c r="G7" s="10">
        <v>46022</v>
      </c>
      <c r="H7" s="10">
        <v>46112</v>
      </c>
      <c r="I7" s="10">
        <v>46203</v>
      </c>
      <c r="J7" s="11">
        <v>46295</v>
      </c>
      <c r="K7" s="9"/>
      <c r="L7" s="9"/>
    </row>
    <row r="8" ht="15" customHeight="1">
      <c r="A8" s="1"/>
      <c r="B8" s="12" t="s">
        <v>16</v>
      </c>
      <c r="C8" s="13">
        <f>C7-EOMONTH(C7,-3)</f>
        <v>90</v>
      </c>
      <c r="D8" s="13">
        <f t="shared" si="0" ref="D8:J8">D7-C7</f>
        <v>91</v>
      </c>
      <c r="E8" s="13">
        <f t="shared" si="0"/>
        <v>92</v>
      </c>
      <c r="F8" s="13">
        <f t="shared" si="0"/>
        <v>92</v>
      </c>
      <c r="G8" s="13">
        <f>G7-EOMONTH(G7,-12)</f>
        <v>365</v>
      </c>
      <c r="H8" s="13">
        <f>H7-F7</f>
        <v>90</v>
      </c>
      <c r="I8" s="13">
        <f t="shared" si="0"/>
        <v>91</v>
      </c>
      <c r="J8" s="14">
        <f t="shared" si="0"/>
        <v>92</v>
      </c>
      <c r="K8" s="12"/>
      <c r="L8" s="12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15" customHeight="1">
      <c r="A10" s="1"/>
      <c r="B10" s="4" t="s">
        <v>311</v>
      </c>
      <c r="C10" s="1"/>
      <c r="D10" s="1"/>
      <c r="E10" s="1"/>
      <c r="F10" s="1"/>
      <c r="G10" s="1"/>
      <c r="H10" s="1"/>
      <c r="I10" s="1"/>
      <c r="J10" s="29"/>
      <c r="K10" s="1"/>
      <c r="L10" s="1"/>
    </row>
    <row r="11" ht="15" customHeight="1">
      <c r="A11" s="1"/>
      <c r="B11" s="1" t="s">
        <v>312</v>
      </c>
      <c r="C11" s="17">
        <f>'Segment - Collins Aerospace'!C93+'Segment - Pratt &amp; Whitney'!C100+'Segment - Raytheon'!C82+'Revenue summary'!C28</f>
        <v>14591</v>
      </c>
      <c r="D11" s="17">
        <f>'Segment - Collins Aerospace'!D93+'Segment - Pratt &amp; Whitney'!D100+'Segment - Raytheon'!D82+'Revenue summary'!D28</f>
        <v>15551</v>
      </c>
      <c r="E11" s="17">
        <f>'Segment - Collins Aerospace'!E93+'Segment - Pratt &amp; Whitney'!E100+'Segment - Raytheon'!E82+'Revenue summary'!E28</f>
        <v>16264</v>
      </c>
      <c r="F11" s="17">
        <f>'Segment - Collins Aerospace'!F93+'Segment - Pratt &amp; Whitney'!F100+'Segment - Raytheon'!F82+'Revenue summary'!F28</f>
        <v>17765</v>
      </c>
      <c r="G11" s="17">
        <f>'Segment - Collins Aerospace'!G93+'Segment - Pratt &amp; Whitney'!G100+'Segment - Raytheon'!G82+'Revenue summary'!G28</f>
        <v>64171</v>
      </c>
      <c r="H11" s="17">
        <f>'Segment - Collins Aerospace'!H93+'Segment - Pratt &amp; Whitney'!H100+'Segment - Raytheon'!H82+'Revenue summary'!H28</f>
        <v>15765</v>
      </c>
      <c r="I11" s="17">
        <f>'Segment - Collins Aerospace'!I93+'Segment - Pratt &amp; Whitney'!I100+'Segment - Raytheon'!I82+'Revenue summary'!I28</f>
        <v>17944</v>
      </c>
      <c r="J11" s="30">
        <f>'Segment - Collins Aerospace'!J93+'Segment - Pratt &amp; Whitney'!J100+'Segment - Raytheon'!J82+'Revenue summary'!J28</f>
        <v>17502.067517020845</v>
      </c>
      <c r="K11" s="1" t="s">
        <v>81</v>
      </c>
      <c r="L11" s="1" t="s">
        <v>313</v>
      </c>
    </row>
    <row r="12" ht="15" customHeight="1">
      <c r="A12" s="1"/>
      <c r="B12" s="5" t="s">
        <v>73</v>
      </c>
      <c r="C12" s="19"/>
      <c r="D12" s="19"/>
      <c r="E12" s="19"/>
      <c r="F12" s="19"/>
      <c r="G12" s="19"/>
      <c r="H12" s="19">
        <f t="shared" si="1" ref="H12:J218">IF(COUNT(H11,C11)&lt;2,"n/a",IF(H11*C11&lt;=0,"n/m",H11/C11-1))</f>
        <v>0.0804605578781441</v>
      </c>
      <c r="I12" s="19">
        <f t="shared" si="1"/>
        <v>0.15388077937110145</v>
      </c>
      <c r="J12" s="32">
        <f t="shared" si="1"/>
        <v>0.07612318722459688</v>
      </c>
      <c r="K12" s="1"/>
      <c r="L12" s="1"/>
    </row>
    <row r="13" ht="15" customHeight="1">
      <c r="A13" s="1"/>
      <c r="B13" s="1" t="s">
        <v>90</v>
      </c>
      <c r="C13" s="18"/>
      <c r="D13" s="18">
        <f t="shared" si="2" ref="D13:J219">IF(COUNT(D11,C11)&lt;2,"n/a",D11-C11)</f>
        <v>960</v>
      </c>
      <c r="E13" s="18">
        <f t="shared" si="2"/>
        <v>713</v>
      </c>
      <c r="F13" s="18">
        <f t="shared" si="2"/>
        <v>1501</v>
      </c>
      <c r="G13" s="18"/>
      <c r="H13" s="18">
        <f t="shared" si="3" ref="H13:H219">IF(COUNT(H11,F11)&lt;2,"n/a",H11-F11)</f>
        <v>-2000</v>
      </c>
      <c r="I13" s="18">
        <f t="shared" si="2"/>
        <v>2179</v>
      </c>
      <c r="J13" s="36">
        <f t="shared" si="2"/>
        <v>-441.9324829791549</v>
      </c>
      <c r="K13" s="1"/>
      <c r="L13" s="1"/>
    </row>
    <row r="14" ht="15" customHeight="1">
      <c r="A14" s="1"/>
      <c r="B14" s="1" t="s">
        <v>91</v>
      </c>
      <c r="C14" s="37" t="s">
        <v>86</v>
      </c>
      <c r="D14" s="37" t="s">
        <v>86</v>
      </c>
      <c r="E14" s="37" t="s">
        <v>86</v>
      </c>
      <c r="F14" s="37" t="s">
        <v>86</v>
      </c>
      <c r="G14" s="37" t="s">
        <v>86</v>
      </c>
      <c r="H14" s="37" t="s">
        <v>86</v>
      </c>
      <c r="I14" s="37" t="s">
        <v>86</v>
      </c>
      <c r="J14" s="38" t="s">
        <v>86</v>
      </c>
      <c r="K14" s="1"/>
      <c r="L14" s="1" t="s">
        <v>87</v>
      </c>
    </row>
    <row r="15" ht="15" customHeight="1">
      <c r="A15" s="1"/>
      <c r="B15" s="1" t="s">
        <v>314</v>
      </c>
      <c r="C15" s="17">
        <f>'Segment - Collins Aerospace'!C97+'Segment - Pratt &amp; Whitney'!C104+'Segment - Raytheon'!C86+'Revenue summary'!C32</f>
        <v>5715</v>
      </c>
      <c r="D15" s="17">
        <f>'Segment - Collins Aerospace'!D97+'Segment - Pratt &amp; Whitney'!D104+'Segment - Raytheon'!D86+'Revenue summary'!D32</f>
        <v>6030</v>
      </c>
      <c r="E15" s="17">
        <f>'Segment - Collins Aerospace'!E97+'Segment - Pratt &amp; Whitney'!E104+'Segment - Raytheon'!E86+'Revenue summary'!E32</f>
        <v>6214</v>
      </c>
      <c r="F15" s="17">
        <f>'Segment - Collins Aerospace'!F97+'Segment - Pratt &amp; Whitney'!F104+'Segment - Raytheon'!F86+'Revenue summary'!F32</f>
        <v>6473</v>
      </c>
      <c r="G15" s="17">
        <f>'Segment - Collins Aerospace'!G97+'Segment - Pratt &amp; Whitney'!G104+'Segment - Raytheon'!G86+'Revenue summary'!G32</f>
        <v>24432</v>
      </c>
      <c r="H15" s="17">
        <f>'Segment - Collins Aerospace'!H97+'Segment - Pratt &amp; Whitney'!H104+'Segment - Raytheon'!H86+'Revenue summary'!H32</f>
        <v>6311</v>
      </c>
      <c r="I15" s="17">
        <f>'Segment - Collins Aerospace'!I97+'Segment - Pratt &amp; Whitney'!I104+'Segment - Raytheon'!I86+'Revenue summary'!I32</f>
        <v>6764</v>
      </c>
      <c r="J15" s="30">
        <f>'Segment - Collins Aerospace'!J97+'Segment - Pratt &amp; Whitney'!J104+'Segment - Raytheon'!J86+'Revenue summary'!J32</f>
        <v>6723.507127843247</v>
      </c>
      <c r="K15" s="1" t="s">
        <v>81</v>
      </c>
      <c r="L15" s="1" t="s">
        <v>315</v>
      </c>
    </row>
    <row r="16" ht="15" customHeight="1">
      <c r="A16" s="1"/>
      <c r="B16" s="5" t="s">
        <v>73</v>
      </c>
      <c r="C16" s="19"/>
      <c r="D16" s="19"/>
      <c r="E16" s="19"/>
      <c r="F16" s="19"/>
      <c r="G16" s="19"/>
      <c r="H16" s="19">
        <f t="shared" si="1"/>
        <v>0.1042869641294839</v>
      </c>
      <c r="I16" s="19">
        <f t="shared" si="1"/>
        <v>0.12172470978441119</v>
      </c>
      <c r="J16" s="32">
        <f t="shared" si="1"/>
        <v>0.08199342256891651</v>
      </c>
      <c r="K16" s="1"/>
      <c r="L16" s="1"/>
    </row>
    <row r="17" ht="15" customHeight="1">
      <c r="A17" s="1"/>
      <c r="B17" s="1" t="s">
        <v>90</v>
      </c>
      <c r="C17" s="18"/>
      <c r="D17" s="18">
        <f t="shared" si="2"/>
        <v>315</v>
      </c>
      <c r="E17" s="18">
        <f t="shared" si="2"/>
        <v>184</v>
      </c>
      <c r="F17" s="18">
        <f t="shared" si="2"/>
        <v>259</v>
      </c>
      <c r="G17" s="18"/>
      <c r="H17" s="18">
        <f t="shared" si="3"/>
        <v>-162</v>
      </c>
      <c r="I17" s="18">
        <f t="shared" si="2"/>
        <v>453</v>
      </c>
      <c r="J17" s="36">
        <f t="shared" si="2"/>
        <v>-40.49287215675304</v>
      </c>
      <c r="K17" s="1"/>
      <c r="L17" s="1"/>
    </row>
    <row r="18" ht="15" customHeight="1">
      <c r="A18" s="1"/>
      <c r="B18" s="1" t="s">
        <v>91</v>
      </c>
      <c r="C18" s="37" t="s">
        <v>86</v>
      </c>
      <c r="D18" s="37" t="s">
        <v>86</v>
      </c>
      <c r="E18" s="37" t="s">
        <v>86</v>
      </c>
      <c r="F18" s="37" t="s">
        <v>86</v>
      </c>
      <c r="G18" s="37" t="s">
        <v>86</v>
      </c>
      <c r="H18" s="37" t="s">
        <v>86</v>
      </c>
      <c r="I18" s="37" t="s">
        <v>86</v>
      </c>
      <c r="J18" s="38" t="s">
        <v>86</v>
      </c>
      <c r="K18" s="1"/>
      <c r="L18" s="1" t="s">
        <v>87</v>
      </c>
    </row>
    <row r="19" ht="15" customHeight="1">
      <c r="A19" s="1"/>
      <c r="B19" s="4" t="s">
        <v>316</v>
      </c>
      <c r="C19" s="33">
        <f t="shared" si="4" ref="C19:J19">C11+C15</f>
        <v>20306</v>
      </c>
      <c r="D19" s="33">
        <f t="shared" si="4"/>
        <v>21581</v>
      </c>
      <c r="E19" s="33">
        <f t="shared" si="4"/>
        <v>22478</v>
      </c>
      <c r="F19" s="33">
        <f t="shared" si="4"/>
        <v>24238</v>
      </c>
      <c r="G19" s="33">
        <f t="shared" si="4"/>
        <v>88603</v>
      </c>
      <c r="H19" s="33">
        <f t="shared" si="4"/>
        <v>22076</v>
      </c>
      <c r="I19" s="33">
        <f t="shared" si="4"/>
        <v>24708</v>
      </c>
      <c r="J19" s="34">
        <f t="shared" si="4"/>
        <v>24225.574644864093</v>
      </c>
      <c r="K19" s="1"/>
      <c r="L19" s="1"/>
    </row>
    <row r="20" ht="15" customHeight="1">
      <c r="A20" s="1"/>
      <c r="B20" s="5" t="s">
        <v>73</v>
      </c>
      <c r="C20" s="28">
        <f>C19/'Revenue summary'!C52-1</f>
        <v>0.051851851851851816</v>
      </c>
      <c r="D20" s="28">
        <f>D19/'Revenue summary'!D52-1</f>
        <v>0.09044515183669355</v>
      </c>
      <c r="E20" s="28">
        <f>E19/'Revenue summary'!E52-1</f>
        <v>0.11892080242919012</v>
      </c>
      <c r="F20" s="28">
        <f>F19/'Revenue summary'!F52-1</f>
        <v>0.1209360403274291</v>
      </c>
      <c r="G20" s="28">
        <f>G19/'Revenue summary'!G52-1</f>
        <v>0.0964632214632215</v>
      </c>
      <c r="H20" s="28">
        <f>H19/'Revenue summary'!H52-1</f>
        <v>0.08716635477198853</v>
      </c>
      <c r="I20" s="28">
        <f>I19/'Revenue summary'!I52-1</f>
        <v>0.14489597330985582</v>
      </c>
      <c r="J20" s="31">
        <f>J19/'Revenue summary'!J52-1</f>
        <v>0.07774600252976649</v>
      </c>
      <c r="K20" s="1"/>
      <c r="L20" s="1"/>
    </row>
    <row r="21" ht="15" customHeight="1">
      <c r="A21" s="1"/>
      <c r="B21" s="1" t="s">
        <v>90</v>
      </c>
      <c r="C21" s="18"/>
      <c r="D21" s="18">
        <f t="shared" si="2"/>
        <v>1275</v>
      </c>
      <c r="E21" s="18">
        <f t="shared" si="2"/>
        <v>897</v>
      </c>
      <c r="F21" s="18">
        <f t="shared" si="2"/>
        <v>1760</v>
      </c>
      <c r="G21" s="18"/>
      <c r="H21" s="18">
        <f t="shared" si="3"/>
        <v>-2162</v>
      </c>
      <c r="I21" s="18">
        <f t="shared" si="2"/>
        <v>2632</v>
      </c>
      <c r="J21" s="36">
        <f t="shared" si="2"/>
        <v>-482.425355135907</v>
      </c>
      <c r="K21" s="1"/>
      <c r="L21" s="1"/>
    </row>
    <row r="22" ht="15" customHeight="1">
      <c r="A22" s="1"/>
      <c r="B22" s="5" t="s">
        <v>317</v>
      </c>
      <c r="C22" s="28">
        <f>'Revenue summary'!C78</f>
        <v>-0.025485625485625486</v>
      </c>
      <c r="D22" s="28">
        <f>'Revenue summary'!D78</f>
        <v>-0.0015158405335758678</v>
      </c>
      <c r="E22" s="28">
        <f>'Revenue summary'!E78</f>
        <v>-0.012693513863308277</v>
      </c>
      <c r="F22" s="28">
        <f>'Revenue summary'!F78</f>
        <v>-0.018591314803681265</v>
      </c>
      <c r="G22" s="28">
        <f>'Revenue summary'!G78</f>
        <v>-0.01459013959013959</v>
      </c>
      <c r="H22" s="28">
        <f>'Revenue summary'!H78</f>
        <v>-0.018221215404313994</v>
      </c>
      <c r="I22" s="28">
        <f>'Revenue summary'!I78</f>
        <v>-0.018117788795699922</v>
      </c>
      <c r="J22" s="31">
        <f>'Revenue summary'!J78</f>
        <v>-0.007562950440430643</v>
      </c>
      <c r="K22" s="1"/>
      <c r="L22" s="1"/>
    </row>
    <row r="23" ht="15" customHeight="1">
      <c r="A23" s="1"/>
      <c r="B23" s="5" t="s">
        <v>318</v>
      </c>
      <c r="C23" s="28">
        <f>'Revenue summary'!C79</f>
        <v>-0.0014504014504014503</v>
      </c>
      <c r="D23" s="28">
        <f>'Revenue summary'!D79</f>
        <v>0.005406497903087262</v>
      </c>
      <c r="E23" s="28">
        <f>'Revenue summary'!E79</f>
        <v>0.0012942406292000598</v>
      </c>
      <c r="F23" s="28">
        <f>'Revenue summary'!F79</f>
        <v>0.002081117328770291</v>
      </c>
      <c r="G23" s="28">
        <f>'Revenue summary'!G79</f>
        <v>0.0018562518562518563</v>
      </c>
      <c r="H23" s="28">
        <f>'Revenue summary'!H79</f>
        <v>0.003102531271545356</v>
      </c>
      <c r="I23" s="28">
        <f>'Revenue summary'!I79</f>
        <v>0.0003243593902043464</v>
      </c>
      <c r="J23" s="31">
        <f>'Revenue summary'!J79</f>
        <v>0</v>
      </c>
      <c r="K23" s="1"/>
      <c r="L23" s="1"/>
    </row>
    <row r="24" ht="15" customHeight="1">
      <c r="A24" s="1"/>
      <c r="B24" s="5" t="s">
        <v>319</v>
      </c>
      <c r="C24" s="28">
        <f>'Revenue summary'!C81</f>
        <v>0.07878787878787878</v>
      </c>
      <c r="D24" s="28">
        <f>'Revenue summary'!D81</f>
        <v>0.09009145571219242</v>
      </c>
      <c r="E24" s="28">
        <f>'Revenue summary'!E81</f>
        <v>0.1303200756632983</v>
      </c>
      <c r="F24" s="28">
        <f>'Revenue summary'!F81</f>
        <v>0.1374462378023401</v>
      </c>
      <c r="G24" s="28">
        <f>'Revenue summary'!G81</f>
        <v>0.11006336006336007</v>
      </c>
      <c r="H24" s="28">
        <f>'Revenue summary'!H81</f>
        <v>0.10228503890475721</v>
      </c>
      <c r="I24" s="28">
        <f>'Revenue summary'!I81</f>
        <v>0.16268940271535146</v>
      </c>
      <c r="J24" s="31">
        <f>'Revenue summary'!J81</f>
        <v>0.08530895297019718</v>
      </c>
      <c r="K24" s="1"/>
      <c r="L24" s="1"/>
    </row>
    <row r="25" ht="15" customHeight="1">
      <c r="A25" s="1"/>
      <c r="B25" s="1" t="s">
        <v>320</v>
      </c>
      <c r="C25" s="17">
        <f>C19-'Revenue summary'!C50</f>
        <v>0</v>
      </c>
      <c r="D25" s="17">
        <f>D19-'Revenue summary'!D50</f>
        <v>0</v>
      </c>
      <c r="E25" s="17">
        <f>E19-'Revenue summary'!E50</f>
        <v>0</v>
      </c>
      <c r="F25" s="17">
        <f>F19-'Revenue summary'!F50</f>
        <v>0</v>
      </c>
      <c r="G25" s="17">
        <f>G19-'Revenue summary'!G50</f>
        <v>0</v>
      </c>
      <c r="H25" s="17">
        <f>H19-'Revenue summary'!H50</f>
        <v>0</v>
      </c>
      <c r="I25" s="17">
        <f>I19-'Revenue summary'!I50</f>
        <v>0</v>
      </c>
      <c r="J25" s="30">
        <f>J19-'Revenue summary'!J50</f>
        <v>0</v>
      </c>
      <c r="K25" s="1"/>
      <c r="L25" s="1"/>
    </row>
    <row r="26" ht="15" customHeight="1">
      <c r="A26" s="1"/>
      <c r="B26" s="1" t="s">
        <v>321</v>
      </c>
      <c r="C26" s="35">
        <v>12283</v>
      </c>
      <c r="D26" s="35">
        <v>12989</v>
      </c>
      <c r="E26" s="35">
        <v>13593</v>
      </c>
      <c r="F26" s="35">
        <v>14915</v>
      </c>
      <c r="G26" s="18">
        <f t="shared" si="5" ref="G26:G190">SUM(C26:F26)</f>
        <v>53780</v>
      </c>
      <c r="H26" s="35">
        <v>13000</v>
      </c>
      <c r="I26" s="35">
        <v>14802</v>
      </c>
      <c r="J26" s="36">
        <f>J32-J29</f>
        <v>14513.431352984078</v>
      </c>
      <c r="K26" s="1" t="s">
        <v>81</v>
      </c>
      <c r="L26" s="1" t="s">
        <v>322</v>
      </c>
    </row>
    <row r="27" ht="15" customHeight="1">
      <c r="A27" s="1"/>
      <c r="B27" s="5" t="s">
        <v>73</v>
      </c>
      <c r="C27" s="19"/>
      <c r="D27" s="19"/>
      <c r="E27" s="19"/>
      <c r="F27" s="19"/>
      <c r="G27" s="19"/>
      <c r="H27" s="19">
        <f t="shared" si="1"/>
        <v>0.05837336155662287</v>
      </c>
      <c r="I27" s="19">
        <f t="shared" si="1"/>
        <v>0.13957964431441994</v>
      </c>
      <c r="J27" s="32">
        <f t="shared" si="1"/>
        <v>0.06771362855764562</v>
      </c>
      <c r="K27" s="1"/>
      <c r="L27" s="1"/>
    </row>
    <row r="28" ht="15" customHeight="1">
      <c r="A28" s="1"/>
      <c r="B28" s="1" t="s">
        <v>90</v>
      </c>
      <c r="C28" s="18"/>
      <c r="D28" s="18">
        <f t="shared" si="2"/>
        <v>706</v>
      </c>
      <c r="E28" s="18">
        <f t="shared" si="2"/>
        <v>604</v>
      </c>
      <c r="F28" s="18">
        <f t="shared" si="2"/>
        <v>1322</v>
      </c>
      <c r="G28" s="18"/>
      <c r="H28" s="18">
        <f t="shared" si="3"/>
        <v>-1915</v>
      </c>
      <c r="I28" s="18">
        <f t="shared" si="2"/>
        <v>1802</v>
      </c>
      <c r="J28" s="36">
        <f t="shared" si="2"/>
        <v>-288.56864701592167</v>
      </c>
      <c r="K28" s="1"/>
      <c r="L28" s="1"/>
    </row>
    <row r="29" ht="15" customHeight="1">
      <c r="A29" s="1"/>
      <c r="B29" s="1" t="s">
        <v>323</v>
      </c>
      <c r="C29" s="35">
        <v>3907</v>
      </c>
      <c r="D29" s="35">
        <v>4216</v>
      </c>
      <c r="E29" s="35">
        <v>4305</v>
      </c>
      <c r="F29" s="35">
        <v>4606</v>
      </c>
      <c r="G29" s="18">
        <f t="shared" si="5"/>
        <v>17034</v>
      </c>
      <c r="H29" s="35">
        <v>4482</v>
      </c>
      <c r="I29" s="35">
        <v>4773</v>
      </c>
      <c r="J29" s="36">
        <f>J15*I29/I15</f>
        <v>4744.426304138944</v>
      </c>
      <c r="K29" s="1" t="s">
        <v>81</v>
      </c>
      <c r="L29" s="1" t="s">
        <v>324</v>
      </c>
    </row>
    <row r="30" ht="15" customHeight="1">
      <c r="A30" s="1"/>
      <c r="B30" s="5" t="s">
        <v>73</v>
      </c>
      <c r="C30" s="19"/>
      <c r="D30" s="19"/>
      <c r="E30" s="19"/>
      <c r="F30" s="19"/>
      <c r="G30" s="19"/>
      <c r="H30" s="19">
        <f t="shared" si="1"/>
        <v>0.1471717430253392</v>
      </c>
      <c r="I30" s="19">
        <f t="shared" si="1"/>
        <v>0.13211574952561667</v>
      </c>
      <c r="J30" s="32">
        <f t="shared" si="1"/>
        <v>0.10207347366758279</v>
      </c>
      <c r="K30" s="1"/>
      <c r="L30" s="1"/>
    </row>
    <row r="31" ht="15" customHeight="1">
      <c r="A31" s="1"/>
      <c r="B31" s="1" t="s">
        <v>90</v>
      </c>
      <c r="C31" s="18"/>
      <c r="D31" s="18">
        <f t="shared" si="2"/>
        <v>309</v>
      </c>
      <c r="E31" s="18">
        <f t="shared" si="2"/>
        <v>89</v>
      </c>
      <c r="F31" s="18">
        <f t="shared" si="2"/>
        <v>301</v>
      </c>
      <c r="G31" s="18"/>
      <c r="H31" s="18">
        <f t="shared" si="3"/>
        <v>-124</v>
      </c>
      <c r="I31" s="18">
        <f t="shared" si="2"/>
        <v>291</v>
      </c>
      <c r="J31" s="36">
        <f t="shared" si="2"/>
        <v>-28.573695861055967</v>
      </c>
      <c r="K31" s="1"/>
      <c r="L31" s="1"/>
    </row>
    <row r="32" ht="15" customHeight="1">
      <c r="A32" s="1"/>
      <c r="B32" s="4" t="s">
        <v>325</v>
      </c>
      <c r="C32" s="33">
        <f t="shared" si="6" ref="C32:I32">C26+C29</f>
        <v>16190</v>
      </c>
      <c r="D32" s="33">
        <f t="shared" si="6"/>
        <v>17205</v>
      </c>
      <c r="E32" s="33">
        <f t="shared" si="6"/>
        <v>17898</v>
      </c>
      <c r="F32" s="33">
        <f t="shared" si="6"/>
        <v>19521</v>
      </c>
      <c r="G32" s="33">
        <f t="shared" si="6"/>
        <v>70814</v>
      </c>
      <c r="H32" s="33">
        <f t="shared" si="6"/>
        <v>17482</v>
      </c>
      <c r="I32" s="33">
        <f t="shared" si="6"/>
        <v>19575</v>
      </c>
      <c r="J32" s="34">
        <f>J19-J41-J47+J55-J58</f>
        <v>19257.857657123022</v>
      </c>
      <c r="K32" s="1"/>
      <c r="L32" s="1" t="s">
        <v>326</v>
      </c>
    </row>
    <row r="33" ht="15" customHeight="1">
      <c r="A33" s="1"/>
      <c r="B33" s="5" t="s">
        <v>73</v>
      </c>
      <c r="C33" s="19"/>
      <c r="D33" s="19"/>
      <c r="E33" s="19"/>
      <c r="F33" s="19"/>
      <c r="G33" s="19"/>
      <c r="H33" s="19">
        <f t="shared" si="1"/>
        <v>0.07980234712785661</v>
      </c>
      <c r="I33" s="19">
        <f t="shared" si="1"/>
        <v>0.1377506538796862</v>
      </c>
      <c r="J33" s="32">
        <f t="shared" si="1"/>
        <v>0.07597819069857081</v>
      </c>
      <c r="K33" s="1"/>
      <c r="L33" s="1"/>
    </row>
    <row r="34" ht="15" customHeight="1">
      <c r="A34" s="1"/>
      <c r="B34" s="1" t="s">
        <v>90</v>
      </c>
      <c r="C34" s="18"/>
      <c r="D34" s="18">
        <f t="shared" si="2"/>
        <v>1015</v>
      </c>
      <c r="E34" s="18">
        <f t="shared" si="2"/>
        <v>693</v>
      </c>
      <c r="F34" s="18">
        <f t="shared" si="2"/>
        <v>1623</v>
      </c>
      <c r="G34" s="18"/>
      <c r="H34" s="18">
        <f t="shared" si="3"/>
        <v>-2039</v>
      </c>
      <c r="I34" s="18">
        <f t="shared" si="2"/>
        <v>2093</v>
      </c>
      <c r="J34" s="36">
        <f t="shared" si="2"/>
        <v>-317.14234287697764</v>
      </c>
      <c r="K34" s="1"/>
      <c r="L34" s="1"/>
    </row>
    <row r="35" ht="15" customHeight="1">
      <c r="A35" s="1"/>
      <c r="B35" s="4" t="s">
        <v>327</v>
      </c>
      <c r="C35" s="33">
        <f t="shared" si="7" ref="C35:J35">C19-C32</f>
        <v>4116</v>
      </c>
      <c r="D35" s="33">
        <f t="shared" si="7"/>
        <v>4376</v>
      </c>
      <c r="E35" s="33">
        <f t="shared" si="7"/>
        <v>4580</v>
      </c>
      <c r="F35" s="33">
        <f t="shared" si="7"/>
        <v>4717</v>
      </c>
      <c r="G35" s="33">
        <f t="shared" si="7"/>
        <v>17789</v>
      </c>
      <c r="H35" s="33">
        <f t="shared" si="7"/>
        <v>4594</v>
      </c>
      <c r="I35" s="33">
        <f t="shared" si="7"/>
        <v>5133</v>
      </c>
      <c r="J35" s="34">
        <f t="shared" si="7"/>
        <v>4967.716987741071</v>
      </c>
      <c r="K35" s="1"/>
      <c r="L35" s="1" t="s">
        <v>328</v>
      </c>
    </row>
    <row r="36" ht="15" customHeight="1">
      <c r="A36" s="1"/>
      <c r="B36" s="5" t="s">
        <v>73</v>
      </c>
      <c r="C36" s="19"/>
      <c r="D36" s="19"/>
      <c r="E36" s="19"/>
      <c r="F36" s="19"/>
      <c r="G36" s="19"/>
      <c r="H36" s="19">
        <f t="shared" si="1"/>
        <v>0.11613216715257524</v>
      </c>
      <c r="I36" s="19">
        <f t="shared" si="1"/>
        <v>0.17298903107861063</v>
      </c>
      <c r="J36" s="32">
        <f t="shared" si="1"/>
        <v>0.08465436413560501</v>
      </c>
      <c r="K36" s="1"/>
      <c r="L36" s="1"/>
    </row>
    <row r="37" ht="15" customHeight="1">
      <c r="A37" s="1"/>
      <c r="B37" s="1" t="s">
        <v>90</v>
      </c>
      <c r="C37" s="18"/>
      <c r="D37" s="18">
        <f t="shared" si="2"/>
        <v>260</v>
      </c>
      <c r="E37" s="18">
        <f t="shared" si="2"/>
        <v>204</v>
      </c>
      <c r="F37" s="18">
        <f t="shared" si="2"/>
        <v>137</v>
      </c>
      <c r="G37" s="18"/>
      <c r="H37" s="18">
        <f t="shared" si="3"/>
        <v>-123</v>
      </c>
      <c r="I37" s="18">
        <f t="shared" si="2"/>
        <v>539</v>
      </c>
      <c r="J37" s="36">
        <f t="shared" si="2"/>
        <v>-165.28301225892938</v>
      </c>
      <c r="K37" s="1"/>
      <c r="L37" s="1"/>
    </row>
    <row r="38" ht="15" customHeight="1">
      <c r="A38" s="1"/>
      <c r="B38" s="5" t="s">
        <v>329</v>
      </c>
      <c r="C38" s="19">
        <f t="shared" si="8" ref="C38:J38">C35/C19</f>
        <v>0.20269870974096327</v>
      </c>
      <c r="D38" s="19">
        <f t="shared" si="8"/>
        <v>0.20277095593345998</v>
      </c>
      <c r="E38" s="19">
        <f t="shared" si="8"/>
        <v>0.20375478245395498</v>
      </c>
      <c r="F38" s="19">
        <f t="shared" si="8"/>
        <v>0.19461176664741314</v>
      </c>
      <c r="G38" s="19">
        <f t="shared" si="8"/>
        <v>0.20077198288996986</v>
      </c>
      <c r="H38" s="19">
        <f t="shared" si="8"/>
        <v>0.2080992933502446</v>
      </c>
      <c r="I38" s="19">
        <f t="shared" si="8"/>
        <v>0.20774647887323944</v>
      </c>
      <c r="J38" s="32">
        <f t="shared" si="8"/>
        <v>0.20506085244893227</v>
      </c>
      <c r="K38" s="1"/>
      <c r="L38" s="1" t="s">
        <v>330</v>
      </c>
    </row>
    <row r="39" ht="15" customHeight="1">
      <c r="A39" s="1"/>
      <c r="B39" s="5" t="s">
        <v>143</v>
      </c>
      <c r="C39" s="48"/>
      <c r="D39" s="48"/>
      <c r="E39" s="48"/>
      <c r="F39" s="48"/>
      <c r="G39" s="48"/>
      <c r="H39" s="48">
        <f t="shared" si="9" ref="H39:J212">IF(COUNT(H38,C38)&lt;2,"n/a",(H38-C38)*10000)</f>
        <v>54.00583609281334</v>
      </c>
      <c r="I39" s="48">
        <f t="shared" si="9"/>
        <v>49.75522939779459</v>
      </c>
      <c r="J39" s="49">
        <f t="shared" si="9"/>
        <v>13.06069994977288</v>
      </c>
      <c r="K39" s="1"/>
      <c r="L39" s="1"/>
    </row>
    <row r="40" ht="15" customHeight="1">
      <c r="A40" s="1"/>
      <c r="B40" s="5" t="s">
        <v>128</v>
      </c>
      <c r="C40" s="48"/>
      <c r="D40" s="48">
        <f t="shared" si="10" ref="D40:J213">IF(COUNT(D38,C38)&lt;2,"n/a",(D38-C38)*10000)</f>
        <v>0.7224619249671105</v>
      </c>
      <c r="E40" s="48">
        <f t="shared" si="10"/>
        <v>9.838265204950014</v>
      </c>
      <c r="F40" s="48">
        <f t="shared" si="10"/>
        <v>-91.43015806541838</v>
      </c>
      <c r="G40" s="48"/>
      <c r="H40" s="48">
        <f t="shared" si="12" ref="H40:H213">IF(COUNT(H38,F38)&lt;2,"n/a",(H38-F38)*10000)</f>
        <v>134.8752670283146</v>
      </c>
      <c r="I40" s="48">
        <f t="shared" si="10"/>
        <v>-3.5281447700516444</v>
      </c>
      <c r="J40" s="49">
        <f t="shared" si="10"/>
        <v>-26.856264243071692</v>
      </c>
      <c r="K40" s="1"/>
      <c r="L40" s="1"/>
    </row>
    <row r="41" ht="15" customHeight="1">
      <c r="A41" s="1"/>
      <c r="B41" s="1" t="s">
        <v>331</v>
      </c>
      <c r="C41" s="35">
        <v>637</v>
      </c>
      <c r="D41" s="35">
        <v>697</v>
      </c>
      <c r="E41" s="35">
        <v>684</v>
      </c>
      <c r="F41" s="35">
        <v>789</v>
      </c>
      <c r="G41" s="18">
        <f t="shared" si="5"/>
        <v>2807</v>
      </c>
      <c r="H41" s="35">
        <v>627</v>
      </c>
      <c r="I41" s="35">
        <v>726</v>
      </c>
      <c r="J41" s="36">
        <f>J19*J44</f>
        <v>702.5416647010587</v>
      </c>
      <c r="K41" s="1" t="s">
        <v>332</v>
      </c>
      <c r="L41" s="1"/>
    </row>
    <row r="42" ht="15" customHeight="1">
      <c r="A42" s="1"/>
      <c r="B42" s="5" t="s">
        <v>73</v>
      </c>
      <c r="C42" s="19"/>
      <c r="D42" s="19"/>
      <c r="E42" s="19"/>
      <c r="F42" s="19"/>
      <c r="G42" s="19"/>
      <c r="H42" s="19">
        <f t="shared" si="1"/>
        <v>-0.015698587127158548</v>
      </c>
      <c r="I42" s="19">
        <f t="shared" si="1"/>
        <v>0.04160688665710177</v>
      </c>
      <c r="J42" s="32">
        <f t="shared" si="1"/>
        <v>0.027107696931372383</v>
      </c>
      <c r="K42" s="1"/>
      <c r="L42" s="1"/>
    </row>
    <row r="43" ht="15" customHeight="1">
      <c r="A43" s="1"/>
      <c r="B43" s="1" t="s">
        <v>90</v>
      </c>
      <c r="C43" s="18"/>
      <c r="D43" s="18">
        <f t="shared" si="2"/>
        <v>60</v>
      </c>
      <c r="E43" s="18">
        <f t="shared" si="2"/>
        <v>-13</v>
      </c>
      <c r="F43" s="18">
        <f t="shared" si="2"/>
        <v>105</v>
      </c>
      <c r="G43" s="18"/>
      <c r="H43" s="18">
        <f t="shared" si="3"/>
        <v>-162</v>
      </c>
      <c r="I43" s="18">
        <f t="shared" si="2"/>
        <v>99</v>
      </c>
      <c r="J43" s="36">
        <f t="shared" si="2"/>
        <v>-23.45833529894128</v>
      </c>
      <c r="K43" s="1"/>
      <c r="L43" s="1"/>
    </row>
    <row r="44" ht="15" customHeight="1">
      <c r="A44" s="1"/>
      <c r="B44" s="5" t="s">
        <v>333</v>
      </c>
      <c r="C44" s="19">
        <f t="shared" si="11" ref="C44:I44">C41/C19</f>
        <v>0.03137003841229193</v>
      </c>
      <c r="D44" s="19">
        <f t="shared" si="11"/>
        <v>0.032296927853204205</v>
      </c>
      <c r="E44" s="19">
        <f t="shared" si="11"/>
        <v>0.030429753536791528</v>
      </c>
      <c r="F44" s="19">
        <f t="shared" si="11"/>
        <v>0.03255219077481641</v>
      </c>
      <c r="G44" s="19">
        <f t="shared" si="11"/>
        <v>0.03168064286762299</v>
      </c>
      <c r="H44" s="19">
        <f t="shared" si="11"/>
        <v>0.028401884399347706</v>
      </c>
      <c r="I44" s="19">
        <f t="shared" si="11"/>
        <v>0.02938319572608062</v>
      </c>
      <c r="J44" s="66">
        <v>0.029</v>
      </c>
      <c r="K44" s="1"/>
      <c r="L44" s="1" t="s">
        <v>334</v>
      </c>
    </row>
    <row r="45" ht="15" customHeight="1">
      <c r="A45" s="1"/>
      <c r="B45" s="5" t="s">
        <v>143</v>
      </c>
      <c r="C45" s="48"/>
      <c r="D45" s="48"/>
      <c r="E45" s="48"/>
      <c r="F45" s="48"/>
      <c r="G45" s="48"/>
      <c r="H45" s="48">
        <f t="shared" si="9"/>
        <v>-29.68154012944226</v>
      </c>
      <c r="I45" s="48">
        <f t="shared" si="9"/>
        <v>-29.137321271235848</v>
      </c>
      <c r="J45" s="49">
        <f t="shared" si="9"/>
        <v>-14.297535367915268</v>
      </c>
      <c r="K45" s="1"/>
      <c r="L45" s="1"/>
    </row>
    <row r="46" ht="15" customHeight="1">
      <c r="A46" s="1"/>
      <c r="B46" s="5" t="s">
        <v>128</v>
      </c>
      <c r="C46" s="48"/>
      <c r="D46" s="48">
        <f t="shared" si="10"/>
        <v>9.268894409122721</v>
      </c>
      <c r="E46" s="48">
        <f t="shared" si="10"/>
        <v>-18.671743164126767</v>
      </c>
      <c r="F46" s="48">
        <f t="shared" si="10"/>
        <v>21.224372380248788</v>
      </c>
      <c r="G46" s="48"/>
      <c r="H46" s="48">
        <f t="shared" si="12"/>
        <v>-41.503063754687005</v>
      </c>
      <c r="I46" s="48">
        <f t="shared" si="10"/>
        <v>9.813113267329136</v>
      </c>
      <c r="J46" s="49">
        <f t="shared" si="10"/>
        <v>-3.831957260806186</v>
      </c>
      <c r="K46" s="1"/>
      <c r="L46" s="1"/>
    </row>
    <row r="47" ht="15" customHeight="1">
      <c r="A47" s="1"/>
      <c r="B47" s="1" t="s">
        <v>335</v>
      </c>
      <c r="C47" s="35">
        <v>1448</v>
      </c>
      <c r="D47" s="35">
        <v>1573</v>
      </c>
      <c r="E47" s="35">
        <v>1436</v>
      </c>
      <c r="F47" s="35">
        <v>1638</v>
      </c>
      <c r="G47" s="18">
        <f t="shared" si="5"/>
        <v>6095</v>
      </c>
      <c r="H47" s="35">
        <v>1476</v>
      </c>
      <c r="I47" s="35">
        <v>1658</v>
      </c>
      <c r="J47" s="36">
        <f>J19*J50</f>
        <v>1598.88792656103</v>
      </c>
      <c r="K47" s="1" t="s">
        <v>332</v>
      </c>
      <c r="L47" s="1"/>
    </row>
    <row r="48" ht="15" customHeight="1">
      <c r="A48" s="1"/>
      <c r="B48" s="5" t="s">
        <v>73</v>
      </c>
      <c r="C48" s="19"/>
      <c r="D48" s="19"/>
      <c r="E48" s="19"/>
      <c r="F48" s="19"/>
      <c r="G48" s="19"/>
      <c r="H48" s="19">
        <f t="shared" si="1"/>
        <v>0.01933701657458564</v>
      </c>
      <c r="I48" s="19">
        <f t="shared" si="1"/>
        <v>0.05403687221869036</v>
      </c>
      <c r="J48" s="32">
        <f t="shared" si="1"/>
        <v>0.11343170373330791</v>
      </c>
      <c r="K48" s="1"/>
      <c r="L48" s="1"/>
    </row>
    <row r="49" ht="15" customHeight="1">
      <c r="A49" s="1"/>
      <c r="B49" s="1" t="s">
        <v>90</v>
      </c>
      <c r="C49" s="18"/>
      <c r="D49" s="18">
        <f t="shared" si="2"/>
        <v>125</v>
      </c>
      <c r="E49" s="18">
        <f t="shared" si="2"/>
        <v>-137</v>
      </c>
      <c r="F49" s="18">
        <f t="shared" si="2"/>
        <v>202</v>
      </c>
      <c r="G49" s="18"/>
      <c r="H49" s="18">
        <f t="shared" si="3"/>
        <v>-162</v>
      </c>
      <c r="I49" s="18">
        <f t="shared" si="2"/>
        <v>182</v>
      </c>
      <c r="J49" s="36">
        <f t="shared" si="2"/>
        <v>-59.1120734389699</v>
      </c>
      <c r="K49" s="1"/>
      <c r="L49" s="1"/>
    </row>
    <row r="50" ht="15" customHeight="1">
      <c r="A50" s="1"/>
      <c r="B50" s="5" t="s">
        <v>336</v>
      </c>
      <c r="C50" s="19">
        <f t="shared" si="13" ref="C50:I50">C47/C19</f>
        <v>0.07130897271742342</v>
      </c>
      <c r="D50" s="19">
        <f t="shared" si="13"/>
        <v>0.07288818868449098</v>
      </c>
      <c r="E50" s="19">
        <f t="shared" si="13"/>
        <v>0.06388468724975532</v>
      </c>
      <c r="F50" s="19">
        <f t="shared" si="13"/>
        <v>0.06757983331958083</v>
      </c>
      <c r="G50" s="19">
        <f t="shared" si="13"/>
        <v>0.06878999582406917</v>
      </c>
      <c r="H50" s="19">
        <f t="shared" si="13"/>
        <v>0.0668599383946367</v>
      </c>
      <c r="I50" s="19">
        <f t="shared" si="13"/>
        <v>0.06710377205763315</v>
      </c>
      <c r="J50" s="66">
        <v>0.066</v>
      </c>
      <c r="K50" s="1"/>
      <c r="L50" s="1" t="s">
        <v>337</v>
      </c>
    </row>
    <row r="51" ht="15" customHeight="1">
      <c r="A51" s="1"/>
      <c r="B51" s="5" t="s">
        <v>143</v>
      </c>
      <c r="C51" s="48"/>
      <c r="D51" s="48"/>
      <c r="E51" s="48"/>
      <c r="F51" s="48"/>
      <c r="G51" s="48"/>
      <c r="H51" s="48">
        <f t="shared" si="9"/>
        <v>-44.490343227867186</v>
      </c>
      <c r="I51" s="48">
        <f t="shared" si="9"/>
        <v>-57.8441662685783</v>
      </c>
      <c r="J51" s="49">
        <f t="shared" si="9"/>
        <v>21.1531275024468</v>
      </c>
      <c r="K51" s="1"/>
      <c r="L51" s="1"/>
    </row>
    <row r="52" ht="15" customHeight="1">
      <c r="A52" s="1"/>
      <c r="B52" s="5" t="s">
        <v>128</v>
      </c>
      <c r="C52" s="48"/>
      <c r="D52" s="48">
        <f t="shared" si="10"/>
        <v>15.792159670675598</v>
      </c>
      <c r="E52" s="48">
        <f t="shared" si="10"/>
        <v>-90.03501434735661</v>
      </c>
      <c r="F52" s="48">
        <f t="shared" si="10"/>
        <v>36.951460698255026</v>
      </c>
      <c r="G52" s="48"/>
      <c r="H52" s="48">
        <f t="shared" si="12"/>
        <v>-7.1989492494412</v>
      </c>
      <c r="I52" s="48">
        <f t="shared" si="10"/>
        <v>2.438336629964483</v>
      </c>
      <c r="J52" s="49">
        <f t="shared" si="10"/>
        <v>-11.03772057633151</v>
      </c>
      <c r="K52" s="1"/>
      <c r="L52" s="1"/>
    </row>
    <row r="53" ht="15" customHeight="1">
      <c r="A53" s="1"/>
      <c r="B53" s="4" t="s">
        <v>338</v>
      </c>
      <c r="C53" s="33">
        <f t="shared" si="14" ref="C53:J53">C32+C41+C47</f>
        <v>18275</v>
      </c>
      <c r="D53" s="33">
        <f t="shared" si="14"/>
        <v>19475</v>
      </c>
      <c r="E53" s="33">
        <f t="shared" si="14"/>
        <v>20018</v>
      </c>
      <c r="F53" s="33">
        <f t="shared" si="14"/>
        <v>21948</v>
      </c>
      <c r="G53" s="33">
        <f t="shared" si="14"/>
        <v>79716</v>
      </c>
      <c r="H53" s="33">
        <f t="shared" si="14"/>
        <v>19585</v>
      </c>
      <c r="I53" s="33">
        <f t="shared" si="14"/>
        <v>21959</v>
      </c>
      <c r="J53" s="34">
        <f t="shared" si="14"/>
        <v>21559.28724838511</v>
      </c>
      <c r="K53" s="1"/>
      <c r="L53" s="1"/>
    </row>
    <row r="54" ht="15" customHeight="1">
      <c r="A54" s="1"/>
      <c r="B54" s="5" t="s">
        <v>73</v>
      </c>
      <c r="C54" s="19"/>
      <c r="D54" s="19"/>
      <c r="E54" s="19"/>
      <c r="F54" s="19"/>
      <c r="G54" s="19"/>
      <c r="H54" s="19">
        <f t="shared" si="1"/>
        <v>0.0716826265389876</v>
      </c>
      <c r="I54" s="19">
        <f t="shared" si="1"/>
        <v>0.12754813863928116</v>
      </c>
      <c r="J54" s="32">
        <f t="shared" si="1"/>
        <v>0.07699506685908242</v>
      </c>
      <c r="K54" s="1"/>
      <c r="L54" s="1"/>
    </row>
    <row r="55" ht="15" customHeight="1">
      <c r="A55" s="1"/>
      <c r="B55" s="1" t="s">
        <v>339</v>
      </c>
      <c r="C55" s="35">
        <v>4</v>
      </c>
      <c r="D55" s="35">
        <v>40</v>
      </c>
      <c r="E55" s="35">
        <v>63</v>
      </c>
      <c r="F55" s="35">
        <v>306</v>
      </c>
      <c r="G55" s="18">
        <f t="shared" si="5"/>
        <v>413</v>
      </c>
      <c r="H55" s="35">
        <v>64</v>
      </c>
      <c r="I55" s="35">
        <v>62</v>
      </c>
      <c r="J55" s="42">
        <v>60</v>
      </c>
      <c r="K55" s="1" t="s">
        <v>332</v>
      </c>
      <c r="L55" s="1" t="s">
        <v>340</v>
      </c>
    </row>
    <row r="56" ht="15" customHeight="1">
      <c r="A56" s="1"/>
      <c r="B56" s="5" t="s">
        <v>73</v>
      </c>
      <c r="C56" s="19"/>
      <c r="D56" s="19"/>
      <c r="E56" s="19"/>
      <c r="F56" s="19"/>
      <c r="G56" s="19"/>
      <c r="H56" s="19">
        <f t="shared" si="1"/>
        <v>15</v>
      </c>
      <c r="I56" s="19">
        <f t="shared" si="1"/>
        <v>0.55</v>
      </c>
      <c r="J56" s="32">
        <f t="shared" si="1"/>
        <v>-0.04761904761904767</v>
      </c>
      <c r="K56" s="1"/>
      <c r="L56" s="1"/>
    </row>
    <row r="57" ht="15" customHeight="1">
      <c r="A57" s="1"/>
      <c r="B57" s="1" t="s">
        <v>90</v>
      </c>
      <c r="C57" s="18"/>
      <c r="D57" s="18">
        <f t="shared" si="2"/>
        <v>36</v>
      </c>
      <c r="E57" s="18">
        <f t="shared" si="2"/>
        <v>23</v>
      </c>
      <c r="F57" s="18">
        <f t="shared" si="2"/>
        <v>243</v>
      </c>
      <c r="G57" s="18"/>
      <c r="H57" s="18">
        <f t="shared" si="3"/>
        <v>-242</v>
      </c>
      <c r="I57" s="18">
        <f t="shared" si="2"/>
        <v>-2</v>
      </c>
      <c r="J57" s="36">
        <f t="shared" si="2"/>
        <v>-2</v>
      </c>
      <c r="K57" s="1"/>
      <c r="L57" s="1"/>
    </row>
    <row r="58" ht="15" customHeight="1">
      <c r="A58" s="1"/>
      <c r="B58" s="4" t="s">
        <v>341</v>
      </c>
      <c r="C58" s="33">
        <f t="shared" si="15" ref="C58:I58">C19-C53+C55</f>
        <v>2035</v>
      </c>
      <c r="D58" s="33">
        <f t="shared" si="15"/>
        <v>2146</v>
      </c>
      <c r="E58" s="33">
        <f t="shared" si="15"/>
        <v>2523</v>
      </c>
      <c r="F58" s="33">
        <f t="shared" si="15"/>
        <v>2596</v>
      </c>
      <c r="G58" s="33">
        <f t="shared" si="15"/>
        <v>9300</v>
      </c>
      <c r="H58" s="33">
        <f t="shared" si="15"/>
        <v>2555</v>
      </c>
      <c r="I58" s="33">
        <f t="shared" si="15"/>
        <v>2811</v>
      </c>
      <c r="J58" s="34">
        <f>J120</f>
        <v>2726.2873964789837</v>
      </c>
      <c r="K58" s="1"/>
      <c r="L58" s="1"/>
    </row>
    <row r="59" ht="15" customHeight="1">
      <c r="A59" s="1"/>
      <c r="B59" s="5" t="s">
        <v>73</v>
      </c>
      <c r="C59" s="19"/>
      <c r="D59" s="19"/>
      <c r="E59" s="19"/>
      <c r="F59" s="19"/>
      <c r="G59" s="19"/>
      <c r="H59" s="19">
        <f t="shared" si="1"/>
        <v>0.2555282555282554</v>
      </c>
      <c r="I59" s="19">
        <f t="shared" si="1"/>
        <v>0.30987884436160296</v>
      </c>
      <c r="J59" s="32">
        <f t="shared" si="1"/>
        <v>0.08057368072888771</v>
      </c>
      <c r="K59" s="1"/>
      <c r="L59" s="1"/>
    </row>
    <row r="60" ht="15" customHeight="1">
      <c r="A60" s="1"/>
      <c r="B60" s="1" t="s">
        <v>90</v>
      </c>
      <c r="C60" s="18"/>
      <c r="D60" s="18">
        <f t="shared" si="2"/>
        <v>111</v>
      </c>
      <c r="E60" s="18">
        <f t="shared" si="2"/>
        <v>377</v>
      </c>
      <c r="F60" s="18">
        <f t="shared" si="2"/>
        <v>73</v>
      </c>
      <c r="G60" s="18"/>
      <c r="H60" s="18">
        <f t="shared" si="3"/>
        <v>-41</v>
      </c>
      <c r="I60" s="18">
        <f t="shared" si="2"/>
        <v>256</v>
      </c>
      <c r="J60" s="36">
        <f t="shared" si="2"/>
        <v>-84.71260352101626</v>
      </c>
      <c r="K60" s="1"/>
      <c r="L60" s="1"/>
    </row>
    <row r="61" ht="15" customHeight="1">
      <c r="A61" s="1"/>
      <c r="B61" s="5" t="s">
        <v>342</v>
      </c>
      <c r="C61" s="19">
        <f t="shared" si="16" ref="C61:J61">C58/C19</f>
        <v>0.10021668472372698</v>
      </c>
      <c r="D61" s="19">
        <f t="shared" si="16"/>
        <v>0.09943932162550391</v>
      </c>
      <c r="E61" s="19">
        <f t="shared" si="16"/>
        <v>0.1122430821247442</v>
      </c>
      <c r="F61" s="19">
        <f t="shared" si="16"/>
        <v>0.1071045465797508</v>
      </c>
      <c r="G61" s="19">
        <f t="shared" si="16"/>
        <v>0.10496258591695541</v>
      </c>
      <c r="H61" s="19">
        <f t="shared" si="16"/>
        <v>0.11573654647581083</v>
      </c>
      <c r="I61" s="19">
        <f t="shared" si="16"/>
        <v>0.11376881981544439</v>
      </c>
      <c r="J61" s="32">
        <f t="shared" si="16"/>
        <v>0.11253757388400965</v>
      </c>
      <c r="K61" s="1"/>
      <c r="L61" s="1"/>
    </row>
    <row r="62" ht="15" customHeight="1">
      <c r="A62" s="1"/>
      <c r="B62" s="5" t="s">
        <v>143</v>
      </c>
      <c r="C62" s="48"/>
      <c r="D62" s="48"/>
      <c r="E62" s="48"/>
      <c r="F62" s="48"/>
      <c r="G62" s="48"/>
      <c r="H62" s="48">
        <f t="shared" si="9"/>
        <v>155.1986175208385</v>
      </c>
      <c r="I62" s="48">
        <f t="shared" si="9"/>
        <v>143.29498189940477</v>
      </c>
      <c r="J62" s="49">
        <f t="shared" si="9"/>
        <v>2.9449175926545</v>
      </c>
      <c r="K62" s="1"/>
      <c r="L62" s="1"/>
    </row>
    <row r="63" ht="15" customHeight="1">
      <c r="A63" s="1"/>
      <c r="B63" s="5" t="s">
        <v>128</v>
      </c>
      <c r="C63" s="48"/>
      <c r="D63" s="48">
        <f t="shared" si="10"/>
        <v>-7.773630982230717</v>
      </c>
      <c r="E63" s="48">
        <f t="shared" si="10"/>
        <v>128.03760499240286</v>
      </c>
      <c r="F63" s="48">
        <f t="shared" si="10"/>
        <v>-51.385355449933975</v>
      </c>
      <c r="G63" s="48"/>
      <c r="H63" s="48">
        <f t="shared" si="12"/>
        <v>86.31999896060033</v>
      </c>
      <c r="I63" s="48">
        <f t="shared" si="10"/>
        <v>-19.67726660366445</v>
      </c>
      <c r="J63" s="49">
        <f t="shared" si="10"/>
        <v>-12.312459314347407</v>
      </c>
      <c r="K63" s="1"/>
      <c r="L63" s="1"/>
    </row>
    <row r="64" ht="15" customHeight="1">
      <c r="A64" s="1"/>
      <c r="B64" s="1" t="s">
        <v>343</v>
      </c>
      <c r="C64" s="35">
        <v>-366</v>
      </c>
      <c r="D64" s="35">
        <v>-351</v>
      </c>
      <c r="E64" s="35">
        <v>-364</v>
      </c>
      <c r="F64" s="35">
        <v>-101</v>
      </c>
      <c r="G64" s="18">
        <f t="shared" si="5"/>
        <v>-1182</v>
      </c>
      <c r="H64" s="35">
        <v>-355</v>
      </c>
      <c r="I64" s="35">
        <v>-348</v>
      </c>
      <c r="J64" s="36">
        <f>-(J214+J169)</f>
        <v>-344.5</v>
      </c>
      <c r="K64" s="1" t="s">
        <v>332</v>
      </c>
      <c r="L64" s="1" t="s">
        <v>344</v>
      </c>
    </row>
    <row r="65" ht="15" customHeight="1">
      <c r="A65" s="1"/>
      <c r="B65" s="5" t="s">
        <v>73</v>
      </c>
      <c r="C65" s="19"/>
      <c r="D65" s="19"/>
      <c r="E65" s="19"/>
      <c r="F65" s="19"/>
      <c r="G65" s="19"/>
      <c r="H65" s="19">
        <f t="shared" si="1"/>
        <v>-0.030054644808743203</v>
      </c>
      <c r="I65" s="19">
        <f t="shared" si="1"/>
        <v>-0.008547008547008517</v>
      </c>
      <c r="J65" s="32">
        <f t="shared" si="1"/>
        <v>-0.0535714285714286</v>
      </c>
      <c r="K65" s="1"/>
      <c r="L65" s="1"/>
    </row>
    <row r="66" ht="15" customHeight="1">
      <c r="A66" s="1"/>
      <c r="B66" s="1" t="s">
        <v>90</v>
      </c>
      <c r="C66" s="18"/>
      <c r="D66" s="18">
        <f t="shared" si="2"/>
        <v>15</v>
      </c>
      <c r="E66" s="18">
        <f t="shared" si="2"/>
        <v>-13</v>
      </c>
      <c r="F66" s="18">
        <f t="shared" si="2"/>
        <v>263</v>
      </c>
      <c r="G66" s="18"/>
      <c r="H66" s="18">
        <f t="shared" si="3"/>
        <v>-254</v>
      </c>
      <c r="I66" s="18">
        <f t="shared" si="2"/>
        <v>7</v>
      </c>
      <c r="J66" s="36">
        <f t="shared" si="2"/>
        <v>3.5</v>
      </c>
      <c r="K66" s="1"/>
      <c r="L66" s="1"/>
    </row>
    <row r="67" ht="15" customHeight="1">
      <c r="A67" s="1"/>
      <c r="B67" s="1" t="s">
        <v>345</v>
      </c>
      <c r="C67" s="35">
        <v>443</v>
      </c>
      <c r="D67" s="35">
        <v>457</v>
      </c>
      <c r="E67" s="35">
        <v>449</v>
      </c>
      <c r="F67" s="35">
        <v>400</v>
      </c>
      <c r="G67" s="18">
        <f t="shared" si="5"/>
        <v>1749</v>
      </c>
      <c r="H67" s="35">
        <v>390</v>
      </c>
      <c r="I67" s="35">
        <v>417</v>
      </c>
      <c r="J67" s="36">
        <f>J217-J172</f>
        <v>409</v>
      </c>
      <c r="K67" s="1" t="s">
        <v>332</v>
      </c>
      <c r="L67" s="1" t="s">
        <v>346</v>
      </c>
    </row>
    <row r="68" ht="15" customHeight="1">
      <c r="A68" s="1"/>
      <c r="B68" s="5" t="s">
        <v>73</v>
      </c>
      <c r="C68" s="19"/>
      <c r="D68" s="19"/>
      <c r="E68" s="19"/>
      <c r="F68" s="19"/>
      <c r="G68" s="19"/>
      <c r="H68" s="19">
        <f t="shared" si="1"/>
        <v>-0.11963882618510158</v>
      </c>
      <c r="I68" s="19">
        <f t="shared" si="1"/>
        <v>-0.08752735229759301</v>
      </c>
      <c r="J68" s="32">
        <f t="shared" si="1"/>
        <v>-0.08908685968819596</v>
      </c>
      <c r="K68" s="1"/>
      <c r="L68" s="1"/>
    </row>
    <row r="69" ht="15" customHeight="1">
      <c r="A69" s="1"/>
      <c r="B69" s="1" t="s">
        <v>90</v>
      </c>
      <c r="C69" s="18"/>
      <c r="D69" s="18">
        <f t="shared" si="2"/>
        <v>14</v>
      </c>
      <c r="E69" s="18">
        <f t="shared" si="2"/>
        <v>-8</v>
      </c>
      <c r="F69" s="18">
        <f t="shared" si="2"/>
        <v>-49</v>
      </c>
      <c r="G69" s="18"/>
      <c r="H69" s="18">
        <f t="shared" si="3"/>
        <v>-10</v>
      </c>
      <c r="I69" s="18">
        <f t="shared" si="2"/>
        <v>27</v>
      </c>
      <c r="J69" s="36">
        <f t="shared" si="2"/>
        <v>-8</v>
      </c>
      <c r="K69" s="1"/>
      <c r="L69" s="1"/>
    </row>
    <row r="70" ht="15" customHeight="1">
      <c r="A70" s="1"/>
      <c r="B70" s="4" t="s">
        <v>347</v>
      </c>
      <c r="C70" s="33">
        <f t="shared" si="17" ref="C70:J70">C58-C64-C67</f>
        <v>1958</v>
      </c>
      <c r="D70" s="33">
        <f t="shared" si="17"/>
        <v>2040</v>
      </c>
      <c r="E70" s="33">
        <f t="shared" si="17"/>
        <v>2438</v>
      </c>
      <c r="F70" s="33">
        <f t="shared" si="17"/>
        <v>2297</v>
      </c>
      <c r="G70" s="33">
        <f t="shared" si="17"/>
        <v>8733</v>
      </c>
      <c r="H70" s="33">
        <f t="shared" si="17"/>
        <v>2520</v>
      </c>
      <c r="I70" s="33">
        <f t="shared" si="17"/>
        <v>2742</v>
      </c>
      <c r="J70" s="34">
        <f t="shared" si="17"/>
        <v>2661.7873964789837</v>
      </c>
      <c r="K70" s="1"/>
      <c r="L70" s="1"/>
    </row>
    <row r="71" ht="15" customHeight="1">
      <c r="A71" s="1"/>
      <c r="B71" s="5" t="s">
        <v>73</v>
      </c>
      <c r="C71" s="19"/>
      <c r="D71" s="19"/>
      <c r="E71" s="19"/>
      <c r="F71" s="19"/>
      <c r="G71" s="19"/>
      <c r="H71" s="19">
        <f t="shared" si="1"/>
        <v>0.2870275791624106</v>
      </c>
      <c r="I71" s="19">
        <f t="shared" si="1"/>
        <v>0.34411764705882364</v>
      </c>
      <c r="J71" s="32">
        <f t="shared" si="1"/>
        <v>0.09179138493805739</v>
      </c>
      <c r="K71" s="1"/>
      <c r="L71" s="1"/>
    </row>
    <row r="72" ht="15" customHeight="1">
      <c r="A72" s="1"/>
      <c r="B72" s="5" t="s">
        <v>348</v>
      </c>
      <c r="C72" s="19">
        <f t="shared" si="18" ref="C72:J72">C70/C19</f>
        <v>0.09642470205850487</v>
      </c>
      <c r="D72" s="19">
        <f t="shared" si="18"/>
        <v>0.09452759371669524</v>
      </c>
      <c r="E72" s="19">
        <f t="shared" si="18"/>
        <v>0.10846160690452887</v>
      </c>
      <c r="F72" s="19">
        <f t="shared" si="18"/>
        <v>0.09476854525950985</v>
      </c>
      <c r="G72" s="19">
        <f t="shared" si="18"/>
        <v>0.09856325406588942</v>
      </c>
      <c r="H72" s="19">
        <f t="shared" si="18"/>
        <v>0.11415111433230658</v>
      </c>
      <c r="I72" s="19">
        <f t="shared" si="18"/>
        <v>0.11097620203982515</v>
      </c>
      <c r="J72" s="32">
        <f t="shared" si="18"/>
        <v>0.10987509834130156</v>
      </c>
      <c r="K72" s="1"/>
      <c r="L72" s="1"/>
    </row>
    <row r="73" ht="15" customHeight="1">
      <c r="A73" s="1"/>
      <c r="B73" s="5" t="s">
        <v>143</v>
      </c>
      <c r="C73" s="48"/>
      <c r="D73" s="48"/>
      <c r="E73" s="48"/>
      <c r="F73" s="48"/>
      <c r="G73" s="48"/>
      <c r="H73" s="48">
        <f t="shared" si="9"/>
        <v>177.26412273801714</v>
      </c>
      <c r="I73" s="48">
        <f t="shared" si="9"/>
        <v>164.48608323129915</v>
      </c>
      <c r="J73" s="49">
        <f t="shared" si="9"/>
        <v>14.134914367726903</v>
      </c>
      <c r="K73" s="1"/>
      <c r="L73" s="1"/>
    </row>
    <row r="74" ht="15" customHeight="1">
      <c r="A74" s="1"/>
      <c r="B74" s="5" t="s">
        <v>128</v>
      </c>
      <c r="C74" s="48"/>
      <c r="D74" s="48">
        <f t="shared" si="10"/>
        <v>-18.971083418096306</v>
      </c>
      <c r="E74" s="48">
        <f t="shared" si="10"/>
        <v>139.34013187833634</v>
      </c>
      <c r="F74" s="48">
        <f t="shared" si="10"/>
        <v>-136.93061645019017</v>
      </c>
      <c r="G74" s="48"/>
      <c r="H74" s="48">
        <f t="shared" si="12"/>
        <v>193.8256907279673</v>
      </c>
      <c r="I74" s="48">
        <f t="shared" si="10"/>
        <v>-31.749122924814298</v>
      </c>
      <c r="J74" s="49">
        <f t="shared" si="10"/>
        <v>-11.011036985235922</v>
      </c>
      <c r="K74" s="1"/>
      <c r="L74" s="1"/>
    </row>
    <row r="75" ht="15" customHeight="1">
      <c r="A75" s="1"/>
      <c r="B75" s="1" t="s">
        <v>349</v>
      </c>
      <c r="C75" s="35">
        <v>333</v>
      </c>
      <c r="D75" s="35">
        <v>315</v>
      </c>
      <c r="E75" s="35">
        <v>432</v>
      </c>
      <c r="F75" s="35">
        <v>584</v>
      </c>
      <c r="G75" s="18">
        <f t="shared" si="5"/>
        <v>1664</v>
      </c>
      <c r="H75" s="35">
        <v>363</v>
      </c>
      <c r="I75" s="35">
        <v>493</v>
      </c>
      <c r="J75" s="36">
        <f>J206-J175-J178</f>
        <v>471.5861998574145</v>
      </c>
      <c r="K75" s="1" t="s">
        <v>332</v>
      </c>
      <c r="L75" s="1" t="s">
        <v>350</v>
      </c>
    </row>
    <row r="76" ht="15" customHeight="1">
      <c r="A76" s="1"/>
      <c r="B76" s="5" t="s">
        <v>73</v>
      </c>
      <c r="C76" s="19"/>
      <c r="D76" s="19"/>
      <c r="E76" s="19"/>
      <c r="F76" s="19"/>
      <c r="G76" s="19"/>
      <c r="H76" s="19">
        <f t="shared" si="1"/>
        <v>0.09009009009009006</v>
      </c>
      <c r="I76" s="19">
        <f t="shared" si="1"/>
        <v>0.5650793650793651</v>
      </c>
      <c r="J76" s="32">
        <f t="shared" si="1"/>
        <v>0.09163472189216315</v>
      </c>
      <c r="K76" s="1"/>
      <c r="L76" s="1"/>
    </row>
    <row r="77" ht="15" customHeight="1">
      <c r="A77" s="1"/>
      <c r="B77" s="1" t="s">
        <v>90</v>
      </c>
      <c r="C77" s="18"/>
      <c r="D77" s="18">
        <f t="shared" si="2"/>
        <v>-18</v>
      </c>
      <c r="E77" s="18">
        <f t="shared" si="2"/>
        <v>117</v>
      </c>
      <c r="F77" s="18">
        <f t="shared" si="2"/>
        <v>152</v>
      </c>
      <c r="G77" s="18"/>
      <c r="H77" s="18">
        <f t="shared" si="3"/>
        <v>-221</v>
      </c>
      <c r="I77" s="18">
        <f t="shared" si="2"/>
        <v>130</v>
      </c>
      <c r="J77" s="36">
        <f t="shared" si="2"/>
        <v>-21.4138001425855</v>
      </c>
      <c r="K77" s="1"/>
      <c r="L77" s="1"/>
    </row>
    <row r="78" ht="15" customHeight="1">
      <c r="A78" s="1"/>
      <c r="B78" s="5" t="s">
        <v>351</v>
      </c>
      <c r="C78" s="19">
        <f t="shared" si="19" ref="C78:J78">C75/C70</f>
        <v>0.17007150153217568</v>
      </c>
      <c r="D78" s="19">
        <f t="shared" si="19"/>
        <v>0.15441176470588236</v>
      </c>
      <c r="E78" s="19">
        <f t="shared" si="19"/>
        <v>0.17719442165709598</v>
      </c>
      <c r="F78" s="19">
        <f t="shared" si="19"/>
        <v>0.2542446669569003</v>
      </c>
      <c r="G78" s="19">
        <f t="shared" si="19"/>
        <v>0.19054162372609643</v>
      </c>
      <c r="H78" s="19">
        <f t="shared" si="19"/>
        <v>0.14404761904761904</v>
      </c>
      <c r="I78" s="19">
        <f t="shared" si="19"/>
        <v>0.1797957695113056</v>
      </c>
      <c r="J78" s="32">
        <f t="shared" si="19"/>
        <v>0.17716899572115694</v>
      </c>
      <c r="K78" s="1"/>
      <c r="L78" s="1"/>
    </row>
    <row r="79" ht="15" customHeight="1">
      <c r="A79" s="1"/>
      <c r="B79" s="5" t="s">
        <v>143</v>
      </c>
      <c r="C79" s="48"/>
      <c r="D79" s="48"/>
      <c r="E79" s="48"/>
      <c r="F79" s="48"/>
      <c r="G79" s="48"/>
      <c r="H79" s="48">
        <f t="shared" si="9"/>
        <v>-260.23882484556646</v>
      </c>
      <c r="I79" s="48">
        <f t="shared" si="9"/>
        <v>253.84004805423243</v>
      </c>
      <c r="J79" s="49">
        <f t="shared" si="9"/>
        <v>-0.25425935939044075</v>
      </c>
      <c r="K79" s="1"/>
      <c r="L79" s="1"/>
    </row>
    <row r="80" ht="15" customHeight="1">
      <c r="A80" s="1"/>
      <c r="B80" s="5" t="s">
        <v>128</v>
      </c>
      <c r="C80" s="48"/>
      <c r="D80" s="48">
        <f t="shared" si="10"/>
        <v>-156.5973682629332</v>
      </c>
      <c r="E80" s="48">
        <f t="shared" si="10"/>
        <v>227.8265695121362</v>
      </c>
      <c r="F80" s="48">
        <f t="shared" si="10"/>
        <v>770.502452998043</v>
      </c>
      <c r="G80" s="48"/>
      <c r="H80" s="48">
        <f t="shared" si="12"/>
        <v>-1101.9704790928126</v>
      </c>
      <c r="I80" s="48">
        <f t="shared" si="10"/>
        <v>357.4815046368657</v>
      </c>
      <c r="J80" s="49">
        <f t="shared" si="10"/>
        <v>-26.267737901486676</v>
      </c>
      <c r="K80" s="1"/>
      <c r="L80" s="1"/>
    </row>
    <row r="81" ht="15" customHeight="1">
      <c r="A81" s="1"/>
      <c r="B81" s="4" t="s">
        <v>352</v>
      </c>
      <c r="C81" s="33">
        <f t="shared" si="20" ref="C81:J81">C70-C75</f>
        <v>1625</v>
      </c>
      <c r="D81" s="33">
        <f t="shared" si="20"/>
        <v>1725</v>
      </c>
      <c r="E81" s="33">
        <f t="shared" si="20"/>
        <v>2006</v>
      </c>
      <c r="F81" s="33">
        <f t="shared" si="20"/>
        <v>1713</v>
      </c>
      <c r="G81" s="33">
        <f t="shared" si="20"/>
        <v>7069</v>
      </c>
      <c r="H81" s="33">
        <f t="shared" si="20"/>
        <v>2157</v>
      </c>
      <c r="I81" s="33">
        <f t="shared" si="20"/>
        <v>2249</v>
      </c>
      <c r="J81" s="34">
        <f t="shared" si="20"/>
        <v>2190.201196621569</v>
      </c>
      <c r="K81" s="1"/>
      <c r="L81" s="1"/>
    </row>
    <row r="82" ht="15" customHeight="1">
      <c r="A82" s="1"/>
      <c r="B82" s="5" t="s">
        <v>73</v>
      </c>
      <c r="C82" s="19"/>
      <c r="D82" s="19"/>
      <c r="E82" s="19"/>
      <c r="F82" s="19"/>
      <c r="G82" s="19"/>
      <c r="H82" s="19">
        <f t="shared" si="1"/>
        <v>0.3273846153846154</v>
      </c>
      <c r="I82" s="19">
        <f t="shared" si="1"/>
        <v>0.3037681159420289</v>
      </c>
      <c r="J82" s="32">
        <f t="shared" si="1"/>
        <v>0.09182512294195866</v>
      </c>
      <c r="K82" s="1"/>
      <c r="L82" s="1"/>
    </row>
    <row r="83" ht="15" customHeight="1">
      <c r="A83" s="1"/>
      <c r="B83" s="1" t="s">
        <v>90</v>
      </c>
      <c r="C83" s="18"/>
      <c r="D83" s="18">
        <f t="shared" si="2"/>
        <v>100</v>
      </c>
      <c r="E83" s="18">
        <f t="shared" si="2"/>
        <v>281</v>
      </c>
      <c r="F83" s="18">
        <f t="shared" si="2"/>
        <v>-293</v>
      </c>
      <c r="G83" s="18"/>
      <c r="H83" s="18">
        <f t="shared" si="3"/>
        <v>444</v>
      </c>
      <c r="I83" s="18">
        <f t="shared" si="2"/>
        <v>92</v>
      </c>
      <c r="J83" s="36">
        <f t="shared" si="2"/>
        <v>-58.798803378430875</v>
      </c>
      <c r="K83" s="1"/>
      <c r="L83" s="1"/>
    </row>
    <row r="84" ht="15" customHeight="1">
      <c r="A84" s="1"/>
      <c r="B84" s="1" t="s">
        <v>353</v>
      </c>
      <c r="C84" s="35">
        <v>90</v>
      </c>
      <c r="D84" s="35">
        <v>68</v>
      </c>
      <c r="E84" s="35">
        <v>88</v>
      </c>
      <c r="F84" s="35">
        <v>91</v>
      </c>
      <c r="G84" s="18">
        <f t="shared" si="5"/>
        <v>337</v>
      </c>
      <c r="H84" s="35">
        <v>98</v>
      </c>
      <c r="I84" s="35">
        <v>110</v>
      </c>
      <c r="J84" s="42">
        <v>105</v>
      </c>
      <c r="K84" s="1" t="s">
        <v>332</v>
      </c>
      <c r="L84" s="1" t="s">
        <v>354</v>
      </c>
    </row>
    <row r="85" ht="15" customHeight="1">
      <c r="A85" s="1"/>
      <c r="B85" s="5" t="s">
        <v>73</v>
      </c>
      <c r="C85" s="19"/>
      <c r="D85" s="19"/>
      <c r="E85" s="19"/>
      <c r="F85" s="19"/>
      <c r="G85" s="19"/>
      <c r="H85" s="19">
        <f t="shared" si="1"/>
        <v>0.0888888888888888</v>
      </c>
      <c r="I85" s="19">
        <f t="shared" si="1"/>
        <v>0.6176470588235294</v>
      </c>
      <c r="J85" s="32">
        <f t="shared" si="1"/>
        <v>0.19318181818181812</v>
      </c>
      <c r="K85" s="1"/>
      <c r="L85" s="1"/>
    </row>
    <row r="86" ht="15" customHeight="1">
      <c r="A86" s="1"/>
      <c r="B86" s="1" t="s">
        <v>90</v>
      </c>
      <c r="C86" s="18"/>
      <c r="D86" s="18">
        <f t="shared" si="2"/>
        <v>-22</v>
      </c>
      <c r="E86" s="18">
        <f t="shared" si="2"/>
        <v>20</v>
      </c>
      <c r="F86" s="18">
        <f t="shared" si="2"/>
        <v>3</v>
      </c>
      <c r="G86" s="18"/>
      <c r="H86" s="18">
        <f t="shared" si="3"/>
        <v>7</v>
      </c>
      <c r="I86" s="18">
        <f t="shared" si="2"/>
        <v>12</v>
      </c>
      <c r="J86" s="36">
        <f t="shared" si="2"/>
        <v>-5</v>
      </c>
      <c r="K86" s="1"/>
      <c r="L86" s="1"/>
    </row>
    <row r="87" ht="15" customHeight="1">
      <c r="A87" s="1"/>
      <c r="B87" s="4" t="s">
        <v>355</v>
      </c>
      <c r="C87" s="33">
        <f t="shared" si="21" ref="C87:J87">C81-C84</f>
        <v>1535</v>
      </c>
      <c r="D87" s="33">
        <f t="shared" si="21"/>
        <v>1657</v>
      </c>
      <c r="E87" s="33">
        <f t="shared" si="21"/>
        <v>1918</v>
      </c>
      <c r="F87" s="33">
        <f t="shared" si="21"/>
        <v>1622</v>
      </c>
      <c r="G87" s="33">
        <f t="shared" si="21"/>
        <v>6732</v>
      </c>
      <c r="H87" s="33">
        <f t="shared" si="21"/>
        <v>2059</v>
      </c>
      <c r="I87" s="33">
        <f t="shared" si="21"/>
        <v>2139</v>
      </c>
      <c r="J87" s="34">
        <f t="shared" si="21"/>
        <v>2085.201196621569</v>
      </c>
      <c r="K87" s="1"/>
      <c r="L87" s="1"/>
    </row>
    <row r="88" ht="15" customHeight="1">
      <c r="A88" s="1"/>
      <c r="B88" s="5" t="s">
        <v>73</v>
      </c>
      <c r="C88" s="19"/>
      <c r="D88" s="19"/>
      <c r="E88" s="19"/>
      <c r="F88" s="19"/>
      <c r="G88" s="19"/>
      <c r="H88" s="19">
        <f t="shared" si="1"/>
        <v>0.3413680781758959</v>
      </c>
      <c r="I88" s="19">
        <f t="shared" si="1"/>
        <v>0.29088714544357264</v>
      </c>
      <c r="J88" s="32">
        <f t="shared" si="1"/>
        <v>0.08717476361917065</v>
      </c>
      <c r="K88" s="1"/>
      <c r="L88" s="1"/>
    </row>
    <row r="89" ht="15" customHeight="1">
      <c r="A89" s="1"/>
      <c r="B89" s="1" t="s">
        <v>90</v>
      </c>
      <c r="C89" s="18"/>
      <c r="D89" s="18">
        <f t="shared" si="2"/>
        <v>122</v>
      </c>
      <c r="E89" s="18">
        <f t="shared" si="2"/>
        <v>261</v>
      </c>
      <c r="F89" s="18">
        <f t="shared" si="2"/>
        <v>-296</v>
      </c>
      <c r="G89" s="18"/>
      <c r="H89" s="18">
        <f t="shared" si="3"/>
        <v>437</v>
      </c>
      <c r="I89" s="18">
        <f t="shared" si="2"/>
        <v>80</v>
      </c>
      <c r="J89" s="36">
        <f t="shared" si="2"/>
        <v>-53.798803378430875</v>
      </c>
      <c r="K89" s="1"/>
      <c r="L89" s="1"/>
    </row>
    <row r="90" ht="15" customHeight="1">
      <c r="A90" s="1"/>
      <c r="B90" s="5" t="s">
        <v>356</v>
      </c>
      <c r="C90" s="19">
        <f t="shared" si="22" ref="C90:J90">C87/C19</f>
        <v>0.0755934206638432</v>
      </c>
      <c r="D90" s="19">
        <f t="shared" si="22"/>
        <v>0.07678050136694314</v>
      </c>
      <c r="E90" s="19">
        <f t="shared" si="22"/>
        <v>0.08532787614556456</v>
      </c>
      <c r="F90" s="19">
        <f t="shared" si="22"/>
        <v>0.06691971284759468</v>
      </c>
      <c r="G90" s="19">
        <f t="shared" si="22"/>
        <v>0.07597936864440256</v>
      </c>
      <c r="H90" s="19">
        <f t="shared" si="22"/>
        <v>0.09326870809929336</v>
      </c>
      <c r="I90" s="19">
        <f t="shared" si="22"/>
        <v>0.08657115104419622</v>
      </c>
      <c r="J90" s="32">
        <f t="shared" si="22"/>
        <v>0.08607437500202453</v>
      </c>
      <c r="K90" s="1"/>
      <c r="L90" s="1"/>
    </row>
    <row r="91" ht="15" customHeight="1">
      <c r="A91" s="1"/>
      <c r="B91" s="5" t="s">
        <v>143</v>
      </c>
      <c r="C91" s="48"/>
      <c r="D91" s="48"/>
      <c r="E91" s="48"/>
      <c r="F91" s="48"/>
      <c r="G91" s="48"/>
      <c r="H91" s="48">
        <f t="shared" si="9"/>
        <v>176.75287435450159</v>
      </c>
      <c r="I91" s="48">
        <f t="shared" si="9"/>
        <v>97.90649677253072</v>
      </c>
      <c r="J91" s="49">
        <f t="shared" si="9"/>
        <v>7.464988564599706</v>
      </c>
      <c r="K91" s="1"/>
      <c r="L91" s="1"/>
    </row>
    <row r="92" ht="15" customHeight="1">
      <c r="A92" s="1"/>
      <c r="B92" s="5" t="s">
        <v>128</v>
      </c>
      <c r="C92" s="48"/>
      <c r="D92" s="48">
        <f t="shared" si="10"/>
        <v>11.870807030999464</v>
      </c>
      <c r="E92" s="48">
        <f t="shared" si="10"/>
        <v>85.47374778621413</v>
      </c>
      <c r="F92" s="48">
        <f t="shared" si="10"/>
        <v>-184.08163297969875</v>
      </c>
      <c r="G92" s="48"/>
      <c r="H92" s="48">
        <f t="shared" si="12"/>
        <v>263.48995251698676</v>
      </c>
      <c r="I92" s="48">
        <f t="shared" si="10"/>
        <v>-66.97557055097143</v>
      </c>
      <c r="J92" s="49">
        <f t="shared" si="10"/>
        <v>-4.967760421716871</v>
      </c>
      <c r="K92" s="1"/>
      <c r="L92" s="1"/>
    </row>
    <row r="93" ht="15" customHeight="1">
      <c r="A93" s="1"/>
      <c r="B93" s="1" t="s">
        <v>357</v>
      </c>
      <c r="C93" s="17">
        <f>'Share Count'!C11</f>
        <v>1337.1</v>
      </c>
      <c r="D93" s="17">
        <f>'Share Count'!D11</f>
        <v>1340.6</v>
      </c>
      <c r="E93" s="17">
        <f>'Share Count'!E11</f>
        <v>1343.1</v>
      </c>
      <c r="F93" s="17">
        <f>'Share Count'!F11</f>
        <v>1344.9</v>
      </c>
      <c r="G93" s="17">
        <f>'Share Count'!G11</f>
        <v>1341.4</v>
      </c>
      <c r="H93" s="17">
        <f>'Share Count'!H11</f>
        <v>1348</v>
      </c>
      <c r="I93" s="17">
        <f>'Share Count'!I11</f>
        <v>1350.7</v>
      </c>
      <c r="J93" s="30">
        <f>'Share Count'!J11</f>
        <v>1352.2</v>
      </c>
      <c r="K93" s="1"/>
      <c r="L93" s="1"/>
    </row>
    <row r="94" ht="15" customHeight="1">
      <c r="A94" s="1"/>
      <c r="B94" s="1" t="s">
        <v>358</v>
      </c>
      <c r="C94" s="17">
        <f>'Share Count'!C14</f>
        <v>1351.8</v>
      </c>
      <c r="D94" s="17">
        <f>'Share Count'!D14</f>
        <v>1354</v>
      </c>
      <c r="E94" s="17">
        <f>'Share Count'!E14</f>
        <v>1358.4</v>
      </c>
      <c r="F94" s="17">
        <f>'Share Count'!F14</f>
        <v>1361.7</v>
      </c>
      <c r="G94" s="17">
        <f>'Share Count'!G14</f>
        <v>1356.4</v>
      </c>
      <c r="H94" s="17">
        <f>'Share Count'!H14</f>
        <v>1364.6</v>
      </c>
      <c r="I94" s="17">
        <f>'Share Count'!I14</f>
        <v>1365</v>
      </c>
      <c r="J94" s="30">
        <f>'Share Count'!J14</f>
        <v>1366.7</v>
      </c>
      <c r="K94" s="1"/>
      <c r="L94" s="1"/>
    </row>
    <row r="95" ht="15" customHeight="1">
      <c r="A95" s="1"/>
      <c r="B95" s="1" t="s">
        <v>359</v>
      </c>
      <c r="C95" s="23">
        <f t="shared" si="23" ref="C95:J95">C87/C93</f>
        <v>1.1480068805624113</v>
      </c>
      <c r="D95" s="23">
        <f t="shared" si="23"/>
        <v>1.2360137251976728</v>
      </c>
      <c r="E95" s="23">
        <f t="shared" si="23"/>
        <v>1.4280396098577919</v>
      </c>
      <c r="F95" s="23">
        <f t="shared" si="23"/>
        <v>1.2060376236151387</v>
      </c>
      <c r="G95" s="23">
        <f t="shared" si="23"/>
        <v>5.018637244669748</v>
      </c>
      <c r="H95" s="23">
        <f t="shared" si="23"/>
        <v>1.5274480712166172</v>
      </c>
      <c r="I95" s="23">
        <f t="shared" si="23"/>
        <v>1.583623306433701</v>
      </c>
      <c r="J95" s="73">
        <f t="shared" si="23"/>
        <v>1.542080458971727</v>
      </c>
      <c r="K95" s="1"/>
      <c r="L95" s="1"/>
    </row>
    <row r="96" ht="15" customHeight="1">
      <c r="A96" s="1"/>
      <c r="B96" s="4" t="s">
        <v>360</v>
      </c>
      <c r="C96" s="74">
        <f t="shared" si="24" ref="C96:J96">C87/C94</f>
        <v>1.135523006361888</v>
      </c>
      <c r="D96" s="74">
        <f t="shared" si="24"/>
        <v>1.223781388478582</v>
      </c>
      <c r="E96" s="74">
        <f t="shared" si="24"/>
        <v>1.4119552414605416</v>
      </c>
      <c r="F96" s="74">
        <f t="shared" si="24"/>
        <v>1.1911581111845486</v>
      </c>
      <c r="G96" s="74">
        <f t="shared" si="24"/>
        <v>4.9631377174874665</v>
      </c>
      <c r="H96" s="74">
        <f t="shared" si="24"/>
        <v>1.508867067272461</v>
      </c>
      <c r="I96" s="74">
        <f t="shared" si="24"/>
        <v>1.567032967032967</v>
      </c>
      <c r="J96" s="75">
        <f t="shared" si="24"/>
        <v>1.525719760460649</v>
      </c>
      <c r="K96" s="1"/>
      <c r="L96" s="1"/>
    </row>
    <row r="97" ht="15" customHeight="1">
      <c r="A97" s="1"/>
      <c r="B97" s="5" t="s">
        <v>73</v>
      </c>
      <c r="C97" s="19"/>
      <c r="D97" s="19"/>
      <c r="E97" s="19"/>
      <c r="F97" s="19"/>
      <c r="G97" s="19"/>
      <c r="H97" s="19">
        <f t="shared" si="1"/>
        <v>0.3287859944878908</v>
      </c>
      <c r="I97" s="19">
        <f t="shared" si="1"/>
        <v>0.2804843918905475</v>
      </c>
      <c r="J97" s="32">
        <f t="shared" si="1"/>
        <v>0.08057232669955461</v>
      </c>
      <c r="K97" s="1"/>
      <c r="L97" s="1"/>
    </row>
    <row r="98" ht="15" customHeight="1">
      <c r="A98" s="1"/>
      <c r="B98" s="1" t="s">
        <v>361</v>
      </c>
      <c r="C98" s="23"/>
      <c r="D98" s="23">
        <f t="shared" si="2"/>
        <v>0.08825838211669401</v>
      </c>
      <c r="E98" s="23">
        <f t="shared" si="2"/>
        <v>0.18817385298195966</v>
      </c>
      <c r="F98" s="23">
        <f t="shared" si="2"/>
        <v>-0.22079713027599301</v>
      </c>
      <c r="G98" s="23"/>
      <c r="H98" s="23">
        <f t="shared" si="3"/>
        <v>0.3177089560879123</v>
      </c>
      <c r="I98" s="23">
        <f t="shared" si="2"/>
        <v>0.05816589976050612</v>
      </c>
      <c r="J98" s="73">
        <f t="shared" si="2"/>
        <v>-0.04131320657231807</v>
      </c>
      <c r="K98" s="1"/>
      <c r="L98" s="1"/>
    </row>
    <row r="99" ht="15" customHeight="1">
      <c r="A99" s="1"/>
      <c r="B99" s="1" t="s">
        <v>362</v>
      </c>
      <c r="C99" s="18">
        <f t="shared" si="25" ref="C99:J99">C96-C87/C94</f>
        <v>0</v>
      </c>
      <c r="D99" s="18">
        <f t="shared" si="25"/>
        <v>0</v>
      </c>
      <c r="E99" s="18">
        <f t="shared" si="25"/>
        <v>0</v>
      </c>
      <c r="F99" s="18">
        <f t="shared" si="25"/>
        <v>0</v>
      </c>
      <c r="G99" s="18">
        <f t="shared" si="25"/>
        <v>0</v>
      </c>
      <c r="H99" s="18">
        <f t="shared" si="25"/>
        <v>0</v>
      </c>
      <c r="I99" s="18">
        <f t="shared" si="25"/>
        <v>0</v>
      </c>
      <c r="J99" s="36">
        <f t="shared" si="25"/>
        <v>0</v>
      </c>
      <c r="K99" s="1"/>
      <c r="L99" s="1" t="s">
        <v>363</v>
      </c>
    </row>
    <row r="100" ht="15" customHeight="1">
      <c r="A100" s="1"/>
      <c r="B100" s="1" t="s">
        <v>364</v>
      </c>
      <c r="C100" s="76">
        <v>1.14</v>
      </c>
      <c r="D100" s="76">
        <v>1.22</v>
      </c>
      <c r="E100" s="76">
        <v>1.41</v>
      </c>
      <c r="F100" s="76">
        <v>1.19</v>
      </c>
      <c r="G100" s="76">
        <v>4.96</v>
      </c>
      <c r="H100" s="76">
        <v>1.51</v>
      </c>
      <c r="I100" s="76">
        <v>1.57</v>
      </c>
      <c r="J100" s="73"/>
      <c r="K100" s="1" t="s">
        <v>332</v>
      </c>
      <c r="L100" s="1"/>
    </row>
    <row r="101" ht="15" customHeight="1">
      <c r="A101" s="1"/>
      <c r="B101" s="1" t="s">
        <v>365</v>
      </c>
      <c r="C101" s="18">
        <f t="shared" si="26" ref="C101:I197">ROUND(C96,2)-C100</f>
        <v>0</v>
      </c>
      <c r="D101" s="18">
        <f t="shared" si="26"/>
        <v>0</v>
      </c>
      <c r="E101" s="18">
        <f t="shared" si="26"/>
        <v>0</v>
      </c>
      <c r="F101" s="18">
        <f t="shared" si="26"/>
        <v>0</v>
      </c>
      <c r="G101" s="18">
        <f t="shared" si="26"/>
        <v>0</v>
      </c>
      <c r="H101" s="18">
        <f t="shared" si="26"/>
        <v>0</v>
      </c>
      <c r="I101" s="18">
        <f t="shared" si="26"/>
        <v>0</v>
      </c>
      <c r="J101" s="36"/>
      <c r="K101" s="1"/>
      <c r="L101" s="1"/>
    </row>
    <row r="102" ht="15" customHeight="1">
      <c r="A102" s="1"/>
      <c r="B102" s="1" t="s">
        <v>366</v>
      </c>
      <c r="C102" s="76">
        <v>1.15</v>
      </c>
      <c r="D102" s="76">
        <v>1.24</v>
      </c>
      <c r="E102" s="76">
        <v>1.43</v>
      </c>
      <c r="F102" s="76">
        <v>1.21</v>
      </c>
      <c r="G102" s="76">
        <v>5.02</v>
      </c>
      <c r="H102" s="76">
        <v>1.53</v>
      </c>
      <c r="I102" s="76">
        <v>1.58</v>
      </c>
      <c r="J102" s="73"/>
      <c r="K102" s="1" t="s">
        <v>332</v>
      </c>
      <c r="L102" s="1"/>
    </row>
    <row r="103" ht="15" customHeight="1">
      <c r="A103" s="1"/>
      <c r="B103" s="1" t="s">
        <v>367</v>
      </c>
      <c r="C103" s="18">
        <f t="shared" si="27" ref="C103:I103">ROUND(C95,2)-C102</f>
        <v>0</v>
      </c>
      <c r="D103" s="18">
        <f t="shared" si="27"/>
        <v>0</v>
      </c>
      <c r="E103" s="18">
        <f t="shared" si="27"/>
        <v>0</v>
      </c>
      <c r="F103" s="18">
        <f t="shared" si="27"/>
        <v>0</v>
      </c>
      <c r="G103" s="18">
        <f t="shared" si="27"/>
        <v>0</v>
      </c>
      <c r="H103" s="18">
        <f t="shared" si="27"/>
        <v>0</v>
      </c>
      <c r="I103" s="18">
        <f t="shared" si="27"/>
        <v>0</v>
      </c>
      <c r="J103" s="36"/>
      <c r="K103" s="1"/>
      <c r="L103" s="1"/>
    </row>
    <row r="104" ht="15" customHeight="1">
      <c r="A104" s="1"/>
      <c r="B104" s="1" t="s">
        <v>368</v>
      </c>
      <c r="C104" s="22">
        <f>Inputs!G107</f>
        <v>1.14</v>
      </c>
      <c r="D104" s="22">
        <f>Inputs!G108</f>
        <v>1.22</v>
      </c>
      <c r="E104" s="22">
        <f>Inputs!G109</f>
        <v>1.41</v>
      </c>
      <c r="F104" s="22">
        <f>Inputs!G110</f>
        <v>1.19</v>
      </c>
      <c r="G104" s="23"/>
      <c r="H104" s="22">
        <f>Inputs!G111</f>
        <v>1.51</v>
      </c>
      <c r="I104" s="22">
        <f>Inputs!G112</f>
        <v>1.57</v>
      </c>
      <c r="J104" s="77">
        <f>Inputs!C58</f>
        <v>1.52</v>
      </c>
      <c r="K104" s="1" t="s">
        <v>106</v>
      </c>
      <c r="L104" s="1"/>
    </row>
    <row r="105" ht="15" customHeight="1">
      <c r="A105" s="1"/>
      <c r="B105" s="1" t="s">
        <v>369</v>
      </c>
      <c r="C105" s="18">
        <f t="shared" si="28" ref="C105:I201">C100-C104</f>
        <v>0</v>
      </c>
      <c r="D105" s="18">
        <f t="shared" si="28"/>
        <v>0</v>
      </c>
      <c r="E105" s="18">
        <f t="shared" si="28"/>
        <v>0</v>
      </c>
      <c r="F105" s="18">
        <f t="shared" si="28"/>
        <v>0</v>
      </c>
      <c r="G105" s="18"/>
      <c r="H105" s="18">
        <f t="shared" si="28"/>
        <v>0</v>
      </c>
      <c r="I105" s="18">
        <f t="shared" si="28"/>
        <v>0</v>
      </c>
      <c r="J105" s="36"/>
      <c r="K105" s="1"/>
      <c r="L105" s="1"/>
    </row>
    <row r="106" ht="15" customHeight="1">
      <c r="A106" s="1"/>
      <c r="B106" s="1"/>
      <c r="C106" s="1"/>
      <c r="D106" s="1"/>
      <c r="E106" s="1"/>
      <c r="F106" s="1"/>
      <c r="G106" s="1"/>
      <c r="H106" s="1"/>
      <c r="I106" s="1"/>
      <c r="J106" s="29"/>
      <c r="K106" s="1"/>
      <c r="L106" s="1"/>
    </row>
    <row r="107" ht="15" customHeight="1">
      <c r="A107" s="1"/>
      <c r="B107" s="4" t="s">
        <v>370</v>
      </c>
      <c r="C107" s="1"/>
      <c r="D107" s="1"/>
      <c r="E107" s="1"/>
      <c r="F107" s="1"/>
      <c r="G107" s="1"/>
      <c r="H107" s="1"/>
      <c r="I107" s="1"/>
      <c r="J107" s="29"/>
      <c r="K107" s="1"/>
      <c r="L107" s="1"/>
    </row>
    <row r="108" ht="15" customHeight="1">
      <c r="A108" s="1"/>
      <c r="B108" s="1" t="s">
        <v>371</v>
      </c>
      <c r="C108" s="17">
        <f>'Segment - Collins Aerospace'!C153</f>
        <v>1088</v>
      </c>
      <c r="D108" s="17">
        <f>'Segment - Collins Aerospace'!D153</f>
        <v>1173</v>
      </c>
      <c r="E108" s="17">
        <f>'Segment - Collins Aerospace'!E153</f>
        <v>1260</v>
      </c>
      <c r="F108" s="17">
        <f>'Segment - Collins Aerospace'!F153</f>
        <v>1402</v>
      </c>
      <c r="G108" s="17">
        <f>'Segment - Collins Aerospace'!G153</f>
        <v>4923</v>
      </c>
      <c r="H108" s="17">
        <f>'Segment - Collins Aerospace'!H153</f>
        <v>1307</v>
      </c>
      <c r="I108" s="17">
        <f>'Segment - Collins Aerospace'!I153</f>
        <v>1306</v>
      </c>
      <c r="J108" s="30">
        <f>'Segment - Collins Aerospace'!J153</f>
        <v>1356.7841153919999</v>
      </c>
      <c r="K108" s="1"/>
      <c r="L108" s="1"/>
    </row>
    <row r="109" ht="15" customHeight="1">
      <c r="A109" s="1"/>
      <c r="B109" s="1" t="s">
        <v>372</v>
      </c>
      <c r="C109" s="17">
        <f>'Segment - Pratt &amp; Whitney'!C150</f>
        <v>580</v>
      </c>
      <c r="D109" s="17">
        <f>'Segment - Pratt &amp; Whitney'!D150</f>
        <v>492</v>
      </c>
      <c r="E109" s="17">
        <f>'Segment - Pratt &amp; Whitney'!E150</f>
        <v>751</v>
      </c>
      <c r="F109" s="17">
        <f>'Segment - Pratt &amp; Whitney'!F150</f>
        <v>773</v>
      </c>
      <c r="G109" s="17">
        <f>'Segment - Pratt &amp; Whitney'!G150</f>
        <v>2596</v>
      </c>
      <c r="H109" s="17">
        <f>'Segment - Pratt &amp; Whitney'!H150</f>
        <v>710</v>
      </c>
      <c r="I109" s="17">
        <f>'Segment - Pratt &amp; Whitney'!I150</f>
        <v>738</v>
      </c>
      <c r="J109" s="30">
        <f>'Segment - Pratt &amp; Whitney'!J150</f>
        <v>765.503281086984</v>
      </c>
      <c r="K109" s="1"/>
      <c r="L109" s="1"/>
    </row>
    <row r="110" ht="15" customHeight="1">
      <c r="A110" s="1"/>
      <c r="B110" s="1" t="s">
        <v>373</v>
      </c>
      <c r="C110" s="17">
        <f>'Segment - Raytheon'!C141</f>
        <v>678</v>
      </c>
      <c r="D110" s="17">
        <f>'Segment - Raytheon'!D141</f>
        <v>805</v>
      </c>
      <c r="E110" s="17">
        <f>'Segment - Raytheon'!E141</f>
        <v>859</v>
      </c>
      <c r="F110" s="17">
        <f>'Segment - Raytheon'!F141</f>
        <v>885</v>
      </c>
      <c r="G110" s="17">
        <f>'Segment - Raytheon'!G141</f>
        <v>3227</v>
      </c>
      <c r="H110" s="17">
        <f>'Segment - Raytheon'!H141</f>
        <v>841</v>
      </c>
      <c r="I110" s="17">
        <f>'Segment - Raytheon'!I141</f>
        <v>1042</v>
      </c>
      <c r="J110" s="30">
        <f>'Segment - Raytheon'!J141</f>
        <v>965.4999999999999</v>
      </c>
      <c r="K110" s="1"/>
      <c r="L110" s="1"/>
    </row>
    <row r="111" ht="15" customHeight="1">
      <c r="A111" s="1"/>
      <c r="B111" s="4" t="s">
        <v>374</v>
      </c>
      <c r="C111" s="33">
        <f t="shared" si="29" ref="C111:J125">C108+C109+C110</f>
        <v>2346</v>
      </c>
      <c r="D111" s="33">
        <f t="shared" si="29"/>
        <v>2470</v>
      </c>
      <c r="E111" s="33">
        <f t="shared" si="29"/>
        <v>2870</v>
      </c>
      <c r="F111" s="33">
        <f t="shared" si="29"/>
        <v>3060</v>
      </c>
      <c r="G111" s="33">
        <f t="shared" si="29"/>
        <v>10746</v>
      </c>
      <c r="H111" s="33">
        <f t="shared" si="29"/>
        <v>2858</v>
      </c>
      <c r="I111" s="33">
        <f t="shared" si="29"/>
        <v>3086</v>
      </c>
      <c r="J111" s="34">
        <f t="shared" si="29"/>
        <v>3087.7873964789837</v>
      </c>
      <c r="K111" s="1"/>
      <c r="L111" s="1"/>
    </row>
    <row r="112" ht="15" customHeight="1">
      <c r="A112" s="1"/>
      <c r="B112" s="1" t="s">
        <v>375</v>
      </c>
      <c r="C112" s="35">
        <v>12</v>
      </c>
      <c r="D112" s="35">
        <v>24</v>
      </c>
      <c r="E112" s="35">
        <v>-14</v>
      </c>
      <c r="F112" s="35">
        <v>32</v>
      </c>
      <c r="G112" s="18">
        <f t="shared" si="5"/>
        <v>54</v>
      </c>
      <c r="H112" s="35">
        <v>38</v>
      </c>
      <c r="I112" s="35">
        <v>98</v>
      </c>
      <c r="J112" s="36">
        <f>J130+J147</f>
        <v>15</v>
      </c>
      <c r="K112" s="1" t="s">
        <v>95</v>
      </c>
      <c r="L112" s="1"/>
    </row>
    <row r="113" ht="15" customHeight="1">
      <c r="A113" s="1"/>
      <c r="B113" s="1" t="s">
        <v>376</v>
      </c>
      <c r="C113" s="35">
        <v>-38</v>
      </c>
      <c r="D113" s="35">
        <v>-47</v>
      </c>
      <c r="E113" s="35">
        <v>-25</v>
      </c>
      <c r="F113" s="35">
        <v>-138</v>
      </c>
      <c r="G113" s="18">
        <f t="shared" si="5"/>
        <v>-248</v>
      </c>
      <c r="H113" s="35">
        <v>-42</v>
      </c>
      <c r="I113" s="35">
        <v>-70</v>
      </c>
      <c r="J113" s="36">
        <f>J133+J144+J150</f>
        <v>-55</v>
      </c>
      <c r="K113" s="1" t="s">
        <v>95</v>
      </c>
      <c r="L113" s="1"/>
    </row>
    <row r="114" ht="15" customHeight="1">
      <c r="A114" s="1"/>
      <c r="B114" s="1" t="s">
        <v>377</v>
      </c>
      <c r="C114" s="35">
        <v>185</v>
      </c>
      <c r="D114" s="35">
        <v>186</v>
      </c>
      <c r="E114" s="35">
        <v>199</v>
      </c>
      <c r="F114" s="35">
        <v>183</v>
      </c>
      <c r="G114" s="18">
        <f t="shared" si="5"/>
        <v>753</v>
      </c>
      <c r="H114" s="35">
        <v>172</v>
      </c>
      <c r="I114" s="35">
        <v>171</v>
      </c>
      <c r="J114" s="30">
        <f>(Guidance!G41-H114-I114)/2</f>
        <v>153.5</v>
      </c>
      <c r="K114" s="1" t="s">
        <v>95</v>
      </c>
      <c r="L114" s="1" t="s">
        <v>378</v>
      </c>
    </row>
    <row r="115" ht="15" customHeight="1">
      <c r="A115" s="1"/>
      <c r="B115" s="5" t="s">
        <v>83</v>
      </c>
      <c r="C115" s="19"/>
      <c r="D115" s="19"/>
      <c r="E115" s="19"/>
      <c r="F115" s="19"/>
      <c r="G115" s="19"/>
      <c r="H115" s="19">
        <f t="shared" si="1"/>
        <v>-0.07027027027027022</v>
      </c>
      <c r="I115" s="19">
        <f t="shared" si="1"/>
        <v>-0.08064516129032262</v>
      </c>
      <c r="J115" s="32">
        <f t="shared" si="1"/>
        <v>-0.22864321608040206</v>
      </c>
      <c r="K115" s="1"/>
      <c r="L115" s="1"/>
    </row>
    <row r="116" ht="15" customHeight="1">
      <c r="A116" s="1"/>
      <c r="B116" s="1" t="s">
        <v>84</v>
      </c>
      <c r="C116" s="18"/>
      <c r="D116" s="18">
        <f t="shared" si="2"/>
        <v>1</v>
      </c>
      <c r="E116" s="18">
        <f t="shared" si="2"/>
        <v>13</v>
      </c>
      <c r="F116" s="18">
        <f t="shared" si="2"/>
        <v>-16</v>
      </c>
      <c r="G116" s="18"/>
      <c r="H116" s="18">
        <f t="shared" si="3"/>
        <v>-11</v>
      </c>
      <c r="I116" s="18">
        <f t="shared" si="2"/>
        <v>-1</v>
      </c>
      <c r="J116" s="36">
        <f t="shared" si="2"/>
        <v>-17.5</v>
      </c>
      <c r="K116" s="1"/>
      <c r="L116" s="1"/>
    </row>
    <row r="117" ht="15" customHeight="1">
      <c r="A117" s="1"/>
      <c r="B117" s="1" t="s">
        <v>379</v>
      </c>
      <c r="C117" s="35">
        <v>-470</v>
      </c>
      <c r="D117" s="35">
        <v>-487</v>
      </c>
      <c r="E117" s="35">
        <v>-507</v>
      </c>
      <c r="F117" s="35">
        <v>-541</v>
      </c>
      <c r="G117" s="18">
        <f t="shared" si="5"/>
        <v>-2005</v>
      </c>
      <c r="H117" s="35">
        <v>-471</v>
      </c>
      <c r="I117" s="35">
        <v>-474</v>
      </c>
      <c r="J117" s="42">
        <v>-475</v>
      </c>
      <c r="K117" s="1" t="s">
        <v>95</v>
      </c>
      <c r="L117" s="1" t="s">
        <v>380</v>
      </c>
    </row>
    <row r="118" ht="15" customHeight="1">
      <c r="A118" s="1"/>
      <c r="B118" s="5" t="s">
        <v>83</v>
      </c>
      <c r="C118" s="19"/>
      <c r="D118" s="19"/>
      <c r="E118" s="19"/>
      <c r="F118" s="19"/>
      <c r="G118" s="19"/>
      <c r="H118" s="19">
        <f t="shared" si="1"/>
        <v>0.0021276595744681437</v>
      </c>
      <c r="I118" s="19">
        <f t="shared" si="1"/>
        <v>-0.026694045174537995</v>
      </c>
      <c r="J118" s="32">
        <f t="shared" si="1"/>
        <v>-0.06311637080867849</v>
      </c>
      <c r="K118" s="1"/>
      <c r="L118" s="1"/>
    </row>
    <row r="119" ht="15" customHeight="1">
      <c r="A119" s="1"/>
      <c r="B119" s="1" t="s">
        <v>84</v>
      </c>
      <c r="C119" s="18"/>
      <c r="D119" s="18">
        <f t="shared" si="2"/>
        <v>-17</v>
      </c>
      <c r="E119" s="18">
        <f t="shared" si="2"/>
        <v>-20</v>
      </c>
      <c r="F119" s="18">
        <f t="shared" si="2"/>
        <v>-34</v>
      </c>
      <c r="G119" s="18"/>
      <c r="H119" s="18">
        <f t="shared" si="3"/>
        <v>70</v>
      </c>
      <c r="I119" s="18">
        <f t="shared" si="2"/>
        <v>-3</v>
      </c>
      <c r="J119" s="36">
        <f t="shared" si="2"/>
        <v>-1</v>
      </c>
      <c r="K119" s="1"/>
      <c r="L119" s="1"/>
    </row>
    <row r="120" ht="15" customHeight="1">
      <c r="A120" s="1"/>
      <c r="B120" s="4" t="s">
        <v>381</v>
      </c>
      <c r="C120" s="33">
        <f t="shared" si="30" ref="C120:J120">C111+C112+C113+C114+C117</f>
        <v>2035</v>
      </c>
      <c r="D120" s="33">
        <f t="shared" si="30"/>
        <v>2146</v>
      </c>
      <c r="E120" s="33">
        <f t="shared" si="30"/>
        <v>2523</v>
      </c>
      <c r="F120" s="33">
        <f t="shared" si="30"/>
        <v>2596</v>
      </c>
      <c r="G120" s="33">
        <f t="shared" si="30"/>
        <v>9300</v>
      </c>
      <c r="H120" s="33">
        <f t="shared" si="30"/>
        <v>2555</v>
      </c>
      <c r="I120" s="33">
        <f t="shared" si="30"/>
        <v>2811</v>
      </c>
      <c r="J120" s="34">
        <f t="shared" si="30"/>
        <v>2726.2873964789837</v>
      </c>
      <c r="K120" s="1"/>
      <c r="L120" s="1"/>
    </row>
    <row r="121" ht="15" customHeight="1">
      <c r="A121" s="1"/>
      <c r="B121" s="1" t="s">
        <v>382</v>
      </c>
      <c r="C121" s="18">
        <f t="shared" si="31" ref="C121:I121">C120-C58</f>
        <v>0</v>
      </c>
      <c r="D121" s="18">
        <f t="shared" si="31"/>
        <v>0</v>
      </c>
      <c r="E121" s="18">
        <f t="shared" si="31"/>
        <v>0</v>
      </c>
      <c r="F121" s="18">
        <f t="shared" si="31"/>
        <v>0</v>
      </c>
      <c r="G121" s="18">
        <f t="shared" si="31"/>
        <v>0</v>
      </c>
      <c r="H121" s="18">
        <f t="shared" si="31"/>
        <v>0</v>
      </c>
      <c r="I121" s="18">
        <f t="shared" si="31"/>
        <v>0</v>
      </c>
      <c r="J121" s="36"/>
      <c r="K121" s="1"/>
      <c r="L121" s="1"/>
    </row>
    <row r="122" ht="15" customHeight="1">
      <c r="A122" s="1"/>
      <c r="B122" s="1" t="s">
        <v>383</v>
      </c>
      <c r="C122" s="17">
        <f>'Segment - Collins Aerospace'!C141</f>
        <v>1227</v>
      </c>
      <c r="D122" s="17">
        <f>'Segment - Collins Aerospace'!D141</f>
        <v>1249</v>
      </c>
      <c r="E122" s="17">
        <f>'Segment - Collins Aerospace'!E141</f>
        <v>1194</v>
      </c>
      <c r="F122" s="17">
        <f>'Segment - Collins Aerospace'!F141</f>
        <v>1223</v>
      </c>
      <c r="G122" s="17">
        <f>'Segment - Collins Aerospace'!G141</f>
        <v>4893</v>
      </c>
      <c r="H122" s="17">
        <f>'Segment - Collins Aerospace'!H141</f>
        <v>1298</v>
      </c>
      <c r="I122" s="17">
        <f>'Segment - Collins Aerospace'!I141</f>
        <v>1370</v>
      </c>
      <c r="J122" s="30">
        <f>'Segment - Collins Aerospace'!J141</f>
        <v>1386.7841153919999</v>
      </c>
      <c r="K122" s="1"/>
      <c r="L122" s="1"/>
    </row>
    <row r="123" ht="15" customHeight="1">
      <c r="A123" s="1"/>
      <c r="B123" s="1" t="s">
        <v>384</v>
      </c>
      <c r="C123" s="17">
        <f>'Segment - Pratt &amp; Whitney'!C138</f>
        <v>590</v>
      </c>
      <c r="D123" s="17">
        <f>'Segment - Pratt &amp; Whitney'!D138</f>
        <v>608</v>
      </c>
      <c r="E123" s="17">
        <f>'Segment - Pratt &amp; Whitney'!E138</f>
        <v>751</v>
      </c>
      <c r="F123" s="17">
        <f>'Segment - Pratt &amp; Whitney'!F138</f>
        <v>776</v>
      </c>
      <c r="G123" s="17">
        <f>'Segment - Pratt &amp; Whitney'!G138</f>
        <v>2725</v>
      </c>
      <c r="H123" s="17">
        <f>'Segment - Pratt &amp; Whitney'!H138</f>
        <v>711</v>
      </c>
      <c r="I123" s="17">
        <f>'Segment - Pratt &amp; Whitney'!I138</f>
        <v>740</v>
      </c>
      <c r="J123" s="30">
        <f>'Segment - Pratt &amp; Whitney'!J138</f>
        <v>767.503281086984</v>
      </c>
      <c r="K123" s="1"/>
      <c r="L123" s="1"/>
    </row>
    <row r="124" ht="15" customHeight="1">
      <c r="A124" s="1"/>
      <c r="B124" s="1" t="s">
        <v>385</v>
      </c>
      <c r="C124" s="17">
        <f>'Segment - Raytheon'!C129</f>
        <v>678</v>
      </c>
      <c r="D124" s="17">
        <f>'Segment - Raytheon'!D129</f>
        <v>809</v>
      </c>
      <c r="E124" s="17">
        <f>'Segment - Raytheon'!E129</f>
        <v>859</v>
      </c>
      <c r="F124" s="17">
        <f>'Segment - Raytheon'!F129</f>
        <v>885</v>
      </c>
      <c r="G124" s="17">
        <f>'Segment - Raytheon'!G129</f>
        <v>3231</v>
      </c>
      <c r="H124" s="17">
        <f>'Segment - Raytheon'!H129</f>
        <v>845</v>
      </c>
      <c r="I124" s="17">
        <f>'Segment - Raytheon'!I129</f>
        <v>1043</v>
      </c>
      <c r="J124" s="30">
        <f>'Segment - Raytheon'!J129</f>
        <v>967.4999999999999</v>
      </c>
      <c r="K124" s="1"/>
      <c r="L124" s="1"/>
    </row>
    <row r="125" ht="15" customHeight="1">
      <c r="A125" s="1"/>
      <c r="B125" s="4" t="s">
        <v>386</v>
      </c>
      <c r="C125" s="33">
        <f t="shared" si="29"/>
        <v>2495</v>
      </c>
      <c r="D125" s="33">
        <f t="shared" si="29"/>
        <v>2666</v>
      </c>
      <c r="E125" s="33">
        <f t="shared" si="29"/>
        <v>2804</v>
      </c>
      <c r="F125" s="33">
        <f t="shared" si="29"/>
        <v>2884</v>
      </c>
      <c r="G125" s="33">
        <f t="shared" si="29"/>
        <v>10849</v>
      </c>
      <c r="H125" s="33">
        <f t="shared" si="29"/>
        <v>2854</v>
      </c>
      <c r="I125" s="33">
        <f t="shared" si="29"/>
        <v>3153</v>
      </c>
      <c r="J125" s="34">
        <f t="shared" si="29"/>
        <v>3121.7873964789837</v>
      </c>
      <c r="K125" s="1"/>
      <c r="L125" s="1"/>
    </row>
    <row r="126" ht="15" customHeight="1">
      <c r="A126" s="1"/>
      <c r="B126" s="5" t="s">
        <v>73</v>
      </c>
      <c r="C126" s="19"/>
      <c r="D126" s="19"/>
      <c r="E126" s="19"/>
      <c r="F126" s="19"/>
      <c r="G126" s="19"/>
      <c r="H126" s="19">
        <f t="shared" si="1"/>
        <v>0.1438877755511021</v>
      </c>
      <c r="I126" s="19">
        <f t="shared" si="1"/>
        <v>0.18267066766691675</v>
      </c>
      <c r="J126" s="32">
        <f t="shared" si="1"/>
        <v>0.11333359360876738</v>
      </c>
      <c r="K126" s="1"/>
      <c r="L126" s="1"/>
    </row>
    <row r="127" ht="15" customHeight="1">
      <c r="A127" s="1"/>
      <c r="B127" s="5" t="s">
        <v>387</v>
      </c>
      <c r="C127" s="28">
        <f>C125/'Revenue summary'!C23</f>
        <v>0.11924676193662477</v>
      </c>
      <c r="D127" s="28">
        <f>D125/'Revenue summary'!D23</f>
        <v>0.11979868787633684</v>
      </c>
      <c r="E127" s="28">
        <f>E125/'Revenue summary'!E23</f>
        <v>0.12144311143834727</v>
      </c>
      <c r="F127" s="28">
        <f>F125/'Revenue summary'!F23</f>
        <v>0.11587448270320222</v>
      </c>
      <c r="G127" s="28">
        <f>G125/'Revenue summary'!G23</f>
        <v>0.11901705885579507</v>
      </c>
      <c r="H127" s="28">
        <f>H125/'Revenue summary'!H23</f>
        <v>0.1256161971830986</v>
      </c>
      <c r="I127" s="28">
        <f>I125/'Revenue summary'!I23</f>
        <v>0.12429044465468307</v>
      </c>
      <c r="J127" s="31">
        <f>J125/'Revenue summary'!J23</f>
        <v>0.12552280898788076</v>
      </c>
      <c r="K127" s="1"/>
      <c r="L127" s="1"/>
    </row>
    <row r="128" ht="15" customHeight="1">
      <c r="A128" s="1"/>
      <c r="B128" s="5" t="s">
        <v>143</v>
      </c>
      <c r="C128" s="48"/>
      <c r="D128" s="48"/>
      <c r="E128" s="48"/>
      <c r="F128" s="48"/>
      <c r="G128" s="48"/>
      <c r="H128" s="48">
        <f t="shared" si="9"/>
        <v>63.694352464738344</v>
      </c>
      <c r="I128" s="48">
        <f t="shared" si="9"/>
        <v>44.917567783462346</v>
      </c>
      <c r="J128" s="49">
        <f t="shared" si="9"/>
        <v>40.796975495334955</v>
      </c>
      <c r="K128" s="1"/>
      <c r="L128" s="1"/>
    </row>
    <row r="129" ht="15" customHeight="1">
      <c r="A129" s="1"/>
      <c r="B129" s="5" t="s">
        <v>128</v>
      </c>
      <c r="C129" s="48"/>
      <c r="D129" s="48">
        <f t="shared" si="10"/>
        <v>5.519259397120669</v>
      </c>
      <c r="E129" s="48">
        <f t="shared" si="10"/>
        <v>16.4442356201043</v>
      </c>
      <c r="F129" s="48">
        <f t="shared" si="10"/>
        <v>-55.68628735145048</v>
      </c>
      <c r="G129" s="48"/>
      <c r="H129" s="48">
        <f t="shared" si="12"/>
        <v>97.41714479896385</v>
      </c>
      <c r="I129" s="48">
        <f t="shared" si="10"/>
        <v>-13.25752528415533</v>
      </c>
      <c r="J129" s="49">
        <f t="shared" si="10"/>
        <v>12.323643331976914</v>
      </c>
      <c r="K129" s="1"/>
      <c r="L129" s="1"/>
    </row>
    <row r="130" ht="15" customHeight="1">
      <c r="A130" s="1"/>
      <c r="B130" s="1" t="s">
        <v>388</v>
      </c>
      <c r="C130" s="35">
        <v>12</v>
      </c>
      <c r="D130" s="35">
        <v>-17</v>
      </c>
      <c r="E130" s="35">
        <v>-14</v>
      </c>
      <c r="F130" s="35">
        <v>32</v>
      </c>
      <c r="G130" s="18">
        <f t="shared" si="5"/>
        <v>13</v>
      </c>
      <c r="H130" s="35">
        <v>38</v>
      </c>
      <c r="I130" s="35">
        <v>28</v>
      </c>
      <c r="J130" s="42">
        <v>15</v>
      </c>
      <c r="K130" s="1" t="s">
        <v>95</v>
      </c>
      <c r="L130" s="1" t="s">
        <v>340</v>
      </c>
    </row>
    <row r="131" ht="15" customHeight="1">
      <c r="A131" s="1"/>
      <c r="B131" s="5" t="s">
        <v>83</v>
      </c>
      <c r="C131" s="43"/>
      <c r="D131" s="43"/>
      <c r="E131" s="43"/>
      <c r="F131" s="43"/>
      <c r="G131" s="43"/>
      <c r="H131" s="43">
        <f t="shared" si="1"/>
        <v>2.1666666666666665</v>
      </c>
      <c r="I131" s="43" t="str">
        <f t="shared" si="1"/>
        <v>n/m</v>
      </c>
      <c r="J131" s="44" t="str">
        <f t="shared" si="1"/>
        <v>n/m</v>
      </c>
      <c r="K131" s="1"/>
      <c r="L131" s="1"/>
    </row>
    <row r="132" ht="15" customHeight="1">
      <c r="A132" s="1"/>
      <c r="B132" s="1" t="s">
        <v>84</v>
      </c>
      <c r="C132" s="18"/>
      <c r="D132" s="18">
        <f t="shared" si="2"/>
        <v>-29</v>
      </c>
      <c r="E132" s="18">
        <f t="shared" si="2"/>
        <v>3</v>
      </c>
      <c r="F132" s="18">
        <f t="shared" si="2"/>
        <v>46</v>
      </c>
      <c r="G132" s="18"/>
      <c r="H132" s="18">
        <f t="shared" si="3"/>
        <v>6</v>
      </c>
      <c r="I132" s="18">
        <f t="shared" si="2"/>
        <v>-10</v>
      </c>
      <c r="J132" s="36">
        <f t="shared" si="2"/>
        <v>-13</v>
      </c>
      <c r="K132" s="1"/>
      <c r="L132" s="1"/>
    </row>
    <row r="133" ht="15" customHeight="1">
      <c r="A133" s="1"/>
      <c r="B133" s="1" t="s">
        <v>389</v>
      </c>
      <c r="C133" s="35">
        <v>-29</v>
      </c>
      <c r="D133" s="35">
        <v>-42</v>
      </c>
      <c r="E133" s="35">
        <v>-23</v>
      </c>
      <c r="F133" s="35">
        <v>-132</v>
      </c>
      <c r="G133" s="18">
        <f t="shared" si="5"/>
        <v>-226</v>
      </c>
      <c r="H133" s="35">
        <v>-41</v>
      </c>
      <c r="I133" s="35">
        <v>7</v>
      </c>
      <c r="J133" s="42">
        <v>-50</v>
      </c>
      <c r="K133" s="1" t="s">
        <v>95</v>
      </c>
      <c r="L133" s="1" t="s">
        <v>390</v>
      </c>
    </row>
    <row r="134" ht="15" customHeight="1">
      <c r="A134" s="1"/>
      <c r="B134" s="5" t="s">
        <v>83</v>
      </c>
      <c r="C134" s="43"/>
      <c r="D134" s="43"/>
      <c r="E134" s="43"/>
      <c r="F134" s="43"/>
      <c r="G134" s="43"/>
      <c r="H134" s="43">
        <f t="shared" si="1"/>
        <v>0.4137931034482758</v>
      </c>
      <c r="I134" s="43" t="str">
        <f t="shared" si="1"/>
        <v>n/m</v>
      </c>
      <c r="J134" s="44">
        <f t="shared" si="1"/>
        <v>1.1739130434782608</v>
      </c>
      <c r="K134" s="1"/>
      <c r="L134" s="1"/>
    </row>
    <row r="135" ht="15" customHeight="1">
      <c r="A135" s="1"/>
      <c r="B135" s="1" t="s">
        <v>84</v>
      </c>
      <c r="C135" s="18"/>
      <c r="D135" s="18">
        <f t="shared" si="2"/>
        <v>-13</v>
      </c>
      <c r="E135" s="18">
        <f t="shared" si="2"/>
        <v>19</v>
      </c>
      <c r="F135" s="18">
        <f t="shared" si="2"/>
        <v>-109</v>
      </c>
      <c r="G135" s="18"/>
      <c r="H135" s="18">
        <f t="shared" si="3"/>
        <v>91</v>
      </c>
      <c r="I135" s="18">
        <f t="shared" si="2"/>
        <v>48</v>
      </c>
      <c r="J135" s="36">
        <f t="shared" si="2"/>
        <v>-57</v>
      </c>
      <c r="K135" s="1"/>
      <c r="L135" s="1"/>
    </row>
    <row r="136" ht="15" customHeight="1">
      <c r="A136" s="1"/>
      <c r="B136" s="4" t="s">
        <v>226</v>
      </c>
      <c r="C136" s="33">
        <f t="shared" si="32" ref="C136:J136">C125+C130+C133+C114</f>
        <v>2663</v>
      </c>
      <c r="D136" s="33">
        <f t="shared" si="32"/>
        <v>2793</v>
      </c>
      <c r="E136" s="33">
        <f t="shared" si="32"/>
        <v>2966</v>
      </c>
      <c r="F136" s="33">
        <f t="shared" si="32"/>
        <v>2967</v>
      </c>
      <c r="G136" s="33">
        <f t="shared" si="32"/>
        <v>11389</v>
      </c>
      <c r="H136" s="33">
        <f t="shared" si="32"/>
        <v>3023</v>
      </c>
      <c r="I136" s="33">
        <f t="shared" si="32"/>
        <v>3359</v>
      </c>
      <c r="J136" s="34">
        <f t="shared" si="32"/>
        <v>3240.2873964789837</v>
      </c>
      <c r="K136" s="1"/>
      <c r="L136" s="1"/>
    </row>
    <row r="137" ht="15" customHeight="1">
      <c r="A137" s="1"/>
      <c r="B137" s="5" t="s">
        <v>73</v>
      </c>
      <c r="C137" s="19"/>
      <c r="D137" s="19"/>
      <c r="E137" s="19"/>
      <c r="F137" s="19"/>
      <c r="G137" s="19"/>
      <c r="H137" s="19">
        <f t="shared" si="1"/>
        <v>0.1351858805858055</v>
      </c>
      <c r="I137" s="19">
        <f t="shared" si="1"/>
        <v>0.20264948084496948</v>
      </c>
      <c r="J137" s="32">
        <f t="shared" si="1"/>
        <v>0.09247720717430341</v>
      </c>
      <c r="K137" s="1"/>
      <c r="L137" s="1"/>
    </row>
    <row r="138" ht="15" customHeight="1">
      <c r="A138" s="1"/>
      <c r="B138" s="1" t="s">
        <v>90</v>
      </c>
      <c r="C138" s="18"/>
      <c r="D138" s="18">
        <f t="shared" si="2"/>
        <v>130</v>
      </c>
      <c r="E138" s="18">
        <f t="shared" si="2"/>
        <v>173</v>
      </c>
      <c r="F138" s="18">
        <f t="shared" si="2"/>
        <v>1</v>
      </c>
      <c r="G138" s="18"/>
      <c r="H138" s="18">
        <f t="shared" si="3"/>
        <v>56</v>
      </c>
      <c r="I138" s="18">
        <f t="shared" si="2"/>
        <v>336</v>
      </c>
      <c r="J138" s="36">
        <f t="shared" si="2"/>
        <v>-118.71260352101626</v>
      </c>
      <c r="K138" s="1"/>
      <c r="L138" s="1"/>
    </row>
    <row r="139" ht="15" customHeight="1">
      <c r="A139" s="1"/>
      <c r="B139" s="5" t="s">
        <v>391</v>
      </c>
      <c r="C139" s="19">
        <f t="shared" si="33" ref="C139:J139">C136/C19</f>
        <v>0.131143504382941</v>
      </c>
      <c r="D139" s="19">
        <f t="shared" si="33"/>
        <v>0.1294193966915342</v>
      </c>
      <c r="E139" s="19">
        <f t="shared" si="33"/>
        <v>0.1319512412136311</v>
      </c>
      <c r="F139" s="19">
        <f t="shared" si="33"/>
        <v>0.12241109002392937</v>
      </c>
      <c r="G139" s="19">
        <f t="shared" si="33"/>
        <v>0.12853966569980702</v>
      </c>
      <c r="H139" s="19">
        <f t="shared" si="33"/>
        <v>0.13693603913752492</v>
      </c>
      <c r="I139" s="19">
        <f t="shared" si="33"/>
        <v>0.1359478711348551</v>
      </c>
      <c r="J139" s="32">
        <f t="shared" si="33"/>
        <v>0.13375482084450518</v>
      </c>
      <c r="K139" s="1"/>
      <c r="L139" s="1"/>
    </row>
    <row r="140" ht="15" customHeight="1">
      <c r="A140" s="1"/>
      <c r="B140" s="5" t="s">
        <v>143</v>
      </c>
      <c r="C140" s="48"/>
      <c r="D140" s="48"/>
      <c r="E140" s="48"/>
      <c r="F140" s="48"/>
      <c r="G140" s="48"/>
      <c r="H140" s="48">
        <f t="shared" si="9"/>
        <v>57.92534754583911</v>
      </c>
      <c r="I140" s="48">
        <f t="shared" si="9"/>
        <v>65.28474443320886</v>
      </c>
      <c r="J140" s="49">
        <f t="shared" si="9"/>
        <v>18.03579630874075</v>
      </c>
      <c r="K140" s="1"/>
      <c r="L140" s="1"/>
    </row>
    <row r="141" ht="15" customHeight="1">
      <c r="A141" s="1"/>
      <c r="B141" s="5" t="s">
        <v>128</v>
      </c>
      <c r="C141" s="48"/>
      <c r="D141" s="48">
        <f t="shared" si="10"/>
        <v>-17.241076914067953</v>
      </c>
      <c r="E141" s="48">
        <f t="shared" si="10"/>
        <v>25.31844522096899</v>
      </c>
      <c r="F141" s="48">
        <f t="shared" si="10"/>
        <v>-95.40151189701737</v>
      </c>
      <c r="G141" s="48"/>
      <c r="H141" s="48">
        <f t="shared" si="12"/>
        <v>145.24949113595545</v>
      </c>
      <c r="I141" s="48">
        <f t="shared" si="10"/>
        <v>-9.881680026698202</v>
      </c>
      <c r="J141" s="49">
        <f t="shared" si="10"/>
        <v>-21.93050290349913</v>
      </c>
      <c r="K141" s="1"/>
      <c r="L141" s="1"/>
    </row>
    <row r="142" ht="15" customHeight="1">
      <c r="A142" s="1"/>
      <c r="B142" s="1" t="s">
        <v>392</v>
      </c>
      <c r="C142" s="35">
        <v>2663</v>
      </c>
      <c r="D142" s="35">
        <v>2793</v>
      </c>
      <c r="E142" s="35">
        <v>2966</v>
      </c>
      <c r="F142" s="35">
        <v>2967</v>
      </c>
      <c r="G142" s="18">
        <f t="shared" si="5"/>
        <v>11389</v>
      </c>
      <c r="H142" s="35">
        <v>3023</v>
      </c>
      <c r="I142" s="35">
        <v>3359</v>
      </c>
      <c r="J142" s="36"/>
      <c r="K142" s="1" t="s">
        <v>95</v>
      </c>
      <c r="L142" s="1"/>
    </row>
    <row r="143" ht="15" customHeight="1">
      <c r="A143" s="1"/>
      <c r="B143" s="1" t="s">
        <v>393</v>
      </c>
      <c r="C143" s="18">
        <f t="shared" si="34" ref="C143:I143">C136-C142</f>
        <v>0</v>
      </c>
      <c r="D143" s="18">
        <f t="shared" si="34"/>
        <v>0</v>
      </c>
      <c r="E143" s="18">
        <f t="shared" si="34"/>
        <v>0</v>
      </c>
      <c r="F143" s="18">
        <f t="shared" si="34"/>
        <v>0</v>
      </c>
      <c r="G143" s="18">
        <f t="shared" si="34"/>
        <v>0</v>
      </c>
      <c r="H143" s="18">
        <f t="shared" si="34"/>
        <v>0</v>
      </c>
      <c r="I143" s="18">
        <f t="shared" si="34"/>
        <v>0</v>
      </c>
      <c r="J143" s="36"/>
      <c r="K143" s="1"/>
      <c r="L143" s="1"/>
    </row>
    <row r="144" ht="15" customHeight="1">
      <c r="A144" s="1"/>
      <c r="B144" s="1" t="s">
        <v>394</v>
      </c>
      <c r="C144" s="35">
        <v>-9</v>
      </c>
      <c r="D144" s="35">
        <v>0</v>
      </c>
      <c r="E144" s="35">
        <v>-2</v>
      </c>
      <c r="F144" s="35">
        <v>-6</v>
      </c>
      <c r="G144" s="18">
        <f t="shared" si="5"/>
        <v>-17</v>
      </c>
      <c r="H144" s="35">
        <v>-1</v>
      </c>
      <c r="I144" s="35">
        <v>-8</v>
      </c>
      <c r="J144" s="42">
        <v>-5</v>
      </c>
      <c r="K144" s="1" t="s">
        <v>95</v>
      </c>
      <c r="L144" s="1" t="s">
        <v>340</v>
      </c>
    </row>
    <row r="145" ht="15" customHeight="1">
      <c r="A145" s="1"/>
      <c r="B145" s="5" t="s">
        <v>83</v>
      </c>
      <c r="C145" s="43"/>
      <c r="D145" s="43"/>
      <c r="E145" s="43"/>
      <c r="F145" s="43"/>
      <c r="G145" s="43"/>
      <c r="H145" s="43">
        <f t="shared" si="1"/>
        <v>-0.8888888888888888</v>
      </c>
      <c r="I145" s="43" t="str">
        <f t="shared" si="1"/>
        <v>n/m</v>
      </c>
      <c r="J145" s="44">
        <f t="shared" si="1"/>
        <v>1.5</v>
      </c>
      <c r="K145" s="1"/>
      <c r="L145" s="1"/>
    </row>
    <row r="146" ht="15" customHeight="1">
      <c r="A146" s="1"/>
      <c r="B146" s="1" t="s">
        <v>84</v>
      </c>
      <c r="C146" s="18"/>
      <c r="D146" s="18">
        <f t="shared" si="2"/>
        <v>9</v>
      </c>
      <c r="E146" s="18">
        <f t="shared" si="2"/>
        <v>-2</v>
      </c>
      <c r="F146" s="18">
        <f t="shared" si="2"/>
        <v>-4</v>
      </c>
      <c r="G146" s="18"/>
      <c r="H146" s="18">
        <f t="shared" si="3"/>
        <v>5</v>
      </c>
      <c r="I146" s="18">
        <f t="shared" si="2"/>
        <v>-7</v>
      </c>
      <c r="J146" s="36">
        <f t="shared" si="2"/>
        <v>3</v>
      </c>
      <c r="K146" s="1"/>
      <c r="L146" s="1"/>
    </row>
    <row r="147" ht="15" customHeight="1">
      <c r="A147" s="1"/>
      <c r="B147" s="1" t="s">
        <v>395</v>
      </c>
      <c r="C147" s="35">
        <v>0</v>
      </c>
      <c r="D147" s="35">
        <v>41</v>
      </c>
      <c r="E147" s="35">
        <v>0</v>
      </c>
      <c r="F147" s="35">
        <v>0</v>
      </c>
      <c r="G147" s="18">
        <f t="shared" si="5"/>
        <v>41</v>
      </c>
      <c r="H147" s="35">
        <v>0</v>
      </c>
      <c r="I147" s="35">
        <v>70</v>
      </c>
      <c r="J147" s="42">
        <v>0</v>
      </c>
      <c r="K147" s="1" t="s">
        <v>278</v>
      </c>
      <c r="L147" s="1" t="s">
        <v>396</v>
      </c>
    </row>
    <row r="148" ht="15" customHeight="1">
      <c r="A148" s="1"/>
      <c r="B148" s="5" t="s">
        <v>83</v>
      </c>
      <c r="C148" s="43"/>
      <c r="D148" s="43"/>
      <c r="E148" s="43"/>
      <c r="F148" s="43"/>
      <c r="G148" s="43"/>
      <c r="H148" s="43" t="str">
        <f t="shared" si="1"/>
        <v>n/m</v>
      </c>
      <c r="I148" s="43">
        <f t="shared" si="1"/>
        <v>0.7073170731707317</v>
      </c>
      <c r="J148" s="44" t="str">
        <f t="shared" si="1"/>
        <v>n/m</v>
      </c>
      <c r="K148" s="1"/>
      <c r="L148" s="1"/>
    </row>
    <row r="149" ht="15" customHeight="1">
      <c r="A149" s="1"/>
      <c r="B149" s="1" t="s">
        <v>84</v>
      </c>
      <c r="C149" s="18"/>
      <c r="D149" s="18">
        <f t="shared" si="2"/>
        <v>41</v>
      </c>
      <c r="E149" s="18">
        <f t="shared" si="2"/>
        <v>-41</v>
      </c>
      <c r="F149" s="18">
        <f t="shared" si="2"/>
        <v>0</v>
      </c>
      <c r="G149" s="18"/>
      <c r="H149" s="18">
        <f t="shared" si="3"/>
        <v>0</v>
      </c>
      <c r="I149" s="18">
        <f t="shared" si="2"/>
        <v>70</v>
      </c>
      <c r="J149" s="36">
        <f t="shared" si="2"/>
        <v>-70</v>
      </c>
      <c r="K149" s="1"/>
      <c r="L149" s="1"/>
    </row>
    <row r="150" ht="15" customHeight="1">
      <c r="A150" s="1"/>
      <c r="B150" s="1" t="s">
        <v>397</v>
      </c>
      <c r="C150" s="35">
        <v>0</v>
      </c>
      <c r="D150" s="35">
        <v>-5</v>
      </c>
      <c r="E150" s="35">
        <v>0</v>
      </c>
      <c r="F150" s="35">
        <v>0</v>
      </c>
      <c r="G150" s="18">
        <f t="shared" si="5"/>
        <v>-5</v>
      </c>
      <c r="H150" s="35">
        <v>0</v>
      </c>
      <c r="I150" s="35">
        <v>-69</v>
      </c>
      <c r="J150" s="42">
        <v>0</v>
      </c>
      <c r="K150" s="1" t="s">
        <v>278</v>
      </c>
      <c r="L150" s="1" t="s">
        <v>398</v>
      </c>
    </row>
    <row r="151" ht="15" customHeight="1">
      <c r="A151" s="1"/>
      <c r="B151" s="5" t="s">
        <v>83</v>
      </c>
      <c r="C151" s="43"/>
      <c r="D151" s="43"/>
      <c r="E151" s="43"/>
      <c r="F151" s="43"/>
      <c r="G151" s="43"/>
      <c r="H151" s="43" t="str">
        <f t="shared" si="1"/>
        <v>n/m</v>
      </c>
      <c r="I151" s="43">
        <f t="shared" si="1"/>
        <v>12.8</v>
      </c>
      <c r="J151" s="44" t="str">
        <f t="shared" si="1"/>
        <v>n/m</v>
      </c>
      <c r="K151" s="1"/>
      <c r="L151" s="1"/>
    </row>
    <row r="152" ht="15" customHeight="1">
      <c r="A152" s="1"/>
      <c r="B152" s="1" t="s">
        <v>84</v>
      </c>
      <c r="C152" s="18"/>
      <c r="D152" s="18">
        <f t="shared" si="2"/>
        <v>-5</v>
      </c>
      <c r="E152" s="18">
        <f t="shared" si="2"/>
        <v>5</v>
      </c>
      <c r="F152" s="18">
        <f t="shared" si="2"/>
        <v>0</v>
      </c>
      <c r="G152" s="18"/>
      <c r="H152" s="18">
        <f t="shared" si="3"/>
        <v>0</v>
      </c>
      <c r="I152" s="18">
        <f t="shared" si="2"/>
        <v>-69</v>
      </c>
      <c r="J152" s="36">
        <f t="shared" si="2"/>
        <v>69</v>
      </c>
      <c r="K152" s="1"/>
      <c r="L152" s="1"/>
    </row>
    <row r="153" ht="15" customHeight="1">
      <c r="A153" s="1"/>
      <c r="B153" s="1" t="s">
        <v>399</v>
      </c>
      <c r="C153" s="18">
        <f t="shared" si="35" ref="C153:J153">C112-C130-C147</f>
        <v>0</v>
      </c>
      <c r="D153" s="18">
        <f t="shared" si="35"/>
        <v>0</v>
      </c>
      <c r="E153" s="18">
        <f t="shared" si="35"/>
        <v>0</v>
      </c>
      <c r="F153" s="18">
        <f t="shared" si="35"/>
        <v>0</v>
      </c>
      <c r="G153" s="18">
        <f t="shared" si="35"/>
        <v>0</v>
      </c>
      <c r="H153" s="18">
        <f t="shared" si="35"/>
        <v>0</v>
      </c>
      <c r="I153" s="18">
        <f t="shared" si="35"/>
        <v>0</v>
      </c>
      <c r="J153" s="36">
        <f t="shared" si="35"/>
        <v>0</v>
      </c>
      <c r="K153" s="1"/>
      <c r="L153" s="1"/>
    </row>
    <row r="154" ht="15" customHeight="1">
      <c r="A154" s="1"/>
      <c r="B154" s="1" t="s">
        <v>400</v>
      </c>
      <c r="C154" s="18">
        <f t="shared" si="36" ref="C154:J154">C113-C133-C144-C150</f>
        <v>0</v>
      </c>
      <c r="D154" s="18">
        <f t="shared" si="36"/>
        <v>0</v>
      </c>
      <c r="E154" s="18">
        <f t="shared" si="36"/>
        <v>0</v>
      </c>
      <c r="F154" s="18">
        <f t="shared" si="36"/>
        <v>0</v>
      </c>
      <c r="G154" s="18">
        <f t="shared" si="36"/>
        <v>0</v>
      </c>
      <c r="H154" s="18">
        <f t="shared" si="36"/>
        <v>0</v>
      </c>
      <c r="I154" s="18">
        <f t="shared" si="36"/>
        <v>0</v>
      </c>
      <c r="J154" s="36">
        <f t="shared" si="36"/>
        <v>0</v>
      </c>
      <c r="K154" s="1"/>
      <c r="L154" s="1"/>
    </row>
    <row r="155" ht="15" customHeight="1">
      <c r="A155" s="1"/>
      <c r="B155" s="1"/>
      <c r="C155" s="1"/>
      <c r="D155" s="1"/>
      <c r="E155" s="1"/>
      <c r="F155" s="1"/>
      <c r="G155" s="1"/>
      <c r="H155" s="1"/>
      <c r="I155" s="1"/>
      <c r="J155" s="29"/>
      <c r="K155" s="1"/>
      <c r="L155" s="1"/>
    </row>
    <row r="156" ht="15" customHeight="1">
      <c r="A156" s="1"/>
      <c r="B156" s="4" t="s">
        <v>401</v>
      </c>
      <c r="C156" s="1"/>
      <c r="D156" s="1"/>
      <c r="E156" s="1"/>
      <c r="F156" s="1"/>
      <c r="G156" s="1"/>
      <c r="H156" s="1"/>
      <c r="I156" s="1"/>
      <c r="J156" s="29"/>
      <c r="K156" s="1"/>
      <c r="L156" s="1"/>
    </row>
    <row r="157" ht="15" customHeight="1">
      <c r="A157" s="1"/>
      <c r="B157" s="4" t="s">
        <v>355</v>
      </c>
      <c r="C157" s="33">
        <f t="shared" si="37" ref="C157:J157">C87</f>
        <v>1535</v>
      </c>
      <c r="D157" s="33">
        <f t="shared" si="37"/>
        <v>1657</v>
      </c>
      <c r="E157" s="33">
        <f t="shared" si="37"/>
        <v>1918</v>
      </c>
      <c r="F157" s="33">
        <f t="shared" si="37"/>
        <v>1622</v>
      </c>
      <c r="G157" s="33">
        <f t="shared" si="37"/>
        <v>6732</v>
      </c>
      <c r="H157" s="33">
        <f t="shared" si="37"/>
        <v>2059</v>
      </c>
      <c r="I157" s="33">
        <f t="shared" si="37"/>
        <v>2139</v>
      </c>
      <c r="J157" s="34">
        <f t="shared" si="37"/>
        <v>2085.201196621569</v>
      </c>
      <c r="K157" s="1"/>
      <c r="L157" s="1"/>
    </row>
    <row r="158" ht="15" customHeight="1">
      <c r="A158" s="1"/>
      <c r="B158" s="1" t="s">
        <v>402</v>
      </c>
      <c r="C158" s="17">
        <f>'Segment - Collins Aerospace'!C147+'Segment - Pratt &amp; Whitney'!C144+'Segment - Raytheon'!C135+C144</f>
        <v>-132</v>
      </c>
      <c r="D158" s="17">
        <f>'Segment - Collins Aerospace'!D147+'Segment - Pratt &amp; Whitney'!D144+'Segment - Raytheon'!D135+D144</f>
        <v>-51</v>
      </c>
      <c r="E158" s="17">
        <f>'Segment - Collins Aerospace'!E147+'Segment - Pratt &amp; Whitney'!E144+'Segment - Raytheon'!E135+E144</f>
        <v>-19</v>
      </c>
      <c r="F158" s="17">
        <f>'Segment - Collins Aerospace'!F147+'Segment - Pratt &amp; Whitney'!F144+'Segment - Raytheon'!F135+F144</f>
        <v>-44</v>
      </c>
      <c r="G158" s="17">
        <f>'Segment - Collins Aerospace'!G147+'Segment - Pratt &amp; Whitney'!G144+'Segment - Raytheon'!G135+G144</f>
        <v>-246</v>
      </c>
      <c r="H158" s="17">
        <f>'Segment - Collins Aerospace'!H147+'Segment - Pratt &amp; Whitney'!H144+'Segment - Raytheon'!H135+H144</f>
        <v>3</v>
      </c>
      <c r="I158" s="17">
        <f>'Segment - Collins Aerospace'!I147+'Segment - Pratt &amp; Whitney'!I144+'Segment - Raytheon'!I135+I144</f>
        <v>-75</v>
      </c>
      <c r="J158" s="30">
        <f>'Segment - Collins Aerospace'!J147+'Segment - Pratt &amp; Whitney'!J144+'Segment - Raytheon'!J135+J144</f>
        <v>-39</v>
      </c>
      <c r="K158" s="1"/>
      <c r="L158" s="1"/>
    </row>
    <row r="159" ht="15" customHeight="1">
      <c r="A159" s="1"/>
      <c r="B159" s="5" t="s">
        <v>83</v>
      </c>
      <c r="C159" s="43"/>
      <c r="D159" s="43"/>
      <c r="E159" s="43"/>
      <c r="F159" s="43"/>
      <c r="G159" s="43"/>
      <c r="H159" s="43" t="str">
        <f t="shared" si="1"/>
        <v>n/m</v>
      </c>
      <c r="I159" s="43">
        <f t="shared" si="1"/>
        <v>0.47058823529411775</v>
      </c>
      <c r="J159" s="44">
        <f t="shared" si="1"/>
        <v>1.0526315789473686</v>
      </c>
      <c r="K159" s="1"/>
      <c r="L159" s="1"/>
    </row>
    <row r="160" ht="15" customHeight="1">
      <c r="A160" s="1"/>
      <c r="B160" s="1" t="s">
        <v>84</v>
      </c>
      <c r="C160" s="18"/>
      <c r="D160" s="18">
        <f t="shared" si="2"/>
        <v>81</v>
      </c>
      <c r="E160" s="18">
        <f t="shared" si="2"/>
        <v>32</v>
      </c>
      <c r="F160" s="18">
        <f t="shared" si="2"/>
        <v>-25</v>
      </c>
      <c r="G160" s="18"/>
      <c r="H160" s="18">
        <f t="shared" si="3"/>
        <v>47</v>
      </c>
      <c r="I160" s="18">
        <f t="shared" si="2"/>
        <v>-78</v>
      </c>
      <c r="J160" s="36">
        <f t="shared" si="2"/>
        <v>36</v>
      </c>
      <c r="K160" s="1"/>
      <c r="L160" s="1"/>
    </row>
    <row r="161" ht="15" customHeight="1">
      <c r="A161" s="1"/>
      <c r="B161" s="1" t="s">
        <v>379</v>
      </c>
      <c r="C161" s="18">
        <f t="shared" si="38" ref="C161:J161">C117</f>
        <v>-470</v>
      </c>
      <c r="D161" s="18">
        <f t="shared" si="38"/>
        <v>-487</v>
      </c>
      <c r="E161" s="18">
        <f t="shared" si="38"/>
        <v>-507</v>
      </c>
      <c r="F161" s="18">
        <f t="shared" si="38"/>
        <v>-541</v>
      </c>
      <c r="G161" s="18">
        <f t="shared" si="38"/>
        <v>-2005</v>
      </c>
      <c r="H161" s="18">
        <f t="shared" si="38"/>
        <v>-471</v>
      </c>
      <c r="I161" s="18">
        <f t="shared" si="38"/>
        <v>-474</v>
      </c>
      <c r="J161" s="36">
        <f t="shared" si="38"/>
        <v>-475</v>
      </c>
      <c r="K161" s="1"/>
      <c r="L161" s="1"/>
    </row>
    <row r="162" ht="15" customHeight="1">
      <c r="A162" s="1"/>
      <c r="B162" s="5" t="s">
        <v>83</v>
      </c>
      <c r="C162" s="19"/>
      <c r="D162" s="19"/>
      <c r="E162" s="19"/>
      <c r="F162" s="19"/>
      <c r="G162" s="19"/>
      <c r="H162" s="19">
        <f t="shared" si="1"/>
        <v>0.0021276595744681437</v>
      </c>
      <c r="I162" s="19">
        <f t="shared" si="1"/>
        <v>-0.026694045174537995</v>
      </c>
      <c r="J162" s="32">
        <f t="shared" si="1"/>
        <v>-0.06311637080867849</v>
      </c>
      <c r="K162" s="1"/>
      <c r="L162" s="1"/>
    </row>
    <row r="163" ht="15" customHeight="1">
      <c r="A163" s="1"/>
      <c r="B163" s="1" t="s">
        <v>84</v>
      </c>
      <c r="C163" s="18"/>
      <c r="D163" s="18">
        <f t="shared" si="2"/>
        <v>-17</v>
      </c>
      <c r="E163" s="18">
        <f t="shared" si="2"/>
        <v>-20</v>
      </c>
      <c r="F163" s="18">
        <f t="shared" si="2"/>
        <v>-34</v>
      </c>
      <c r="G163" s="18"/>
      <c r="H163" s="18">
        <f t="shared" si="3"/>
        <v>70</v>
      </c>
      <c r="I163" s="18">
        <f t="shared" si="2"/>
        <v>-3</v>
      </c>
      <c r="J163" s="36">
        <f t="shared" si="2"/>
        <v>-1</v>
      </c>
      <c r="K163" s="1"/>
      <c r="L163" s="1"/>
    </row>
    <row r="164" ht="15" customHeight="1">
      <c r="A164" s="1"/>
      <c r="B164" s="1" t="s">
        <v>403</v>
      </c>
      <c r="C164" s="17">
        <f>'Segment - Collins Aerospace'!C150+'Segment - Pratt &amp; Whitney'!C147+'Segment - Raytheon'!C138+C147+C150</f>
        <v>-26</v>
      </c>
      <c r="D164" s="17">
        <f>'Segment - Collins Aerospace'!D150+'Segment - Pratt &amp; Whitney'!D147+'Segment - Raytheon'!D138+D147+D150</f>
        <v>-109</v>
      </c>
      <c r="E164" s="17">
        <f>'Segment - Collins Aerospace'!E150+'Segment - Pratt &amp; Whitney'!E147+'Segment - Raytheon'!E138+E147+E150</f>
        <v>83</v>
      </c>
      <c r="F164" s="17">
        <f>'Segment - Collins Aerospace'!F150+'Segment - Pratt &amp; Whitney'!F147+'Segment - Raytheon'!F138+F147+F150</f>
        <v>214</v>
      </c>
      <c r="G164" s="17">
        <f>'Segment - Collins Aerospace'!G150+'Segment - Pratt &amp; Whitney'!G147+'Segment - Raytheon'!G138+G147+G150</f>
        <v>162</v>
      </c>
      <c r="H164" s="17">
        <f>'Segment - Collins Aerospace'!H150+'Segment - Pratt &amp; Whitney'!H147+'Segment - Raytheon'!H138+H147+H150</f>
        <v>0</v>
      </c>
      <c r="I164" s="17">
        <f>'Segment - Collins Aerospace'!I150+'Segment - Pratt &amp; Whitney'!I147+'Segment - Raytheon'!I138+I147+I150</f>
        <v>1</v>
      </c>
      <c r="J164" s="30">
        <f>'Segment - Collins Aerospace'!J150+'Segment - Pratt &amp; Whitney'!J147+'Segment - Raytheon'!J138+J147+J150</f>
        <v>0</v>
      </c>
      <c r="K164" s="1"/>
      <c r="L164" s="1"/>
    </row>
    <row r="165" ht="15" customHeight="1">
      <c r="A165" s="1"/>
      <c r="B165" s="5" t="s">
        <v>83</v>
      </c>
      <c r="C165" s="43"/>
      <c r="D165" s="43"/>
      <c r="E165" s="43"/>
      <c r="F165" s="43"/>
      <c r="G165" s="43"/>
      <c r="H165" s="43" t="str">
        <f t="shared" si="1"/>
        <v>n/m</v>
      </c>
      <c r="I165" s="43" t="str">
        <f t="shared" si="1"/>
        <v>n/m</v>
      </c>
      <c r="J165" s="44" t="str">
        <f t="shared" si="1"/>
        <v>n/m</v>
      </c>
      <c r="K165" s="1"/>
      <c r="L165" s="1"/>
    </row>
    <row r="166" ht="15" customHeight="1">
      <c r="A166" s="1"/>
      <c r="B166" s="1" t="s">
        <v>84</v>
      </c>
      <c r="C166" s="18"/>
      <c r="D166" s="18">
        <f t="shared" si="2"/>
        <v>-83</v>
      </c>
      <c r="E166" s="18">
        <f t="shared" si="2"/>
        <v>192</v>
      </c>
      <c r="F166" s="18">
        <f t="shared" si="2"/>
        <v>131</v>
      </c>
      <c r="G166" s="18"/>
      <c r="H166" s="18">
        <f t="shared" si="3"/>
        <v>-214</v>
      </c>
      <c r="I166" s="18">
        <f t="shared" si="2"/>
        <v>1</v>
      </c>
      <c r="J166" s="36">
        <f t="shared" si="2"/>
        <v>-1</v>
      </c>
      <c r="K166" s="1"/>
      <c r="L166" s="1"/>
    </row>
    <row r="167" ht="15" customHeight="1">
      <c r="A167" s="1"/>
      <c r="B167" s="1" t="s">
        <v>404</v>
      </c>
      <c r="C167" s="35">
        <v>-26</v>
      </c>
      <c r="D167" s="35">
        <v>-109</v>
      </c>
      <c r="E167" s="35">
        <v>83</v>
      </c>
      <c r="F167" s="35">
        <v>214</v>
      </c>
      <c r="G167" s="18">
        <f t="shared" si="5"/>
        <v>162</v>
      </c>
      <c r="H167" s="35">
        <v>0</v>
      </c>
      <c r="I167" s="35">
        <v>1</v>
      </c>
      <c r="J167" s="36"/>
      <c r="K167" s="1" t="s">
        <v>95</v>
      </c>
      <c r="L167" s="1"/>
    </row>
    <row r="168" ht="15" customHeight="1">
      <c r="A168" s="1"/>
      <c r="B168" s="1" t="s">
        <v>405</v>
      </c>
      <c r="C168" s="18">
        <f t="shared" si="39" ref="C168:I191">C164-C167</f>
        <v>0</v>
      </c>
      <c r="D168" s="18">
        <f t="shared" si="39"/>
        <v>0</v>
      </c>
      <c r="E168" s="18">
        <f t="shared" si="39"/>
        <v>0</v>
      </c>
      <c r="F168" s="18">
        <f t="shared" si="39"/>
        <v>0</v>
      </c>
      <c r="G168" s="18">
        <f t="shared" si="39"/>
        <v>0</v>
      </c>
      <c r="H168" s="18">
        <f t="shared" si="39"/>
        <v>0</v>
      </c>
      <c r="I168" s="18">
        <f t="shared" si="39"/>
        <v>0</v>
      </c>
      <c r="J168" s="36"/>
      <c r="K168" s="1"/>
      <c r="L168" s="1"/>
    </row>
    <row r="169" ht="15" customHeight="1">
      <c r="A169" s="1"/>
      <c r="B169" s="1" t="s">
        <v>406</v>
      </c>
      <c r="C169" s="35">
        <v>0</v>
      </c>
      <c r="D169" s="35">
        <v>0</v>
      </c>
      <c r="E169" s="35">
        <v>0</v>
      </c>
      <c r="F169" s="35">
        <v>-261</v>
      </c>
      <c r="G169" s="18">
        <f t="shared" si="5"/>
        <v>-261</v>
      </c>
      <c r="H169" s="35">
        <v>-2</v>
      </c>
      <c r="I169" s="35">
        <v>-2</v>
      </c>
      <c r="J169" s="42">
        <v>-2</v>
      </c>
      <c r="K169" s="1" t="s">
        <v>95</v>
      </c>
      <c r="L169" s="1" t="s">
        <v>407</v>
      </c>
    </row>
    <row r="170" ht="15" customHeight="1">
      <c r="A170" s="1"/>
      <c r="B170" s="5" t="s">
        <v>83</v>
      </c>
      <c r="C170" s="43"/>
      <c r="D170" s="43"/>
      <c r="E170" s="43"/>
      <c r="F170" s="43"/>
      <c r="G170" s="43"/>
      <c r="H170" s="43" t="str">
        <f t="shared" si="1"/>
        <v>n/m</v>
      </c>
      <c r="I170" s="43" t="str">
        <f t="shared" si="1"/>
        <v>n/m</v>
      </c>
      <c r="J170" s="44" t="str">
        <f t="shared" si="1"/>
        <v>n/m</v>
      </c>
      <c r="K170" s="1"/>
      <c r="L170" s="1"/>
    </row>
    <row r="171" ht="15" customHeight="1">
      <c r="A171" s="1"/>
      <c r="B171" s="1" t="s">
        <v>84</v>
      </c>
      <c r="C171" s="18"/>
      <c r="D171" s="18">
        <f t="shared" si="2"/>
        <v>0</v>
      </c>
      <c r="E171" s="18">
        <f t="shared" si="2"/>
        <v>0</v>
      </c>
      <c r="F171" s="18">
        <f t="shared" si="2"/>
        <v>-261</v>
      </c>
      <c r="G171" s="18"/>
      <c r="H171" s="18">
        <f t="shared" si="3"/>
        <v>259</v>
      </c>
      <c r="I171" s="18">
        <f t="shared" si="2"/>
        <v>0</v>
      </c>
      <c r="J171" s="36">
        <f t="shared" si="2"/>
        <v>0</v>
      </c>
      <c r="K171" s="1"/>
      <c r="L171" s="1"/>
    </row>
    <row r="172" ht="15" customHeight="1">
      <c r="A172" s="1"/>
      <c r="B172" s="1" t="s">
        <v>408</v>
      </c>
      <c r="C172" s="35">
        <v>8</v>
      </c>
      <c r="D172" s="35">
        <v>11</v>
      </c>
      <c r="E172" s="35">
        <v>0</v>
      </c>
      <c r="F172" s="35">
        <v>35</v>
      </c>
      <c r="G172" s="18">
        <f t="shared" si="5"/>
        <v>54</v>
      </c>
      <c r="H172" s="35">
        <v>0</v>
      </c>
      <c r="I172" s="35">
        <v>0</v>
      </c>
      <c r="J172" s="42">
        <v>0</v>
      </c>
      <c r="K172" s="1" t="s">
        <v>409</v>
      </c>
      <c r="L172" s="1" t="s">
        <v>396</v>
      </c>
    </row>
    <row r="173" ht="15" customHeight="1">
      <c r="A173" s="1"/>
      <c r="B173" s="5" t="s">
        <v>83</v>
      </c>
      <c r="C173" s="43"/>
      <c r="D173" s="43"/>
      <c r="E173" s="43"/>
      <c r="F173" s="43"/>
      <c r="G173" s="43"/>
      <c r="H173" s="43" t="str">
        <f t="shared" si="1"/>
        <v>n/m</v>
      </c>
      <c r="I173" s="43" t="str">
        <f t="shared" si="1"/>
        <v>n/m</v>
      </c>
      <c r="J173" s="44" t="str">
        <f t="shared" si="1"/>
        <v>n/m</v>
      </c>
      <c r="K173" s="1"/>
      <c r="L173" s="1"/>
    </row>
    <row r="174" ht="15" customHeight="1">
      <c r="A174" s="1"/>
      <c r="B174" s="1" t="s">
        <v>84</v>
      </c>
      <c r="C174" s="18"/>
      <c r="D174" s="18">
        <f t="shared" si="2"/>
        <v>3</v>
      </c>
      <c r="E174" s="18">
        <f t="shared" si="2"/>
        <v>-11</v>
      </c>
      <c r="F174" s="18">
        <f t="shared" si="2"/>
        <v>35</v>
      </c>
      <c r="G174" s="18"/>
      <c r="H174" s="18">
        <f t="shared" si="3"/>
        <v>-35</v>
      </c>
      <c r="I174" s="18">
        <f t="shared" si="2"/>
        <v>0</v>
      </c>
      <c r="J174" s="36">
        <f t="shared" si="2"/>
        <v>0</v>
      </c>
      <c r="K174" s="1"/>
      <c r="L174" s="1"/>
    </row>
    <row r="175" ht="15" customHeight="1">
      <c r="A175" s="1"/>
      <c r="B175" s="1" t="s">
        <v>410</v>
      </c>
      <c r="C175" s="35">
        <v>138</v>
      </c>
      <c r="D175" s="35">
        <v>142</v>
      </c>
      <c r="E175" s="35">
        <v>50</v>
      </c>
      <c r="F175" s="35">
        <v>108</v>
      </c>
      <c r="G175" s="18">
        <f t="shared" si="5"/>
        <v>438</v>
      </c>
      <c r="H175" s="35">
        <v>104</v>
      </c>
      <c r="I175" s="35">
        <v>110</v>
      </c>
      <c r="J175" s="36">
        <f>-(J158+J161+J164+J169+J172)*J211</f>
        <v>108.36</v>
      </c>
      <c r="K175" s="1" t="s">
        <v>95</v>
      </c>
      <c r="L175" s="1" t="s">
        <v>411</v>
      </c>
    </row>
    <row r="176" ht="15" customHeight="1">
      <c r="A176" s="1"/>
      <c r="B176" s="5" t="s">
        <v>83</v>
      </c>
      <c r="C176" s="19"/>
      <c r="D176" s="19"/>
      <c r="E176" s="19"/>
      <c r="F176" s="19"/>
      <c r="G176" s="19"/>
      <c r="H176" s="19">
        <f t="shared" si="1"/>
        <v>-0.24637681159420288</v>
      </c>
      <c r="I176" s="19">
        <f t="shared" si="1"/>
        <v>-0.22535211267605637</v>
      </c>
      <c r="J176" s="32">
        <f t="shared" si="1"/>
        <v>1.1671999999999998</v>
      </c>
      <c r="K176" s="1"/>
      <c r="L176" s="1"/>
    </row>
    <row r="177" ht="15" customHeight="1">
      <c r="A177" s="1"/>
      <c r="B177" s="1" t="s">
        <v>84</v>
      </c>
      <c r="C177" s="18"/>
      <c r="D177" s="18">
        <f t="shared" si="2"/>
        <v>4</v>
      </c>
      <c r="E177" s="18">
        <f t="shared" si="2"/>
        <v>-92</v>
      </c>
      <c r="F177" s="18">
        <f t="shared" si="2"/>
        <v>58</v>
      </c>
      <c r="G177" s="18"/>
      <c r="H177" s="18">
        <f t="shared" si="3"/>
        <v>-4</v>
      </c>
      <c r="I177" s="18">
        <f t="shared" si="2"/>
        <v>6</v>
      </c>
      <c r="J177" s="36">
        <f t="shared" si="2"/>
        <v>-1.6400000000000006</v>
      </c>
      <c r="K177" s="1"/>
      <c r="L177" s="1"/>
    </row>
    <row r="178" ht="15" customHeight="1">
      <c r="A178" s="1"/>
      <c r="B178" s="1" t="s">
        <v>412</v>
      </c>
      <c r="C178" s="35">
        <v>26</v>
      </c>
      <c r="D178" s="35">
        <v>33</v>
      </c>
      <c r="E178" s="35">
        <v>0</v>
      </c>
      <c r="F178" s="35">
        <v>0</v>
      </c>
      <c r="G178" s="18">
        <f t="shared" si="5"/>
        <v>59</v>
      </c>
      <c r="H178" s="35">
        <v>0</v>
      </c>
      <c r="I178" s="35">
        <v>0</v>
      </c>
      <c r="J178" s="42">
        <v>0</v>
      </c>
      <c r="K178" s="1" t="s">
        <v>413</v>
      </c>
      <c r="L178" s="1" t="s">
        <v>396</v>
      </c>
    </row>
    <row r="179" ht="15" customHeight="1">
      <c r="A179" s="1"/>
      <c r="B179" s="5" t="s">
        <v>83</v>
      </c>
      <c r="C179" s="43"/>
      <c r="D179" s="43"/>
      <c r="E179" s="43"/>
      <c r="F179" s="43"/>
      <c r="G179" s="43"/>
      <c r="H179" s="43" t="str">
        <f t="shared" si="1"/>
        <v>n/m</v>
      </c>
      <c r="I179" s="43" t="str">
        <f t="shared" si="1"/>
        <v>n/m</v>
      </c>
      <c r="J179" s="44" t="str">
        <f t="shared" si="1"/>
        <v>n/m</v>
      </c>
      <c r="K179" s="1"/>
      <c r="L179" s="1"/>
    </row>
    <row r="180" ht="15" customHeight="1">
      <c r="A180" s="1"/>
      <c r="B180" s="1" t="s">
        <v>84</v>
      </c>
      <c r="C180" s="18"/>
      <c r="D180" s="18">
        <f t="shared" si="2"/>
        <v>7</v>
      </c>
      <c r="E180" s="18">
        <f t="shared" si="2"/>
        <v>-33</v>
      </c>
      <c r="F180" s="18">
        <f t="shared" si="2"/>
        <v>0</v>
      </c>
      <c r="G180" s="18"/>
      <c r="H180" s="18">
        <f t="shared" si="3"/>
        <v>0</v>
      </c>
      <c r="I180" s="18">
        <f t="shared" si="2"/>
        <v>0</v>
      </c>
      <c r="J180" s="36">
        <f t="shared" si="2"/>
        <v>0</v>
      </c>
      <c r="K180" s="1"/>
      <c r="L180" s="1"/>
    </row>
    <row r="181" ht="15" customHeight="1">
      <c r="A181" s="1"/>
      <c r="B181" s="1" t="s">
        <v>414</v>
      </c>
      <c r="C181" s="35">
        <v>0</v>
      </c>
      <c r="D181" s="35">
        <v>0</v>
      </c>
      <c r="E181" s="35">
        <v>0</v>
      </c>
      <c r="F181" s="35">
        <v>0</v>
      </c>
      <c r="G181" s="18">
        <f t="shared" si="5"/>
        <v>0</v>
      </c>
      <c r="H181" s="35">
        <v>0</v>
      </c>
      <c r="I181" s="35">
        <v>0</v>
      </c>
      <c r="J181" s="42">
        <v>0</v>
      </c>
      <c r="K181" s="1" t="s">
        <v>415</v>
      </c>
      <c r="L181" s="1" t="s">
        <v>396</v>
      </c>
    </row>
    <row r="182" ht="15" customHeight="1">
      <c r="A182" s="1"/>
      <c r="B182" s="5" t="s">
        <v>83</v>
      </c>
      <c r="C182" s="43"/>
      <c r="D182" s="43"/>
      <c r="E182" s="43"/>
      <c r="F182" s="43"/>
      <c r="G182" s="43"/>
      <c r="H182" s="43" t="str">
        <f t="shared" si="1"/>
        <v>n/m</v>
      </c>
      <c r="I182" s="43" t="str">
        <f t="shared" si="1"/>
        <v>n/m</v>
      </c>
      <c r="J182" s="44" t="str">
        <f t="shared" si="1"/>
        <v>n/m</v>
      </c>
      <c r="K182" s="1"/>
      <c r="L182" s="1"/>
    </row>
    <row r="183" ht="15" customHeight="1">
      <c r="A183" s="1"/>
      <c r="B183" s="1" t="s">
        <v>84</v>
      </c>
      <c r="C183" s="18"/>
      <c r="D183" s="18">
        <f t="shared" si="2"/>
        <v>0</v>
      </c>
      <c r="E183" s="18">
        <f t="shared" si="2"/>
        <v>0</v>
      </c>
      <c r="F183" s="18">
        <f t="shared" si="2"/>
        <v>0</v>
      </c>
      <c r="G183" s="18"/>
      <c r="H183" s="18">
        <f t="shared" si="3"/>
        <v>0</v>
      </c>
      <c r="I183" s="18">
        <f t="shared" si="2"/>
        <v>0</v>
      </c>
      <c r="J183" s="36">
        <f t="shared" si="2"/>
        <v>0</v>
      </c>
      <c r="K183" s="1"/>
      <c r="L183" s="1"/>
    </row>
    <row r="184" ht="15" customHeight="1">
      <c r="A184" s="1"/>
      <c r="B184" s="4" t="s">
        <v>416</v>
      </c>
      <c r="C184" s="33">
        <f t="shared" si="40" ref="C184:J184">C158+C161+C164+C169+C172+C175+C178+C181</f>
        <v>-456</v>
      </c>
      <c r="D184" s="33">
        <f t="shared" si="40"/>
        <v>-461</v>
      </c>
      <c r="E184" s="33">
        <f t="shared" si="40"/>
        <v>-393</v>
      </c>
      <c r="F184" s="33">
        <f t="shared" si="40"/>
        <v>-489</v>
      </c>
      <c r="G184" s="33">
        <f t="shared" si="40"/>
        <v>-1799</v>
      </c>
      <c r="H184" s="33">
        <f t="shared" si="40"/>
        <v>-366</v>
      </c>
      <c r="I184" s="33">
        <f t="shared" si="40"/>
        <v>-440</v>
      </c>
      <c r="J184" s="34">
        <f t="shared" si="40"/>
        <v>-407.64</v>
      </c>
      <c r="K184" s="1"/>
      <c r="L184" s="1"/>
    </row>
    <row r="185" ht="15" customHeight="1">
      <c r="A185" s="1"/>
      <c r="B185" s="1" t="s">
        <v>417</v>
      </c>
      <c r="C185" s="35">
        <v>-456</v>
      </c>
      <c r="D185" s="35">
        <v>-461</v>
      </c>
      <c r="E185" s="35">
        <v>-393</v>
      </c>
      <c r="F185" s="35">
        <v>-489</v>
      </c>
      <c r="G185" s="18">
        <f t="shared" si="5"/>
        <v>-1799</v>
      </c>
      <c r="H185" s="35">
        <v>-366</v>
      </c>
      <c r="I185" s="35">
        <v>-440</v>
      </c>
      <c r="J185" s="36"/>
      <c r="K185" s="1" t="s">
        <v>95</v>
      </c>
      <c r="L185" s="1"/>
    </row>
    <row r="186" ht="15" customHeight="1">
      <c r="A186" s="1"/>
      <c r="B186" s="1" t="s">
        <v>418</v>
      </c>
      <c r="C186" s="18">
        <f t="shared" si="41" ref="C186:I186">C184-C185</f>
        <v>0</v>
      </c>
      <c r="D186" s="18">
        <f t="shared" si="41"/>
        <v>0</v>
      </c>
      <c r="E186" s="18">
        <f t="shared" si="41"/>
        <v>0</v>
      </c>
      <c r="F186" s="18">
        <f t="shared" si="41"/>
        <v>0</v>
      </c>
      <c r="G186" s="18">
        <f t="shared" si="41"/>
        <v>0</v>
      </c>
      <c r="H186" s="18">
        <f t="shared" si="41"/>
        <v>0</v>
      </c>
      <c r="I186" s="18">
        <f t="shared" si="41"/>
        <v>0</v>
      </c>
      <c r="J186" s="36"/>
      <c r="K186" s="1"/>
      <c r="L186" s="1"/>
    </row>
    <row r="187" ht="15" customHeight="1">
      <c r="A187" s="1"/>
      <c r="B187" s="4" t="s">
        <v>419</v>
      </c>
      <c r="C187" s="33">
        <f t="shared" si="42" ref="C187:J187">C157-C184</f>
        <v>1991</v>
      </c>
      <c r="D187" s="33">
        <f t="shared" si="42"/>
        <v>2118</v>
      </c>
      <c r="E187" s="33">
        <f t="shared" si="42"/>
        <v>2311</v>
      </c>
      <c r="F187" s="33">
        <f t="shared" si="42"/>
        <v>2111</v>
      </c>
      <c r="G187" s="33">
        <f t="shared" si="42"/>
        <v>8531</v>
      </c>
      <c r="H187" s="33">
        <f t="shared" si="42"/>
        <v>2425</v>
      </c>
      <c r="I187" s="33">
        <f t="shared" si="42"/>
        <v>2579</v>
      </c>
      <c r="J187" s="34">
        <f t="shared" si="42"/>
        <v>2492.841196621569</v>
      </c>
      <c r="K187" s="1"/>
      <c r="L187" s="1"/>
    </row>
    <row r="188" ht="15" customHeight="1">
      <c r="A188" s="1"/>
      <c r="B188" s="5" t="s">
        <v>73</v>
      </c>
      <c r="C188" s="19"/>
      <c r="D188" s="19"/>
      <c r="E188" s="19"/>
      <c r="F188" s="19"/>
      <c r="G188" s="19"/>
      <c r="H188" s="19">
        <f t="shared" si="1"/>
        <v>0.21798091411351073</v>
      </c>
      <c r="I188" s="19">
        <f t="shared" si="1"/>
        <v>0.21765816808309735</v>
      </c>
      <c r="J188" s="32">
        <f t="shared" si="1"/>
        <v>0.07868506993577196</v>
      </c>
      <c r="K188" s="1"/>
      <c r="L188" s="1"/>
    </row>
    <row r="189" ht="15" customHeight="1">
      <c r="A189" s="1"/>
      <c r="B189" s="1" t="s">
        <v>90</v>
      </c>
      <c r="C189" s="18"/>
      <c r="D189" s="18">
        <f t="shared" si="2"/>
        <v>127</v>
      </c>
      <c r="E189" s="18">
        <f t="shared" si="2"/>
        <v>193</v>
      </c>
      <c r="F189" s="18">
        <f t="shared" si="2"/>
        <v>-200</v>
      </c>
      <c r="G189" s="18"/>
      <c r="H189" s="18">
        <f t="shared" si="3"/>
        <v>314</v>
      </c>
      <c r="I189" s="18">
        <f t="shared" si="2"/>
        <v>154</v>
      </c>
      <c r="J189" s="36">
        <f t="shared" si="2"/>
        <v>-86.158803378431</v>
      </c>
      <c r="K189" s="1"/>
      <c r="L189" s="1"/>
    </row>
    <row r="190" ht="15" customHeight="1">
      <c r="A190" s="1"/>
      <c r="B190" s="1" t="s">
        <v>420</v>
      </c>
      <c r="C190" s="35">
        <v>1991</v>
      </c>
      <c r="D190" s="35">
        <v>2118</v>
      </c>
      <c r="E190" s="35">
        <v>2311</v>
      </c>
      <c r="F190" s="35">
        <v>2111</v>
      </c>
      <c r="G190" s="18">
        <f t="shared" si="5"/>
        <v>8531</v>
      </c>
      <c r="H190" s="35">
        <v>2425</v>
      </c>
      <c r="I190" s="35">
        <v>2579</v>
      </c>
      <c r="J190" s="36"/>
      <c r="K190" s="1" t="s">
        <v>95</v>
      </c>
      <c r="L190" s="1"/>
    </row>
    <row r="191" ht="15" customHeight="1">
      <c r="A191" s="1"/>
      <c r="B191" s="1" t="s">
        <v>421</v>
      </c>
      <c r="C191" s="18">
        <f t="shared" si="39"/>
        <v>0</v>
      </c>
      <c r="D191" s="18">
        <f t="shared" si="39"/>
        <v>0</v>
      </c>
      <c r="E191" s="18">
        <f t="shared" si="39"/>
        <v>0</v>
      </c>
      <c r="F191" s="18">
        <f t="shared" si="39"/>
        <v>0</v>
      </c>
      <c r="G191" s="18">
        <f t="shared" si="39"/>
        <v>0</v>
      </c>
      <c r="H191" s="18">
        <f t="shared" si="39"/>
        <v>0</v>
      </c>
      <c r="I191" s="18">
        <f t="shared" si="39"/>
        <v>0</v>
      </c>
      <c r="J191" s="36"/>
      <c r="K191" s="1"/>
      <c r="L191" s="1"/>
    </row>
    <row r="192" ht="15" customHeight="1">
      <c r="A192" s="1"/>
      <c r="B192" s="4" t="s">
        <v>50</v>
      </c>
      <c r="C192" s="74">
        <f t="shared" si="43" ref="C192:J192">C187/C94</f>
        <v>1.4728510134635302</v>
      </c>
      <c r="D192" s="74">
        <f t="shared" si="43"/>
        <v>1.5642540620384047</v>
      </c>
      <c r="E192" s="74">
        <f t="shared" si="43"/>
        <v>1.701266195524146</v>
      </c>
      <c r="F192" s="74">
        <f t="shared" si="43"/>
        <v>1.550268047293824</v>
      </c>
      <c r="G192" s="74">
        <f t="shared" si="43"/>
        <v>6.28944264228841</v>
      </c>
      <c r="H192" s="74">
        <f t="shared" si="43"/>
        <v>1.7770775318774734</v>
      </c>
      <c r="I192" s="74">
        <f t="shared" si="43"/>
        <v>1.8893772893772893</v>
      </c>
      <c r="J192" s="75">
        <f t="shared" si="43"/>
        <v>1.8239856564144061</v>
      </c>
      <c r="K192" s="1"/>
      <c r="L192" s="1"/>
    </row>
    <row r="193" ht="15" customHeight="1">
      <c r="A193" s="1"/>
      <c r="B193" s="5" t="s">
        <v>73</v>
      </c>
      <c r="C193" s="19"/>
      <c r="D193" s="19"/>
      <c r="E193" s="19"/>
      <c r="F193" s="19"/>
      <c r="G193" s="19"/>
      <c r="H193" s="19">
        <f t="shared" si="1"/>
        <v>0.2065562067262523</v>
      </c>
      <c r="I193" s="19">
        <f t="shared" si="1"/>
        <v>0.2078455381571529</v>
      </c>
      <c r="J193" s="32">
        <f t="shared" si="1"/>
        <v>0.07213419111784058</v>
      </c>
      <c r="K193" s="1"/>
      <c r="L193" s="1"/>
    </row>
    <row r="194" ht="15" customHeight="1">
      <c r="A194" s="1"/>
      <c r="B194" s="1" t="s">
        <v>361</v>
      </c>
      <c r="C194" s="23"/>
      <c r="D194" s="23">
        <f t="shared" si="2"/>
        <v>0.09140304857487447</v>
      </c>
      <c r="E194" s="23">
        <f t="shared" si="2"/>
        <v>0.13701213348574126</v>
      </c>
      <c r="F194" s="23">
        <f t="shared" si="2"/>
        <v>-0.15099814823032198</v>
      </c>
      <c r="G194" s="23"/>
      <c r="H194" s="23">
        <f t="shared" si="3"/>
        <v>0.22680948458364947</v>
      </c>
      <c r="I194" s="23">
        <f t="shared" si="2"/>
        <v>0.11229975749981591</v>
      </c>
      <c r="J194" s="73">
        <f t="shared" si="2"/>
        <v>-0.0653916329628832</v>
      </c>
      <c r="K194" s="1"/>
      <c r="L194" s="1"/>
    </row>
    <row r="195" ht="15" customHeight="1">
      <c r="A195" s="1"/>
      <c r="B195" s="1" t="s">
        <v>422</v>
      </c>
      <c r="C195" s="18">
        <f t="shared" si="44" ref="C195:J195">C192-C187/C94</f>
        <v>0</v>
      </c>
      <c r="D195" s="18">
        <f t="shared" si="44"/>
        <v>0</v>
      </c>
      <c r="E195" s="18">
        <f t="shared" si="44"/>
        <v>0</v>
      </c>
      <c r="F195" s="18">
        <f t="shared" si="44"/>
        <v>0</v>
      </c>
      <c r="G195" s="18">
        <f t="shared" si="44"/>
        <v>0</v>
      </c>
      <c r="H195" s="18">
        <f t="shared" si="44"/>
        <v>0</v>
      </c>
      <c r="I195" s="18">
        <f t="shared" si="44"/>
        <v>0</v>
      </c>
      <c r="J195" s="36">
        <f t="shared" si="44"/>
        <v>0</v>
      </c>
      <c r="K195" s="1"/>
      <c r="L195" s="1" t="s">
        <v>423</v>
      </c>
    </row>
    <row r="196" ht="15" customHeight="1">
      <c r="A196" s="1"/>
      <c r="B196" s="1" t="s">
        <v>424</v>
      </c>
      <c r="C196" s="76">
        <v>1.47</v>
      </c>
      <c r="D196" s="76">
        <v>1.56</v>
      </c>
      <c r="E196" s="76">
        <v>1.7</v>
      </c>
      <c r="F196" s="76">
        <v>1.55</v>
      </c>
      <c r="G196" s="76">
        <v>6.29</v>
      </c>
      <c r="H196" s="76">
        <v>1.78</v>
      </c>
      <c r="I196" s="76">
        <v>1.89</v>
      </c>
      <c r="J196" s="73"/>
      <c r="K196" s="1" t="s">
        <v>95</v>
      </c>
      <c r="L196" s="1"/>
    </row>
    <row r="197" ht="15" customHeight="1">
      <c r="A197" s="1"/>
      <c r="B197" s="1" t="s">
        <v>425</v>
      </c>
      <c r="C197" s="18">
        <f t="shared" si="26"/>
        <v>0</v>
      </c>
      <c r="D197" s="18">
        <f t="shared" si="26"/>
        <v>0</v>
      </c>
      <c r="E197" s="18">
        <f t="shared" si="26"/>
        <v>0</v>
      </c>
      <c r="F197" s="18">
        <f t="shared" si="26"/>
        <v>0</v>
      </c>
      <c r="G197" s="18">
        <f t="shared" si="26"/>
        <v>0</v>
      </c>
      <c r="H197" s="18">
        <f t="shared" si="26"/>
        <v>0</v>
      </c>
      <c r="I197" s="18">
        <f t="shared" si="26"/>
        <v>0</v>
      </c>
      <c r="J197" s="36"/>
      <c r="K197" s="1"/>
      <c r="L197" s="1"/>
    </row>
    <row r="198" ht="15" customHeight="1">
      <c r="A198" s="1"/>
      <c r="B198" s="1" t="s">
        <v>426</v>
      </c>
      <c r="C198" s="22">
        <f>Inputs!E107</f>
        <v>1.47</v>
      </c>
      <c r="D198" s="22">
        <f>Inputs!E108</f>
        <v>1.56</v>
      </c>
      <c r="E198" s="22">
        <f>Inputs!E109</f>
        <v>1.7</v>
      </c>
      <c r="F198" s="22">
        <f>Inputs!E110</f>
        <v>1.55</v>
      </c>
      <c r="G198" s="23"/>
      <c r="H198" s="22">
        <f>Inputs!E111</f>
        <v>1.78</v>
      </c>
      <c r="I198" s="22">
        <f>Inputs!E112</f>
        <v>1.89</v>
      </c>
      <c r="J198" s="73"/>
      <c r="K198" s="1" t="s">
        <v>103</v>
      </c>
      <c r="L198" s="1"/>
    </row>
    <row r="199" ht="15" customHeight="1">
      <c r="A199" s="1"/>
      <c r="B199" s="1" t="s">
        <v>427</v>
      </c>
      <c r="C199" s="18">
        <f t="shared" si="45" ref="C199:I199">C196-C198</f>
        <v>0</v>
      </c>
      <c r="D199" s="18">
        <f t="shared" si="45"/>
        <v>0</v>
      </c>
      <c r="E199" s="18">
        <f t="shared" si="45"/>
        <v>0</v>
      </c>
      <c r="F199" s="18">
        <f t="shared" si="45"/>
        <v>0</v>
      </c>
      <c r="G199" s="18"/>
      <c r="H199" s="18">
        <f t="shared" si="45"/>
        <v>0</v>
      </c>
      <c r="I199" s="18">
        <f t="shared" si="45"/>
        <v>0</v>
      </c>
      <c r="J199" s="36"/>
      <c r="K199" s="1"/>
      <c r="L199" s="1"/>
    </row>
    <row r="200" ht="15" customHeight="1">
      <c r="A200" s="1"/>
      <c r="B200" s="1" t="s">
        <v>428</v>
      </c>
      <c r="C200" s="22">
        <f>Inputs!D107</f>
        <v>1.37</v>
      </c>
      <c r="D200" s="22">
        <f>Inputs!D108</f>
        <v>1.43</v>
      </c>
      <c r="E200" s="22">
        <f>Inputs!D109</f>
        <v>1.41</v>
      </c>
      <c r="F200" s="22">
        <f>Inputs!D110</f>
        <v>1.47</v>
      </c>
      <c r="G200" s="23"/>
      <c r="H200" s="22">
        <f>Inputs!D111</f>
        <v>1.52</v>
      </c>
      <c r="I200" s="22">
        <f>Inputs!D112</f>
        <v>1.66</v>
      </c>
      <c r="J200" s="77">
        <f>Inputs!C49</f>
        <v>1.78</v>
      </c>
      <c r="K200" s="1" t="s">
        <v>106</v>
      </c>
      <c r="L200" s="1"/>
    </row>
    <row r="201" ht="15" customHeight="1">
      <c r="A201" s="1"/>
      <c r="B201" s="1" t="s">
        <v>429</v>
      </c>
      <c r="C201" s="23">
        <f t="shared" si="28"/>
        <v>0.09999999999999987</v>
      </c>
      <c r="D201" s="23">
        <f t="shared" si="28"/>
        <v>0.13000000000000012</v>
      </c>
      <c r="E201" s="23">
        <f t="shared" si="28"/>
        <v>0.29000000000000004</v>
      </c>
      <c r="F201" s="23">
        <f t="shared" si="28"/>
        <v>0.08000000000000007</v>
      </c>
      <c r="G201" s="23"/>
      <c r="H201" s="23">
        <f t="shared" si="28"/>
        <v>0.26</v>
      </c>
      <c r="I201" s="23">
        <f t="shared" si="28"/>
        <v>0.22999999999999998</v>
      </c>
      <c r="J201" s="73">
        <f>J192-J200</f>
        <v>0.043985656414406105</v>
      </c>
      <c r="K201" s="1"/>
      <c r="L201" s="1"/>
    </row>
    <row r="202" ht="15" customHeight="1">
      <c r="A202" s="1"/>
      <c r="B202" s="1" t="s">
        <v>430</v>
      </c>
      <c r="C202" s="23">
        <f t="shared" si="46" ref="C202:J202">C96-C192</f>
        <v>-0.33732800710164224</v>
      </c>
      <c r="D202" s="23">
        <f t="shared" si="46"/>
        <v>-0.3404726735598227</v>
      </c>
      <c r="E202" s="23">
        <f t="shared" si="46"/>
        <v>-0.2893109540636043</v>
      </c>
      <c r="F202" s="23">
        <f t="shared" si="46"/>
        <v>-0.35910993610927533</v>
      </c>
      <c r="G202" s="23">
        <f t="shared" si="46"/>
        <v>-1.3263049248009438</v>
      </c>
      <c r="H202" s="23">
        <f t="shared" si="46"/>
        <v>-0.2682104646050125</v>
      </c>
      <c r="I202" s="23">
        <f t="shared" si="46"/>
        <v>-0.3223443223443223</v>
      </c>
      <c r="J202" s="73">
        <f t="shared" si="46"/>
        <v>-0.2982658959537572</v>
      </c>
      <c r="K202" s="1"/>
      <c r="L202" s="1"/>
    </row>
    <row r="203" ht="15" customHeight="1">
      <c r="A203" s="1"/>
      <c r="B203" s="1"/>
      <c r="C203" s="1"/>
      <c r="D203" s="1"/>
      <c r="E203" s="1"/>
      <c r="F203" s="1"/>
      <c r="G203" s="1"/>
      <c r="H203" s="1"/>
      <c r="I203" s="1"/>
      <c r="J203" s="29"/>
      <c r="K203" s="1"/>
      <c r="L203" s="1"/>
    </row>
    <row r="204" ht="15" customHeight="1">
      <c r="A204" s="1"/>
      <c r="B204" s="4" t="s">
        <v>431</v>
      </c>
      <c r="C204" s="1"/>
      <c r="D204" s="1"/>
      <c r="E204" s="1"/>
      <c r="F204" s="1"/>
      <c r="G204" s="1"/>
      <c r="H204" s="1"/>
      <c r="I204" s="1"/>
      <c r="J204" s="29"/>
      <c r="K204" s="1"/>
      <c r="L204" s="1"/>
    </row>
    <row r="205" ht="15" customHeight="1">
      <c r="A205" s="1"/>
      <c r="B205" s="1" t="s">
        <v>432</v>
      </c>
      <c r="C205" s="18">
        <f t="shared" si="47" ref="C205:J205">C70-(C158+C161+C164+C169+C172)</f>
        <v>2578</v>
      </c>
      <c r="D205" s="18">
        <f t="shared" si="47"/>
        <v>2676</v>
      </c>
      <c r="E205" s="18">
        <f t="shared" si="47"/>
        <v>2881</v>
      </c>
      <c r="F205" s="18">
        <f t="shared" si="47"/>
        <v>2894</v>
      </c>
      <c r="G205" s="18">
        <f t="shared" si="47"/>
        <v>11029</v>
      </c>
      <c r="H205" s="18">
        <f t="shared" si="47"/>
        <v>2990</v>
      </c>
      <c r="I205" s="18">
        <f t="shared" si="47"/>
        <v>3292</v>
      </c>
      <c r="J205" s="36">
        <f t="shared" si="47"/>
        <v>3177.7873964789837</v>
      </c>
      <c r="K205" s="1"/>
      <c r="L205" s="1"/>
    </row>
    <row r="206" ht="15" customHeight="1">
      <c r="A206" s="1"/>
      <c r="B206" s="1" t="s">
        <v>433</v>
      </c>
      <c r="C206" s="18">
        <f t="shared" si="48" ref="C206:I206">C75+C175+C178</f>
        <v>497</v>
      </c>
      <c r="D206" s="18">
        <f t="shared" si="48"/>
        <v>490</v>
      </c>
      <c r="E206" s="18">
        <f t="shared" si="48"/>
        <v>482</v>
      </c>
      <c r="F206" s="18">
        <f t="shared" si="48"/>
        <v>692</v>
      </c>
      <c r="G206" s="18">
        <f t="shared" si="48"/>
        <v>2161</v>
      </c>
      <c r="H206" s="18">
        <f t="shared" si="48"/>
        <v>467</v>
      </c>
      <c r="I206" s="18">
        <f t="shared" si="48"/>
        <v>603</v>
      </c>
      <c r="J206" s="36">
        <f>J205*J207</f>
        <v>579.9461998574145</v>
      </c>
      <c r="K206" s="1"/>
      <c r="L206" s="1" t="s">
        <v>434</v>
      </c>
    </row>
    <row r="207" ht="15" customHeight="1">
      <c r="A207" s="1"/>
      <c r="B207" s="5" t="s">
        <v>435</v>
      </c>
      <c r="C207" s="19">
        <f t="shared" si="49" ref="C207:I207">C206/C205</f>
        <v>0.19278510473235067</v>
      </c>
      <c r="D207" s="19">
        <f t="shared" si="49"/>
        <v>0.18310911808669655</v>
      </c>
      <c r="E207" s="19">
        <f t="shared" si="49"/>
        <v>0.16730301978479695</v>
      </c>
      <c r="F207" s="19">
        <f t="shared" si="49"/>
        <v>0.23911541119557705</v>
      </c>
      <c r="G207" s="19">
        <f t="shared" si="49"/>
        <v>0.19593798168464957</v>
      </c>
      <c r="H207" s="19">
        <f t="shared" si="49"/>
        <v>0.15618729096989967</v>
      </c>
      <c r="I207" s="19">
        <f t="shared" si="49"/>
        <v>0.18317132442284326</v>
      </c>
      <c r="J207" s="31">
        <f>Guidance!G38</f>
        <v>0.1825</v>
      </c>
      <c r="K207" s="1"/>
      <c r="L207" s="1" t="s">
        <v>436</v>
      </c>
    </row>
    <row r="208" ht="15" customHeight="1">
      <c r="A208" s="1"/>
      <c r="B208" s="5" t="s">
        <v>143</v>
      </c>
      <c r="C208" s="48"/>
      <c r="D208" s="48"/>
      <c r="E208" s="48"/>
      <c r="F208" s="48"/>
      <c r="G208" s="48"/>
      <c r="H208" s="48">
        <f t="shared" si="9"/>
        <v>-365.97813762451</v>
      </c>
      <c r="I208" s="48">
        <f t="shared" si="9"/>
        <v>0.622063361467029</v>
      </c>
      <c r="J208" s="49">
        <f t="shared" si="9"/>
        <v>151.9698021520305</v>
      </c>
      <c r="K208" s="1"/>
      <c r="L208" s="1"/>
    </row>
    <row r="209" ht="15" customHeight="1">
      <c r="A209" s="1"/>
      <c r="B209" s="5" t="s">
        <v>128</v>
      </c>
      <c r="C209" s="48"/>
      <c r="D209" s="48">
        <f t="shared" si="10"/>
        <v>-96.7598664565411</v>
      </c>
      <c r="E209" s="48">
        <f t="shared" si="10"/>
        <v>-158.06098301899607</v>
      </c>
      <c r="F209" s="48">
        <f t="shared" si="10"/>
        <v>718.123914107801</v>
      </c>
      <c r="G209" s="48"/>
      <c r="H209" s="48">
        <f t="shared" si="12"/>
        <v>-829.2812022567739</v>
      </c>
      <c r="I209" s="48">
        <f t="shared" si="10"/>
        <v>269.8403345294359</v>
      </c>
      <c r="J209" s="49">
        <f t="shared" si="10"/>
        <v>-6.713244228432613</v>
      </c>
      <c r="K209" s="1"/>
      <c r="L209" s="1"/>
    </row>
    <row r="210" ht="15" customHeight="1">
      <c r="A210" s="1"/>
      <c r="B210" s="5" t="s">
        <v>437</v>
      </c>
      <c r="C210" s="65">
        <v>0.193</v>
      </c>
      <c r="D210" s="65">
        <v>0.183</v>
      </c>
      <c r="E210" s="65">
        <v>0.167</v>
      </c>
      <c r="F210" s="65">
        <v>0.239</v>
      </c>
      <c r="G210" s="65">
        <v>0.196</v>
      </c>
      <c r="H210" s="65">
        <v>0.156</v>
      </c>
      <c r="I210" s="65">
        <v>0.183</v>
      </c>
      <c r="J210" s="32"/>
      <c r="K210" s="1" t="s">
        <v>95</v>
      </c>
      <c r="L210" s="1"/>
    </row>
    <row r="211" ht="15" customHeight="1">
      <c r="A211" s="1"/>
      <c r="B211" s="5" t="s">
        <v>438</v>
      </c>
      <c r="C211" s="19">
        <f t="shared" si="50" ref="C211:I211">_xlfn.IFERROR(C175/-(C158+C161+C164+C169+C172),"n/m")</f>
        <v>0.22258064516129034</v>
      </c>
      <c r="D211" s="19">
        <f t="shared" si="50"/>
        <v>0.22327044025157233</v>
      </c>
      <c r="E211" s="19">
        <f t="shared" si="50"/>
        <v>0.11286681715575621</v>
      </c>
      <c r="F211" s="19">
        <f t="shared" si="50"/>
        <v>0.18090452261306533</v>
      </c>
      <c r="G211" s="19">
        <f t="shared" si="50"/>
        <v>0.19076655052264807</v>
      </c>
      <c r="H211" s="19">
        <f t="shared" si="50"/>
        <v>0.22127659574468084</v>
      </c>
      <c r="I211" s="19">
        <f t="shared" si="50"/>
        <v>0.2</v>
      </c>
      <c r="J211" s="66">
        <v>0.21</v>
      </c>
      <c r="K211" s="1"/>
      <c r="L211" s="1" t="s">
        <v>439</v>
      </c>
    </row>
    <row r="212" ht="15" customHeight="1">
      <c r="A212" s="1"/>
      <c r="B212" s="5" t="s">
        <v>143</v>
      </c>
      <c r="C212" s="48"/>
      <c r="D212" s="48"/>
      <c r="E212" s="48"/>
      <c r="F212" s="48"/>
      <c r="G212" s="48"/>
      <c r="H212" s="48">
        <f t="shared" si="9"/>
        <v>-13.040494166094984</v>
      </c>
      <c r="I212" s="48">
        <f t="shared" si="9"/>
        <v>-232.70440251572322</v>
      </c>
      <c r="J212" s="49">
        <f t="shared" si="9"/>
        <v>971.3318284424379</v>
      </c>
      <c r="K212" s="1"/>
      <c r="L212" s="1"/>
    </row>
    <row r="213" ht="15" customHeight="1">
      <c r="A213" s="1"/>
      <c r="B213" s="5" t="s">
        <v>128</v>
      </c>
      <c r="C213" s="48"/>
      <c r="D213" s="48">
        <f t="shared" si="10"/>
        <v>6.8979509028199715</v>
      </c>
      <c r="E213" s="48">
        <f t="shared" si="10"/>
        <v>-1104.0362309581612</v>
      </c>
      <c r="F213" s="48">
        <f t="shared" si="10"/>
        <v>680.3770545730913</v>
      </c>
      <c r="G213" s="48"/>
      <c r="H213" s="48">
        <f t="shared" si="12"/>
        <v>403.720731316155</v>
      </c>
      <c r="I213" s="48">
        <f t="shared" si="10"/>
        <v>-212.76595744680827</v>
      </c>
      <c r="J213" s="49">
        <f t="shared" si="10"/>
        <v>99.99999999999982</v>
      </c>
      <c r="K213" s="1"/>
      <c r="L213" s="1"/>
    </row>
    <row r="214" ht="15" customHeight="1">
      <c r="A214" s="1"/>
      <c r="B214" s="1" t="s">
        <v>440</v>
      </c>
      <c r="C214" s="18">
        <f t="shared" si="51" ref="C214:I214">-C64-C169</f>
        <v>366</v>
      </c>
      <c r="D214" s="18">
        <f t="shared" si="51"/>
        <v>351</v>
      </c>
      <c r="E214" s="18">
        <f t="shared" si="51"/>
        <v>364</v>
      </c>
      <c r="F214" s="18">
        <f t="shared" si="51"/>
        <v>362</v>
      </c>
      <c r="G214" s="18">
        <f t="shared" si="51"/>
        <v>1443</v>
      </c>
      <c r="H214" s="18">
        <f t="shared" si="51"/>
        <v>357</v>
      </c>
      <c r="I214" s="18">
        <f t="shared" si="51"/>
        <v>350</v>
      </c>
      <c r="J214" s="30">
        <f>(Guidance!G42-H214-I214)/2</f>
        <v>346.5</v>
      </c>
      <c r="K214" s="1"/>
      <c r="L214" s="1" t="s">
        <v>441</v>
      </c>
    </row>
    <row r="215" ht="15" customHeight="1">
      <c r="A215" s="1"/>
      <c r="B215" s="5" t="s">
        <v>73</v>
      </c>
      <c r="C215" s="19"/>
      <c r="D215" s="19"/>
      <c r="E215" s="19"/>
      <c r="F215" s="19"/>
      <c r="G215" s="19"/>
      <c r="H215" s="19">
        <f t="shared" si="1"/>
        <v>-0.024590163934426257</v>
      </c>
      <c r="I215" s="19">
        <f t="shared" si="1"/>
        <v>-0.002849002849002802</v>
      </c>
      <c r="J215" s="32">
        <f t="shared" si="1"/>
        <v>-0.04807692307692313</v>
      </c>
      <c r="K215" s="1"/>
      <c r="L215" s="1"/>
    </row>
    <row r="216" ht="15" customHeight="1">
      <c r="A216" s="1"/>
      <c r="B216" s="1" t="s">
        <v>90</v>
      </c>
      <c r="C216" s="18"/>
      <c r="D216" s="18">
        <f t="shared" si="2"/>
        <v>-15</v>
      </c>
      <c r="E216" s="18">
        <f t="shared" si="2"/>
        <v>13</v>
      </c>
      <c r="F216" s="18">
        <f t="shared" si="2"/>
        <v>-2</v>
      </c>
      <c r="G216" s="18"/>
      <c r="H216" s="18">
        <f t="shared" si="3"/>
        <v>-5</v>
      </c>
      <c r="I216" s="18">
        <f t="shared" si="2"/>
        <v>-7</v>
      </c>
      <c r="J216" s="36">
        <f t="shared" si="2"/>
        <v>-3.5</v>
      </c>
      <c r="K216" s="1"/>
      <c r="L216" s="1"/>
    </row>
    <row r="217" ht="15" customHeight="1">
      <c r="A217" s="1"/>
      <c r="B217" s="1" t="s">
        <v>442</v>
      </c>
      <c r="C217" s="18">
        <f t="shared" si="52" ref="C217:I217">C67+C172</f>
        <v>451</v>
      </c>
      <c r="D217" s="18">
        <f t="shared" si="52"/>
        <v>468</v>
      </c>
      <c r="E217" s="18">
        <f t="shared" si="52"/>
        <v>449</v>
      </c>
      <c r="F217" s="18">
        <f t="shared" si="52"/>
        <v>435</v>
      </c>
      <c r="G217" s="18">
        <f t="shared" si="52"/>
        <v>1803</v>
      </c>
      <c r="H217" s="18">
        <f t="shared" si="52"/>
        <v>390</v>
      </c>
      <c r="I217" s="18">
        <f t="shared" si="52"/>
        <v>417</v>
      </c>
      <c r="J217" s="30">
        <f>(Guidance!G39-H217-I217)/2</f>
        <v>409</v>
      </c>
      <c r="K217" s="1"/>
      <c r="L217" s="1" t="s">
        <v>443</v>
      </c>
    </row>
    <row r="218" ht="15" customHeight="1">
      <c r="A218" s="1"/>
      <c r="B218" s="5" t="s">
        <v>73</v>
      </c>
      <c r="C218" s="19"/>
      <c r="D218" s="19"/>
      <c r="E218" s="19"/>
      <c r="F218" s="19"/>
      <c r="G218" s="19"/>
      <c r="H218" s="19">
        <f t="shared" si="1"/>
        <v>-0.1352549889135255</v>
      </c>
      <c r="I218" s="19">
        <f t="shared" si="1"/>
        <v>-0.10897435897435892</v>
      </c>
      <c r="J218" s="32">
        <f t="shared" si="1"/>
        <v>-0.08908685968819596</v>
      </c>
      <c r="K218" s="1"/>
      <c r="L218" s="1"/>
    </row>
    <row r="219" ht="15" customHeight="1">
      <c r="A219" s="1"/>
      <c r="B219" s="1" t="s">
        <v>90</v>
      </c>
      <c r="C219" s="18"/>
      <c r="D219" s="18">
        <f t="shared" si="2"/>
        <v>17</v>
      </c>
      <c r="E219" s="18">
        <f t="shared" si="2"/>
        <v>-19</v>
      </c>
      <c r="F219" s="18">
        <f t="shared" si="2"/>
        <v>-14</v>
      </c>
      <c r="G219" s="18"/>
      <c r="H219" s="18">
        <f t="shared" si="3"/>
        <v>-45</v>
      </c>
      <c r="I219" s="18">
        <f t="shared" si="2"/>
        <v>27</v>
      </c>
      <c r="J219" s="36">
        <f t="shared" si="2"/>
        <v>-8</v>
      </c>
      <c r="K219" s="1"/>
      <c r="L219" s="1"/>
    </row>
    <row r="220" ht="15" customHeight="1">
      <c r="A220" s="1"/>
      <c r="B220" s="1" t="s">
        <v>444</v>
      </c>
      <c r="C220" s="18">
        <f t="shared" si="53" ref="C220:J220">C84+C181</f>
        <v>90</v>
      </c>
      <c r="D220" s="18">
        <f t="shared" si="53"/>
        <v>68</v>
      </c>
      <c r="E220" s="18">
        <f t="shared" si="53"/>
        <v>88</v>
      </c>
      <c r="F220" s="18">
        <f t="shared" si="53"/>
        <v>91</v>
      </c>
      <c r="G220" s="18">
        <f t="shared" si="53"/>
        <v>337</v>
      </c>
      <c r="H220" s="18">
        <f t="shared" si="53"/>
        <v>98</v>
      </c>
      <c r="I220" s="18">
        <f t="shared" si="53"/>
        <v>110</v>
      </c>
      <c r="J220" s="36">
        <f t="shared" si="53"/>
        <v>105</v>
      </c>
      <c r="K220" s="1"/>
      <c r="L220" s="1"/>
    </row>
    <row r="221" ht="15" customHeight="1">
      <c r="A221" s="1"/>
      <c r="B221" s="4" t="s">
        <v>445</v>
      </c>
      <c r="C221" s="33">
        <f t="shared" si="54" ref="C221:J221">C205-C206-C220</f>
        <v>1991</v>
      </c>
      <c r="D221" s="33">
        <f t="shared" si="54"/>
        <v>2118</v>
      </c>
      <c r="E221" s="33">
        <f t="shared" si="54"/>
        <v>2311</v>
      </c>
      <c r="F221" s="33">
        <f t="shared" si="54"/>
        <v>2111</v>
      </c>
      <c r="G221" s="33">
        <f t="shared" si="54"/>
        <v>8531</v>
      </c>
      <c r="H221" s="33">
        <f t="shared" si="54"/>
        <v>2425</v>
      </c>
      <c r="I221" s="33">
        <f t="shared" si="54"/>
        <v>2579</v>
      </c>
      <c r="J221" s="34">
        <f t="shared" si="54"/>
        <v>2492.841196621569</v>
      </c>
      <c r="K221" s="1"/>
      <c r="L221" s="1"/>
    </row>
    <row r="222" ht="15" customHeight="1">
      <c r="A222" s="1"/>
      <c r="B222" s="1" t="s">
        <v>446</v>
      </c>
      <c r="C222" s="18">
        <f t="shared" si="55" ref="C222:J222">C221-C187</f>
        <v>0</v>
      </c>
      <c r="D222" s="18">
        <f t="shared" si="55"/>
        <v>0</v>
      </c>
      <c r="E222" s="18">
        <f t="shared" si="55"/>
        <v>0</v>
      </c>
      <c r="F222" s="18">
        <f t="shared" si="55"/>
        <v>0</v>
      </c>
      <c r="G222" s="18">
        <f t="shared" si="55"/>
        <v>0</v>
      </c>
      <c r="H222" s="18">
        <f t="shared" si="55"/>
        <v>0</v>
      </c>
      <c r="I222" s="18">
        <f t="shared" si="55"/>
        <v>0</v>
      </c>
      <c r="J222" s="36">
        <f t="shared" si="55"/>
        <v>0</v>
      </c>
      <c r="K222" s="1"/>
      <c r="L222" s="1"/>
    </row>
    <row r="223" ht="15" customHeight="1">
      <c r="A223" s="1"/>
      <c r="B223" s="1"/>
      <c r="C223" s="1"/>
      <c r="D223" s="1"/>
      <c r="E223" s="1"/>
      <c r="F223" s="1"/>
      <c r="G223" s="1"/>
      <c r="H223" s="1"/>
      <c r="I223" s="1"/>
      <c r="J223" s="29"/>
      <c r="K223" s="1"/>
      <c r="L223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FB3A9168-534F-0B38-D078-36FBA44E502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6.00390625" customWidth="1"/>
    <col min="3" max="10" width="12.00390625" customWidth="1"/>
    <col min="11" max="11" width="20.00390625" customWidth="1"/>
    <col min="12" max="12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4" t="s">
        <v>447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ht="15" customHeight="1">
      <c r="A6" s="1"/>
      <c r="B6" s="6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8" t="s">
        <v>12</v>
      </c>
      <c r="K6" s="6" t="s">
        <v>13</v>
      </c>
      <c r="L6" s="6" t="s">
        <v>14</v>
      </c>
    </row>
    <row r="7" ht="15" customHeight="1">
      <c r="A7" s="1"/>
      <c r="B7" s="9" t="s">
        <v>15</v>
      </c>
      <c r="C7" s="10">
        <v>45747</v>
      </c>
      <c r="D7" s="10">
        <v>45838</v>
      </c>
      <c r="E7" s="10">
        <v>45930</v>
      </c>
      <c r="F7" s="10">
        <v>46022</v>
      </c>
      <c r="G7" s="10">
        <v>46022</v>
      </c>
      <c r="H7" s="10">
        <v>46112</v>
      </c>
      <c r="I7" s="10">
        <v>46203</v>
      </c>
      <c r="J7" s="11">
        <v>46295</v>
      </c>
      <c r="K7" s="9"/>
      <c r="L7" s="9"/>
    </row>
    <row r="8" ht="15" customHeight="1">
      <c r="A8" s="1"/>
      <c r="B8" s="12" t="s">
        <v>16</v>
      </c>
      <c r="C8" s="13">
        <f>C7-EOMONTH(C7,-3)</f>
        <v>90</v>
      </c>
      <c r="D8" s="13">
        <f t="shared" si="0" ref="D8:J8">D7-C7</f>
        <v>91</v>
      </c>
      <c r="E8" s="13">
        <f t="shared" si="0"/>
        <v>92</v>
      </c>
      <c r="F8" s="13">
        <f t="shared" si="0"/>
        <v>92</v>
      </c>
      <c r="G8" s="13">
        <f>G7-EOMONTH(G7,-12)</f>
        <v>365</v>
      </c>
      <c r="H8" s="13">
        <f>H7-F7</f>
        <v>90</v>
      </c>
      <c r="I8" s="13">
        <f t="shared" si="0"/>
        <v>91</v>
      </c>
      <c r="J8" s="14">
        <f t="shared" si="0"/>
        <v>92</v>
      </c>
      <c r="K8" s="12"/>
      <c r="L8" s="12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15" customHeight="1">
      <c r="A10" s="1"/>
      <c r="B10" s="4" t="s">
        <v>448</v>
      </c>
      <c r="C10" s="1"/>
      <c r="D10" s="1"/>
      <c r="E10" s="1"/>
      <c r="F10" s="1"/>
      <c r="G10" s="1"/>
      <c r="H10" s="1"/>
      <c r="I10" s="1"/>
      <c r="J10" s="29"/>
      <c r="K10" s="1"/>
      <c r="L10" s="1"/>
    </row>
    <row r="11" ht="15" customHeight="1">
      <c r="A11" s="1"/>
      <c r="B11" s="1" t="s">
        <v>449</v>
      </c>
      <c r="C11" s="35">
        <v>5157</v>
      </c>
      <c r="D11" s="35">
        <v>4782</v>
      </c>
      <c r="E11" s="35">
        <v>5966</v>
      </c>
      <c r="F11" s="35">
        <v>7435</v>
      </c>
      <c r="G11" s="18">
        <f t="shared" si="1" ref="G11:J47">F11</f>
        <v>7435</v>
      </c>
      <c r="H11" s="35">
        <v>6818</v>
      </c>
      <c r="I11" s="35">
        <v>8305</v>
      </c>
      <c r="J11" s="30">
        <f>'Cash Flow Statement'!J107</f>
        <v>9352.095196621569</v>
      </c>
      <c r="K11" s="1" t="s">
        <v>450</v>
      </c>
      <c r="L11" s="1" t="s">
        <v>451</v>
      </c>
    </row>
    <row r="12" ht="15" customHeight="1">
      <c r="A12" s="1"/>
      <c r="B12" s="1" t="s">
        <v>452</v>
      </c>
      <c r="C12" s="35">
        <v>11426</v>
      </c>
      <c r="D12" s="35">
        <v>12385</v>
      </c>
      <c r="E12" s="35">
        <v>12837</v>
      </c>
      <c r="F12" s="35">
        <v>14701</v>
      </c>
      <c r="G12" s="18">
        <f t="shared" si="1"/>
        <v>14701</v>
      </c>
      <c r="H12" s="35">
        <v>12945</v>
      </c>
      <c r="I12" s="35">
        <v>13942</v>
      </c>
      <c r="J12" s="30">
        <f>I12-'Cash Flow Statement'!J29</f>
        <v>14342</v>
      </c>
      <c r="K12" s="1" t="s">
        <v>450</v>
      </c>
      <c r="L12" s="1"/>
    </row>
    <row r="13" ht="15" customHeight="1">
      <c r="A13" s="1"/>
      <c r="B13" s="1" t="s">
        <v>453</v>
      </c>
      <c r="C13" s="35">
        <v>15241</v>
      </c>
      <c r="D13" s="35">
        <v>15686</v>
      </c>
      <c r="E13" s="35">
        <v>16604</v>
      </c>
      <c r="F13" s="35">
        <v>17092</v>
      </c>
      <c r="G13" s="18">
        <f t="shared" si="1"/>
        <v>17092</v>
      </c>
      <c r="H13" s="35">
        <v>18070</v>
      </c>
      <c r="I13" s="35">
        <v>18980</v>
      </c>
      <c r="J13" s="30">
        <f>I13-'Cash Flow Statement'!J32</f>
        <v>19680</v>
      </c>
      <c r="K13" s="1" t="s">
        <v>450</v>
      </c>
      <c r="L13" s="1"/>
    </row>
    <row r="14" ht="15" customHeight="1">
      <c r="A14" s="1"/>
      <c r="B14" s="1" t="s">
        <v>454</v>
      </c>
      <c r="C14" s="35">
        <v>13618</v>
      </c>
      <c r="D14" s="35">
        <v>14012</v>
      </c>
      <c r="E14" s="35">
        <v>13806</v>
      </c>
      <c r="F14" s="35">
        <v>13364</v>
      </c>
      <c r="G14" s="18">
        <f t="shared" si="1"/>
        <v>13364</v>
      </c>
      <c r="H14" s="35">
        <v>14153</v>
      </c>
      <c r="I14" s="35">
        <v>14409</v>
      </c>
      <c r="J14" s="30">
        <f>I14-'Cash Flow Statement'!J35</f>
        <v>14709</v>
      </c>
      <c r="K14" s="1" t="s">
        <v>450</v>
      </c>
      <c r="L14" s="1"/>
    </row>
    <row r="15" ht="15" customHeight="1">
      <c r="A15" s="1"/>
      <c r="B15" s="1" t="s">
        <v>455</v>
      </c>
      <c r="C15" s="35">
        <v>7474</v>
      </c>
      <c r="D15" s="35">
        <v>7792</v>
      </c>
      <c r="E15" s="35">
        <v>7905</v>
      </c>
      <c r="F15" s="35">
        <v>7740</v>
      </c>
      <c r="G15" s="18">
        <f t="shared" si="1"/>
        <v>7740</v>
      </c>
      <c r="H15" s="35">
        <v>8023</v>
      </c>
      <c r="I15" s="35">
        <v>8276</v>
      </c>
      <c r="J15" s="30">
        <f>I15-'Cash Flow Statement'!J38</f>
        <v>8376</v>
      </c>
      <c r="K15" s="1" t="s">
        <v>450</v>
      </c>
      <c r="L15" s="1" t="s">
        <v>456</v>
      </c>
    </row>
    <row r="16" ht="15" customHeight="1">
      <c r="A16" s="1"/>
      <c r="B16" s="4" t="s">
        <v>457</v>
      </c>
      <c r="C16" s="33">
        <f t="shared" si="2" ref="C16:J16">SUM(C11:C15)</f>
        <v>52916</v>
      </c>
      <c r="D16" s="33">
        <f t="shared" si="2"/>
        <v>54657</v>
      </c>
      <c r="E16" s="33">
        <f t="shared" si="2"/>
        <v>57118</v>
      </c>
      <c r="F16" s="33">
        <f t="shared" si="2"/>
        <v>60332</v>
      </c>
      <c r="G16" s="33">
        <f t="shared" si="2"/>
        <v>60332</v>
      </c>
      <c r="H16" s="33">
        <f t="shared" si="2"/>
        <v>60009</v>
      </c>
      <c r="I16" s="33">
        <f t="shared" si="2"/>
        <v>63912</v>
      </c>
      <c r="J16" s="34">
        <f t="shared" si="2"/>
        <v>66459.09519662157</v>
      </c>
      <c r="K16" s="1"/>
      <c r="L16" s="1"/>
    </row>
    <row r="17" ht="15" customHeight="1">
      <c r="A17" s="1"/>
      <c r="B17" s="1" t="s">
        <v>458</v>
      </c>
      <c r="C17" s="35">
        <v>2135</v>
      </c>
      <c r="D17" s="35">
        <v>2104</v>
      </c>
      <c r="E17" s="35">
        <v>2071</v>
      </c>
      <c r="F17" s="35">
        <v>2132</v>
      </c>
      <c r="G17" s="18">
        <f t="shared" si="1"/>
        <v>2132</v>
      </c>
      <c r="H17" s="35">
        <v>2041</v>
      </c>
      <c r="I17" s="35">
        <v>1902</v>
      </c>
      <c r="J17" s="36">
        <f t="shared" si="1"/>
        <v>1902</v>
      </c>
      <c r="K17" s="1" t="s">
        <v>450</v>
      </c>
      <c r="L17" s="1" t="s">
        <v>459</v>
      </c>
    </row>
    <row r="18" ht="15" customHeight="1">
      <c r="A18" s="1"/>
      <c r="B18" s="1" t="s">
        <v>460</v>
      </c>
      <c r="C18" s="35">
        <v>489</v>
      </c>
      <c r="D18" s="35">
        <v>506</v>
      </c>
      <c r="E18" s="35">
        <v>526</v>
      </c>
      <c r="F18" s="35">
        <v>562</v>
      </c>
      <c r="G18" s="18">
        <f>SUM(C18:F18)</f>
        <v>2083</v>
      </c>
      <c r="H18" s="35">
        <v>487</v>
      </c>
      <c r="I18" s="35">
        <v>488</v>
      </c>
      <c r="J18" s="36">
        <f t="shared" si="1"/>
        <v>488</v>
      </c>
      <c r="K18" s="1" t="s">
        <v>81</v>
      </c>
      <c r="L18" s="1" t="s">
        <v>461</v>
      </c>
    </row>
    <row r="19" ht="15" customHeight="1">
      <c r="A19" s="1"/>
      <c r="B19" s="1" t="s">
        <v>462</v>
      </c>
      <c r="C19" s="35">
        <v>33348</v>
      </c>
      <c r="D19" s="35">
        <v>33947</v>
      </c>
      <c r="E19" s="35">
        <v>34370</v>
      </c>
      <c r="F19" s="35">
        <v>35335</v>
      </c>
      <c r="G19" s="18">
        <f t="shared" si="1"/>
        <v>35335</v>
      </c>
      <c r="H19" s="35">
        <v>35681</v>
      </c>
      <c r="I19" s="35">
        <v>36106</v>
      </c>
      <c r="J19" s="30">
        <f>I19-'Cash Flow Statement'!J57</f>
        <v>36906</v>
      </c>
      <c r="K19" s="1" t="s">
        <v>463</v>
      </c>
      <c r="L19" s="1"/>
    </row>
    <row r="20" ht="15" customHeight="1">
      <c r="A20" s="1"/>
      <c r="B20" s="1" t="s">
        <v>464</v>
      </c>
      <c r="C20" s="35">
        <v>-17213</v>
      </c>
      <c r="D20" s="35">
        <v>-17742</v>
      </c>
      <c r="E20" s="35">
        <v>-18045</v>
      </c>
      <c r="F20" s="35">
        <v>-18467</v>
      </c>
      <c r="G20" s="18">
        <f t="shared" si="1"/>
        <v>-18467</v>
      </c>
      <c r="H20" s="35">
        <v>-18839</v>
      </c>
      <c r="I20" s="35">
        <v>-19141</v>
      </c>
      <c r="J20" s="30">
        <f>I20-('Cash Flow Statement'!J14-J18)</f>
        <v>-19732</v>
      </c>
      <c r="K20" s="1" t="s">
        <v>463</v>
      </c>
      <c r="L20" s="1"/>
    </row>
    <row r="21" ht="15" customHeight="1">
      <c r="A21" s="1"/>
      <c r="B21" s="4" t="s">
        <v>465</v>
      </c>
      <c r="C21" s="33">
        <f t="shared" si="3" ref="C21:J48">C19+C20</f>
        <v>16135</v>
      </c>
      <c r="D21" s="33">
        <f t="shared" si="3"/>
        <v>16205</v>
      </c>
      <c r="E21" s="33">
        <f t="shared" si="3"/>
        <v>16325</v>
      </c>
      <c r="F21" s="33">
        <f t="shared" si="3"/>
        <v>16868</v>
      </c>
      <c r="G21" s="33">
        <f t="shared" si="3"/>
        <v>16868</v>
      </c>
      <c r="H21" s="33">
        <f t="shared" si="3"/>
        <v>16842</v>
      </c>
      <c r="I21" s="33">
        <f t="shared" si="3"/>
        <v>16965</v>
      </c>
      <c r="J21" s="34">
        <f t="shared" si="3"/>
        <v>17174</v>
      </c>
      <c r="K21" s="1"/>
      <c r="L21" s="1"/>
    </row>
    <row r="22" ht="15" customHeight="1">
      <c r="A22" s="1"/>
      <c r="B22" s="1" t="s">
        <v>466</v>
      </c>
      <c r="C22" s="35">
        <v>1899</v>
      </c>
      <c r="D22" s="35">
        <v>1869</v>
      </c>
      <c r="E22" s="35">
        <v>1899</v>
      </c>
      <c r="F22" s="35">
        <v>1887</v>
      </c>
      <c r="G22" s="18">
        <f t="shared" si="1"/>
        <v>1887</v>
      </c>
      <c r="H22" s="35">
        <v>1773</v>
      </c>
      <c r="I22" s="35">
        <v>1727</v>
      </c>
      <c r="J22" s="36">
        <f t="shared" si="1"/>
        <v>1727</v>
      </c>
      <c r="K22" s="1" t="s">
        <v>450</v>
      </c>
      <c r="L22" s="1"/>
    </row>
    <row r="23" ht="15" customHeight="1">
      <c r="A23" s="1"/>
      <c r="B23" s="1" t="s">
        <v>467</v>
      </c>
      <c r="C23" s="35">
        <v>53045</v>
      </c>
      <c r="D23" s="35">
        <v>53327</v>
      </c>
      <c r="E23" s="35">
        <v>53311</v>
      </c>
      <c r="F23" s="35">
        <v>53343</v>
      </c>
      <c r="G23" s="18">
        <f t="shared" si="1"/>
        <v>53343</v>
      </c>
      <c r="H23" s="35">
        <v>53276</v>
      </c>
      <c r="I23" s="35">
        <v>52928</v>
      </c>
      <c r="J23" s="30">
        <f>I23-'Cash Flow Statement'!J60</f>
        <v>52928</v>
      </c>
      <c r="K23" s="1" t="s">
        <v>450</v>
      </c>
      <c r="L23" s="1" t="s">
        <v>468</v>
      </c>
    </row>
    <row r="24" ht="15" customHeight="1">
      <c r="A24" s="1"/>
      <c r="B24" s="1" t="s">
        <v>469</v>
      </c>
      <c r="C24" s="35">
        <v>33116</v>
      </c>
      <c r="D24" s="35">
        <v>32748</v>
      </c>
      <c r="E24" s="35">
        <v>32260</v>
      </c>
      <c r="F24" s="35">
        <v>31845</v>
      </c>
      <c r="G24" s="18">
        <f t="shared" si="1"/>
        <v>31845</v>
      </c>
      <c r="H24" s="35">
        <v>31482</v>
      </c>
      <c r="I24" s="35">
        <v>31043</v>
      </c>
      <c r="J24" s="30">
        <f>I24-'Cash Flow Statement'!J63-J18</f>
        <v>30655</v>
      </c>
      <c r="K24" s="1" t="s">
        <v>450</v>
      </c>
      <c r="L24" s="1"/>
    </row>
    <row r="25" ht="15" customHeight="1">
      <c r="A25" s="1"/>
      <c r="B25" s="1" t="s">
        <v>470</v>
      </c>
      <c r="C25" s="35">
        <v>5618</v>
      </c>
      <c r="D25" s="35">
        <v>6229</v>
      </c>
      <c r="E25" s="35">
        <v>5688</v>
      </c>
      <c r="F25" s="35">
        <v>4672</v>
      </c>
      <c r="G25" s="18">
        <f t="shared" si="1"/>
        <v>4672</v>
      </c>
      <c r="H25" s="35">
        <v>5008</v>
      </c>
      <c r="I25" s="35">
        <v>5495</v>
      </c>
      <c r="J25" s="30">
        <f>I25-'Cash Flow Statement'!J17-'Cash Flow Statement'!J66-'Cash Flow Statement'!J69</f>
        <v>5495</v>
      </c>
      <c r="K25" s="1" t="s">
        <v>450</v>
      </c>
      <c r="L25" s="1" t="s">
        <v>471</v>
      </c>
    </row>
    <row r="26" ht="15" customHeight="1">
      <c r="A26" s="1"/>
      <c r="B26" s="4" t="s">
        <v>472</v>
      </c>
      <c r="C26" s="33">
        <f t="shared" si="4" ref="C26:J26">C16+C17+C21+SUM(C22:C25)</f>
        <v>164864</v>
      </c>
      <c r="D26" s="33">
        <f t="shared" si="4"/>
        <v>167139</v>
      </c>
      <c r="E26" s="33">
        <f t="shared" si="4"/>
        <v>168672</v>
      </c>
      <c r="F26" s="33">
        <f t="shared" si="4"/>
        <v>171079</v>
      </c>
      <c r="G26" s="33">
        <f t="shared" si="4"/>
        <v>171079</v>
      </c>
      <c r="H26" s="33">
        <f t="shared" si="4"/>
        <v>170431</v>
      </c>
      <c r="I26" s="33">
        <f t="shared" si="4"/>
        <v>173972</v>
      </c>
      <c r="J26" s="34">
        <f t="shared" si="4"/>
        <v>176340.09519662155</v>
      </c>
      <c r="K26" s="1"/>
      <c r="L26" s="1"/>
    </row>
    <row r="27" ht="15" customHeight="1">
      <c r="A27" s="1"/>
      <c r="B27" s="4" t="s">
        <v>473</v>
      </c>
      <c r="C27" s="1"/>
      <c r="D27" s="1"/>
      <c r="E27" s="1"/>
      <c r="F27" s="1"/>
      <c r="G27" s="1"/>
      <c r="H27" s="1"/>
      <c r="I27" s="1"/>
      <c r="J27" s="29"/>
      <c r="K27" s="1"/>
      <c r="L27" s="1"/>
    </row>
    <row r="28" ht="15" customHeight="1">
      <c r="A28" s="1"/>
      <c r="B28" s="1" t="s">
        <v>474</v>
      </c>
      <c r="C28" s="35">
        <v>212</v>
      </c>
      <c r="D28" s="35">
        <v>1635</v>
      </c>
      <c r="E28" s="35">
        <v>215</v>
      </c>
      <c r="F28" s="35">
        <v>204</v>
      </c>
      <c r="G28" s="18">
        <f t="shared" si="1"/>
        <v>204</v>
      </c>
      <c r="H28" s="35">
        <v>226</v>
      </c>
      <c r="I28" s="35">
        <v>229</v>
      </c>
      <c r="J28" s="30">
        <f>I28+'Cash Flow Statement'!J81</f>
        <v>229</v>
      </c>
      <c r="K28" s="1" t="s">
        <v>450</v>
      </c>
      <c r="L28" s="1"/>
    </row>
    <row r="29" ht="15" customHeight="1">
      <c r="A29" s="1"/>
      <c r="B29" s="1" t="s">
        <v>475</v>
      </c>
      <c r="C29" s="35">
        <v>13444</v>
      </c>
      <c r="D29" s="35">
        <v>13433</v>
      </c>
      <c r="E29" s="35">
        <v>14552</v>
      </c>
      <c r="F29" s="35">
        <v>15895</v>
      </c>
      <c r="G29" s="18">
        <f t="shared" si="1"/>
        <v>15895</v>
      </c>
      <c r="H29" s="35">
        <v>15979</v>
      </c>
      <c r="I29" s="35">
        <v>16998</v>
      </c>
      <c r="J29" s="30">
        <f>I29+'Cash Flow Statement'!J41</f>
        <v>17898</v>
      </c>
      <c r="K29" s="1" t="s">
        <v>450</v>
      </c>
      <c r="L29" s="1" t="s">
        <v>476</v>
      </c>
    </row>
    <row r="30" ht="15" customHeight="1">
      <c r="A30" s="1"/>
      <c r="B30" s="1" t="s">
        <v>477</v>
      </c>
      <c r="C30" s="35">
        <v>1867</v>
      </c>
      <c r="D30" s="35">
        <v>2133</v>
      </c>
      <c r="E30" s="35">
        <v>2937</v>
      </c>
      <c r="F30" s="35">
        <v>3308</v>
      </c>
      <c r="G30" s="18">
        <f t="shared" si="1"/>
        <v>3308</v>
      </c>
      <c r="H30" s="35">
        <v>2004</v>
      </c>
      <c r="I30" s="35">
        <v>2356</v>
      </c>
      <c r="J30" s="36">
        <f t="shared" si="1"/>
        <v>2356</v>
      </c>
      <c r="K30" s="1" t="s">
        <v>450</v>
      </c>
      <c r="L30" s="1"/>
    </row>
    <row r="31" ht="15" customHeight="1">
      <c r="A31" s="1"/>
      <c r="B31" s="1" t="s">
        <v>478</v>
      </c>
      <c r="C31" s="35">
        <v>15219</v>
      </c>
      <c r="D31" s="35">
        <v>15861</v>
      </c>
      <c r="E31" s="35">
        <v>14835</v>
      </c>
      <c r="F31" s="35">
        <v>14350</v>
      </c>
      <c r="G31" s="18">
        <f t="shared" si="1"/>
        <v>14350</v>
      </c>
      <c r="H31" s="35">
        <v>14217</v>
      </c>
      <c r="I31" s="35">
        <v>15695</v>
      </c>
      <c r="J31" s="36">
        <f t="shared" si="1"/>
        <v>15695</v>
      </c>
      <c r="K31" s="1" t="s">
        <v>450</v>
      </c>
      <c r="L31" s="1"/>
    </row>
    <row r="32" ht="15" customHeight="1">
      <c r="A32" s="1"/>
      <c r="B32" s="1" t="s">
        <v>479</v>
      </c>
      <c r="C32" s="35">
        <v>19038</v>
      </c>
      <c r="D32" s="35">
        <v>19186</v>
      </c>
      <c r="E32" s="35">
        <v>20111</v>
      </c>
      <c r="F32" s="35">
        <v>21615</v>
      </c>
      <c r="G32" s="18">
        <f t="shared" si="1"/>
        <v>21615</v>
      </c>
      <c r="H32" s="35">
        <v>21940</v>
      </c>
      <c r="I32" s="35">
        <v>22671</v>
      </c>
      <c r="J32" s="30">
        <f>I32+'Cash Flow Statement'!J44</f>
        <v>23071</v>
      </c>
      <c r="K32" s="1" t="s">
        <v>450</v>
      </c>
      <c r="L32" s="1"/>
    </row>
    <row r="33" ht="15" customHeight="1">
      <c r="A33" s="1"/>
      <c r="B33" s="1" t="s">
        <v>480</v>
      </c>
      <c r="C33" s="35">
        <v>2844</v>
      </c>
      <c r="D33" s="35">
        <v>2084</v>
      </c>
      <c r="E33" s="35">
        <v>584</v>
      </c>
      <c r="F33" s="35">
        <v>3412</v>
      </c>
      <c r="G33" s="18">
        <f t="shared" si="1"/>
        <v>3412</v>
      </c>
      <c r="H33" s="35">
        <v>4213</v>
      </c>
      <c r="I33" s="35">
        <v>5296</v>
      </c>
      <c r="J33" s="30">
        <f>I33+'Cash Flow Statement'!J78</f>
        <v>5296</v>
      </c>
      <c r="K33" s="1" t="s">
        <v>450</v>
      </c>
      <c r="L33" s="1"/>
    </row>
    <row r="34" ht="15" customHeight="1">
      <c r="A34" s="1"/>
      <c r="B34" s="4" t="s">
        <v>481</v>
      </c>
      <c r="C34" s="33">
        <f t="shared" si="5" ref="C34:J34">SUM(C28:C33)</f>
        <v>52624</v>
      </c>
      <c r="D34" s="33">
        <f t="shared" si="5"/>
        <v>54332</v>
      </c>
      <c r="E34" s="33">
        <f t="shared" si="5"/>
        <v>53234</v>
      </c>
      <c r="F34" s="33">
        <f t="shared" si="5"/>
        <v>58784</v>
      </c>
      <c r="G34" s="33">
        <f t="shared" si="5"/>
        <v>58784</v>
      </c>
      <c r="H34" s="33">
        <f t="shared" si="5"/>
        <v>58579</v>
      </c>
      <c r="I34" s="33">
        <f t="shared" si="5"/>
        <v>63245</v>
      </c>
      <c r="J34" s="34">
        <f t="shared" si="5"/>
        <v>64545</v>
      </c>
      <c r="K34" s="1"/>
      <c r="L34" s="1"/>
    </row>
    <row r="35" ht="15" customHeight="1">
      <c r="A35" s="1"/>
      <c r="B35" s="1" t="s">
        <v>482</v>
      </c>
      <c r="C35" s="35">
        <v>38244</v>
      </c>
      <c r="D35" s="35">
        <v>38259</v>
      </c>
      <c r="E35" s="35">
        <v>38260</v>
      </c>
      <c r="F35" s="35">
        <v>34288</v>
      </c>
      <c r="G35" s="18">
        <f t="shared" si="1"/>
        <v>34288</v>
      </c>
      <c r="H35" s="35">
        <v>32974</v>
      </c>
      <c r="I35" s="35">
        <v>31858</v>
      </c>
      <c r="J35" s="36">
        <f t="shared" si="1"/>
        <v>31858</v>
      </c>
      <c r="K35" s="1" t="s">
        <v>450</v>
      </c>
      <c r="L35" s="1"/>
    </row>
    <row r="36" ht="15" customHeight="1">
      <c r="A36" s="1"/>
      <c r="B36" s="1" t="s">
        <v>483</v>
      </c>
      <c r="C36" s="35">
        <v>1646</v>
      </c>
      <c r="D36" s="35">
        <v>1617</v>
      </c>
      <c r="E36" s="35">
        <v>1650</v>
      </c>
      <c r="F36" s="35">
        <v>1602</v>
      </c>
      <c r="G36" s="18">
        <f t="shared" si="1"/>
        <v>1602</v>
      </c>
      <c r="H36" s="35">
        <v>1522</v>
      </c>
      <c r="I36" s="35">
        <v>1473</v>
      </c>
      <c r="J36" s="36">
        <f t="shared" si="1"/>
        <v>1473</v>
      </c>
      <c r="K36" s="1" t="s">
        <v>450</v>
      </c>
      <c r="L36" s="1"/>
    </row>
    <row r="37" ht="15" customHeight="1">
      <c r="A37" s="1"/>
      <c r="B37" s="1" t="s">
        <v>484</v>
      </c>
      <c r="C37" s="35">
        <v>2060</v>
      </c>
      <c r="D37" s="35">
        <v>2038</v>
      </c>
      <c r="E37" s="35">
        <v>1981</v>
      </c>
      <c r="F37" s="35">
        <v>2067</v>
      </c>
      <c r="G37" s="18">
        <f t="shared" si="1"/>
        <v>2067</v>
      </c>
      <c r="H37" s="35">
        <v>2015</v>
      </c>
      <c r="I37" s="35">
        <v>1956</v>
      </c>
      <c r="J37" s="30">
        <f>I37+'Cash Flow Statement'!J23</f>
        <v>1651</v>
      </c>
      <c r="K37" s="1" t="s">
        <v>450</v>
      </c>
      <c r="L37" s="1"/>
    </row>
    <row r="38" ht="15" customHeight="1">
      <c r="A38" s="1"/>
      <c r="B38" s="1" t="s">
        <v>485</v>
      </c>
      <c r="C38" s="35">
        <v>6946</v>
      </c>
      <c r="D38" s="35">
        <v>6646</v>
      </c>
      <c r="E38" s="35">
        <v>7154</v>
      </c>
      <c r="F38" s="35">
        <v>7200</v>
      </c>
      <c r="G38" s="18">
        <f t="shared" si="1"/>
        <v>7200</v>
      </c>
      <c r="H38" s="35">
        <v>7307</v>
      </c>
      <c r="I38" s="35">
        <v>7296</v>
      </c>
      <c r="J38" s="30">
        <f>I38+'Cash Flow Statement'!J47</f>
        <v>7246</v>
      </c>
      <c r="K38" s="1" t="s">
        <v>450</v>
      </c>
      <c r="L38" s="1"/>
    </row>
    <row r="39" ht="15" customHeight="1">
      <c r="A39" s="1"/>
      <c r="B39" s="4" t="s">
        <v>486</v>
      </c>
      <c r="C39" s="33">
        <f t="shared" si="6" ref="C39:J39">C34+SUM(C35:C38)</f>
        <v>101520</v>
      </c>
      <c r="D39" s="33">
        <f t="shared" si="6"/>
        <v>102892</v>
      </c>
      <c r="E39" s="33">
        <f t="shared" si="6"/>
        <v>102279</v>
      </c>
      <c r="F39" s="33">
        <f t="shared" si="6"/>
        <v>103941</v>
      </c>
      <c r="G39" s="33">
        <f t="shared" si="6"/>
        <v>103941</v>
      </c>
      <c r="H39" s="33">
        <f t="shared" si="6"/>
        <v>102397</v>
      </c>
      <c r="I39" s="33">
        <f t="shared" si="6"/>
        <v>105828</v>
      </c>
      <c r="J39" s="34">
        <f t="shared" si="6"/>
        <v>106773</v>
      </c>
      <c r="K39" s="1"/>
      <c r="L39" s="1"/>
    </row>
    <row r="40" ht="15" customHeight="1">
      <c r="A40" s="1"/>
      <c r="B40" s="1" t="s">
        <v>487</v>
      </c>
      <c r="C40" s="35">
        <v>37</v>
      </c>
      <c r="D40" s="35">
        <v>41</v>
      </c>
      <c r="E40" s="35">
        <v>34</v>
      </c>
      <c r="F40" s="35">
        <v>36</v>
      </c>
      <c r="G40" s="18">
        <f t="shared" si="1"/>
        <v>36</v>
      </c>
      <c r="H40" s="35">
        <v>37</v>
      </c>
      <c r="I40" s="35">
        <v>28</v>
      </c>
      <c r="J40" s="36">
        <f t="shared" si="1"/>
        <v>28</v>
      </c>
      <c r="K40" s="1" t="s">
        <v>450</v>
      </c>
      <c r="L40" s="1"/>
    </row>
    <row r="41" ht="15" customHeight="1">
      <c r="A41" s="1"/>
      <c r="B41" s="4" t="s">
        <v>488</v>
      </c>
      <c r="C41" s="1"/>
      <c r="D41" s="1"/>
      <c r="E41" s="1"/>
      <c r="F41" s="1"/>
      <c r="G41" s="1"/>
      <c r="H41" s="1"/>
      <c r="I41" s="1"/>
      <c r="J41" s="29"/>
      <c r="K41" s="1"/>
      <c r="L41" s="1"/>
    </row>
    <row r="42" ht="15" customHeight="1">
      <c r="A42" s="1"/>
      <c r="B42" s="1" t="s">
        <v>489</v>
      </c>
      <c r="C42" s="35">
        <v>37515</v>
      </c>
      <c r="D42" s="35">
        <v>37680</v>
      </c>
      <c r="E42" s="35">
        <v>37869</v>
      </c>
      <c r="F42" s="35">
        <v>38126</v>
      </c>
      <c r="G42" s="18">
        <f t="shared" si="1"/>
        <v>38126</v>
      </c>
      <c r="H42" s="35">
        <v>38178</v>
      </c>
      <c r="I42" s="35">
        <v>38424</v>
      </c>
      <c r="J42" s="30">
        <f>I42+'Cash Flow Statement'!J20+'Cash Flow Statement'!J26+'Cash Flow Statement'!J89</f>
        <v>38644</v>
      </c>
      <c r="K42" s="1" t="s">
        <v>450</v>
      </c>
      <c r="L42" s="1" t="s">
        <v>490</v>
      </c>
    </row>
    <row r="43" ht="15" customHeight="1">
      <c r="A43" s="1"/>
      <c r="B43" s="1" t="s">
        <v>491</v>
      </c>
      <c r="C43" s="35">
        <v>-27069</v>
      </c>
      <c r="D43" s="35">
        <v>-26995</v>
      </c>
      <c r="E43" s="35">
        <v>-26937</v>
      </c>
      <c r="F43" s="35">
        <v>-26881</v>
      </c>
      <c r="G43" s="18">
        <f t="shared" si="1"/>
        <v>-26881</v>
      </c>
      <c r="H43" s="35">
        <v>-26814</v>
      </c>
      <c r="I43" s="35">
        <v>-26758</v>
      </c>
      <c r="J43" s="30">
        <f>I43+'Cash Flow Statement'!J87</f>
        <v>-26758</v>
      </c>
      <c r="K43" s="1" t="s">
        <v>450</v>
      </c>
      <c r="L43" s="1"/>
    </row>
    <row r="44" ht="15" customHeight="1">
      <c r="A44" s="1"/>
      <c r="B44" s="1" t="s">
        <v>492</v>
      </c>
      <c r="C44" s="35">
        <v>54277</v>
      </c>
      <c r="D44" s="35">
        <v>54104</v>
      </c>
      <c r="E44" s="35">
        <v>56014</v>
      </c>
      <c r="F44" s="35">
        <v>56718</v>
      </c>
      <c r="G44" s="18">
        <f t="shared" si="1"/>
        <v>56718</v>
      </c>
      <c r="H44" s="35">
        <v>57861</v>
      </c>
      <c r="I44" s="35">
        <v>58020</v>
      </c>
      <c r="J44" s="30">
        <f>I44+'Income Statement'!J87+'Cash Flow Statement'!J84</f>
        <v>59118.09519662157</v>
      </c>
      <c r="K44" s="1" t="s">
        <v>450</v>
      </c>
      <c r="L44" s="1" t="s">
        <v>493</v>
      </c>
    </row>
    <row r="45" ht="15" customHeight="1">
      <c r="A45" s="1"/>
      <c r="B45" s="1" t="s">
        <v>494</v>
      </c>
      <c r="C45" s="35">
        <v>-3207</v>
      </c>
      <c r="D45" s="35">
        <v>-2391</v>
      </c>
      <c r="E45" s="35">
        <v>-2432</v>
      </c>
      <c r="F45" s="35">
        <v>-2718</v>
      </c>
      <c r="G45" s="18">
        <f t="shared" si="1"/>
        <v>-2718</v>
      </c>
      <c r="H45" s="35">
        <v>-2945</v>
      </c>
      <c r="I45" s="35">
        <v>-3309</v>
      </c>
      <c r="J45" s="30">
        <f>I45+'Cash Flow Statement'!J97</f>
        <v>-3309</v>
      </c>
      <c r="K45" s="1" t="s">
        <v>450</v>
      </c>
      <c r="L45" s="1"/>
    </row>
    <row r="46" ht="15" customHeight="1">
      <c r="A46" s="1"/>
      <c r="B46" s="4" t="s">
        <v>495</v>
      </c>
      <c r="C46" s="33">
        <f t="shared" si="7" ref="C46:J46">SUM(C42:C45)</f>
        <v>61516</v>
      </c>
      <c r="D46" s="33">
        <f t="shared" si="7"/>
        <v>62398</v>
      </c>
      <c r="E46" s="33">
        <f t="shared" si="7"/>
        <v>64514</v>
      </c>
      <c r="F46" s="33">
        <f t="shared" si="7"/>
        <v>65245</v>
      </c>
      <c r="G46" s="33">
        <f t="shared" si="7"/>
        <v>65245</v>
      </c>
      <c r="H46" s="33">
        <f t="shared" si="7"/>
        <v>66280</v>
      </c>
      <c r="I46" s="33">
        <f t="shared" si="7"/>
        <v>66377</v>
      </c>
      <c r="J46" s="34">
        <f t="shared" si="7"/>
        <v>67695.09519662158</v>
      </c>
      <c r="K46" s="1"/>
      <c r="L46" s="1"/>
    </row>
    <row r="47" ht="15" customHeight="1">
      <c r="A47" s="1"/>
      <c r="B47" s="1" t="s">
        <v>496</v>
      </c>
      <c r="C47" s="35">
        <v>1791</v>
      </c>
      <c r="D47" s="35">
        <v>1808</v>
      </c>
      <c r="E47" s="35">
        <v>1845</v>
      </c>
      <c r="F47" s="35">
        <v>1857</v>
      </c>
      <c r="G47" s="18">
        <f t="shared" si="1"/>
        <v>1857</v>
      </c>
      <c r="H47" s="35">
        <v>1717</v>
      </c>
      <c r="I47" s="35">
        <v>1739</v>
      </c>
      <c r="J47" s="30">
        <f>I47+'Income Statement'!J84</f>
        <v>1844</v>
      </c>
      <c r="K47" s="1" t="s">
        <v>450</v>
      </c>
      <c r="L47" s="1" t="s">
        <v>497</v>
      </c>
    </row>
    <row r="48" ht="15" customHeight="1">
      <c r="A48" s="1"/>
      <c r="B48" s="4" t="s">
        <v>498</v>
      </c>
      <c r="C48" s="33">
        <f t="shared" si="3"/>
        <v>63307</v>
      </c>
      <c r="D48" s="33">
        <f t="shared" si="3"/>
        <v>64206</v>
      </c>
      <c r="E48" s="33">
        <f t="shared" si="3"/>
        <v>66359</v>
      </c>
      <c r="F48" s="33">
        <f t="shared" si="3"/>
        <v>67102</v>
      </c>
      <c r="G48" s="33">
        <f t="shared" si="3"/>
        <v>67102</v>
      </c>
      <c r="H48" s="33">
        <f t="shared" si="3"/>
        <v>67997</v>
      </c>
      <c r="I48" s="33">
        <f t="shared" si="3"/>
        <v>68116</v>
      </c>
      <c r="J48" s="34">
        <f t="shared" si="3"/>
        <v>69539.09519662158</v>
      </c>
      <c r="K48" s="1"/>
      <c r="L48" s="1"/>
    </row>
    <row r="49" ht="15" customHeight="1">
      <c r="A49" s="1"/>
      <c r="B49" s="4" t="s">
        <v>499</v>
      </c>
      <c r="C49" s="33">
        <f t="shared" si="8" ref="C49:J49">C39+C40+C48</f>
        <v>164864</v>
      </c>
      <c r="D49" s="33">
        <f t="shared" si="8"/>
        <v>167139</v>
      </c>
      <c r="E49" s="33">
        <f t="shared" si="8"/>
        <v>168672</v>
      </c>
      <c r="F49" s="33">
        <f t="shared" si="8"/>
        <v>171079</v>
      </c>
      <c r="G49" s="33">
        <f t="shared" si="8"/>
        <v>171079</v>
      </c>
      <c r="H49" s="33">
        <f t="shared" si="8"/>
        <v>170431</v>
      </c>
      <c r="I49" s="33">
        <f t="shared" si="8"/>
        <v>173972</v>
      </c>
      <c r="J49" s="34">
        <f t="shared" si="8"/>
        <v>176340.09519662158</v>
      </c>
      <c r="K49" s="1"/>
      <c r="L49" s="1"/>
    </row>
    <row r="50" ht="15" customHeight="1">
      <c r="A50" s="1"/>
      <c r="B50" s="1" t="s">
        <v>500</v>
      </c>
      <c r="C50" s="18">
        <f t="shared" si="9" ref="C50:J50">C26-C39-C40-C48</f>
        <v>0</v>
      </c>
      <c r="D50" s="18">
        <f t="shared" si="9"/>
        <v>0</v>
      </c>
      <c r="E50" s="18">
        <f t="shared" si="9"/>
        <v>0</v>
      </c>
      <c r="F50" s="18">
        <f t="shared" si="9"/>
        <v>0</v>
      </c>
      <c r="G50" s="18">
        <f t="shared" si="9"/>
        <v>0</v>
      </c>
      <c r="H50" s="18">
        <f t="shared" si="9"/>
        <v>0</v>
      </c>
      <c r="I50" s="18">
        <f t="shared" si="9"/>
        <v>0</v>
      </c>
      <c r="J50" s="36">
        <f t="shared" si="9"/>
        <v>0</v>
      </c>
      <c r="K50" s="1"/>
      <c r="L50" s="1"/>
    </row>
    <row r="51" ht="15" customHeight="1">
      <c r="A51" s="1"/>
      <c r="B51" s="1"/>
      <c r="C51" s="1"/>
      <c r="D51" s="1"/>
      <c r="E51" s="1"/>
      <c r="F51" s="1"/>
      <c r="G51" s="1"/>
      <c r="H51" s="1"/>
      <c r="I51" s="1"/>
      <c r="J51" s="29"/>
      <c r="K51" s="1"/>
      <c r="L51" s="1"/>
    </row>
    <row r="52" ht="15" customHeight="1">
      <c r="A52" s="1"/>
      <c r="B52" s="4" t="s">
        <v>501</v>
      </c>
      <c r="C52" s="1"/>
      <c r="D52" s="1"/>
      <c r="E52" s="1"/>
      <c r="F52" s="1"/>
      <c r="G52" s="1"/>
      <c r="H52" s="1"/>
      <c r="I52" s="1"/>
      <c r="J52" s="29"/>
      <c r="K52" s="1"/>
      <c r="L52" s="1"/>
    </row>
    <row r="53" ht="15" customHeight="1">
      <c r="A53" s="1"/>
      <c r="B53" s="4" t="s">
        <v>502</v>
      </c>
      <c r="C53" s="33">
        <f t="shared" si="10" ref="C53:J53">C28+C33+C35-C11</f>
        <v>36143</v>
      </c>
      <c r="D53" s="33">
        <f t="shared" si="10"/>
        <v>37196</v>
      </c>
      <c r="E53" s="33">
        <f t="shared" si="10"/>
        <v>33093</v>
      </c>
      <c r="F53" s="33">
        <f t="shared" si="10"/>
        <v>30469</v>
      </c>
      <c r="G53" s="33">
        <f t="shared" si="10"/>
        <v>30469</v>
      </c>
      <c r="H53" s="33">
        <f t="shared" si="10"/>
        <v>30595</v>
      </c>
      <c r="I53" s="33">
        <f t="shared" si="10"/>
        <v>29078</v>
      </c>
      <c r="J53" s="34">
        <f t="shared" si="10"/>
        <v>28030.90480337843</v>
      </c>
      <c r="K53" s="1"/>
      <c r="L53" s="1"/>
    </row>
    <row r="54" ht="15" customHeight="1">
      <c r="A54" s="1"/>
      <c r="B54" s="1" t="s">
        <v>90</v>
      </c>
      <c r="C54" s="18"/>
      <c r="D54" s="18">
        <f t="shared" si="11" ref="D54:J56">IF(COUNT(D53,C53)&lt;2,"n/a",D53-C53)</f>
        <v>1053</v>
      </c>
      <c r="E54" s="18">
        <f t="shared" si="11"/>
        <v>-4103</v>
      </c>
      <c r="F54" s="18">
        <f t="shared" si="11"/>
        <v>-2624</v>
      </c>
      <c r="G54" s="18"/>
      <c r="H54" s="18">
        <f t="shared" si="13" ref="H54:H56">IF(COUNT(H53,F53)&lt;2,"n/a",H53-F53)</f>
        <v>126</v>
      </c>
      <c r="I54" s="18">
        <f t="shared" si="11"/>
        <v>-1517</v>
      </c>
      <c r="J54" s="36">
        <f t="shared" si="11"/>
        <v>-1047.095196621569</v>
      </c>
      <c r="K54" s="1"/>
      <c r="L54" s="1"/>
    </row>
    <row r="55" ht="15" customHeight="1">
      <c r="A55" s="1"/>
      <c r="B55" s="1" t="s">
        <v>503</v>
      </c>
      <c r="C55" s="18">
        <f t="shared" si="12" ref="C55:J55">C32-C13</f>
        <v>3797</v>
      </c>
      <c r="D55" s="18">
        <f t="shared" si="12"/>
        <v>3500</v>
      </c>
      <c r="E55" s="18">
        <f t="shared" si="12"/>
        <v>3507</v>
      </c>
      <c r="F55" s="18">
        <f t="shared" si="12"/>
        <v>4523</v>
      </c>
      <c r="G55" s="18">
        <f t="shared" si="12"/>
        <v>4523</v>
      </c>
      <c r="H55" s="18">
        <f t="shared" si="12"/>
        <v>3870</v>
      </c>
      <c r="I55" s="18">
        <f t="shared" si="12"/>
        <v>3691</v>
      </c>
      <c r="J55" s="36">
        <f t="shared" si="12"/>
        <v>3391</v>
      </c>
      <c r="K55" s="1"/>
      <c r="L55" s="1"/>
    </row>
    <row r="56" ht="15" customHeight="1">
      <c r="A56" s="1"/>
      <c r="B56" s="1" t="s">
        <v>90</v>
      </c>
      <c r="C56" s="18"/>
      <c r="D56" s="18">
        <f t="shared" si="11"/>
        <v>-297</v>
      </c>
      <c r="E56" s="18">
        <f t="shared" si="11"/>
        <v>7</v>
      </c>
      <c r="F56" s="18">
        <f t="shared" si="11"/>
        <v>1016</v>
      </c>
      <c r="G56" s="18"/>
      <c r="H56" s="18">
        <f t="shared" si="13"/>
        <v>-653</v>
      </c>
      <c r="I56" s="18">
        <f t="shared" si="11"/>
        <v>-179</v>
      </c>
      <c r="J56" s="36">
        <f t="shared" si="11"/>
        <v>-300</v>
      </c>
      <c r="K56" s="1"/>
      <c r="L56" s="1"/>
    </row>
    <row r="57" ht="15" customHeight="1">
      <c r="A57" s="1"/>
      <c r="B57" s="5" t="s">
        <v>504</v>
      </c>
      <c r="C57" s="28">
        <f>C14/'Income Statement'!C19</f>
        <v>0.6706392199349945</v>
      </c>
      <c r="D57" s="28">
        <f>D14/'Income Statement'!D19</f>
        <v>0.6492748250776146</v>
      </c>
      <c r="E57" s="28">
        <f>E14/'Income Statement'!E19</f>
        <v>0.6142005516505027</v>
      </c>
      <c r="F57" s="28">
        <f>F14/'Income Statement'!F19</f>
        <v>0.5513656242264213</v>
      </c>
      <c r="G57" s="19"/>
      <c r="H57" s="28">
        <f>H14/'Income Statement'!H19</f>
        <v>0.641103460771879</v>
      </c>
      <c r="I57" s="28">
        <f>I14/'Income Statement'!I19</f>
        <v>0.5831714424477902</v>
      </c>
      <c r="J57" s="31">
        <f>J14/'Income Statement'!J19</f>
        <v>0.6071682598091996</v>
      </c>
      <c r="K57" s="1"/>
      <c r="L57" s="1"/>
    </row>
    <row r="58" ht="15" customHeight="1">
      <c r="A58" s="1"/>
      <c r="B58" s="5" t="s">
        <v>143</v>
      </c>
      <c r="C58" s="48"/>
      <c r="D58" s="48"/>
      <c r="E58" s="48"/>
      <c r="F58" s="48"/>
      <c r="G58" s="48"/>
      <c r="H58" s="48">
        <f t="shared" si="14" ref="H58:J58">IF(COUNT(H57,C57)&lt;2,"n/a",(H57-C57)*10000)</f>
        <v>-295.35759163115574</v>
      </c>
      <c r="I58" s="48">
        <f t="shared" si="14"/>
        <v>-661.033826298244</v>
      </c>
      <c r="J58" s="49">
        <f t="shared" si="14"/>
        <v>-70.32291841303051</v>
      </c>
      <c r="K58" s="1"/>
      <c r="L58" s="1"/>
    </row>
    <row r="59" ht="15" customHeight="1">
      <c r="A59" s="1"/>
      <c r="B59" s="5" t="s">
        <v>128</v>
      </c>
      <c r="C59" s="48"/>
      <c r="D59" s="48">
        <f t="shared" si="15" ref="D59:J59">IF(COUNT(D57,C57)&lt;2,"n/a",(D57-C57)*10000)</f>
        <v>-213.64394857379955</v>
      </c>
      <c r="E59" s="48">
        <f t="shared" si="15"/>
        <v>-350.74273427111893</v>
      </c>
      <c r="F59" s="48">
        <f t="shared" si="15"/>
        <v>-628.3492742408137</v>
      </c>
      <c r="G59" s="48"/>
      <c r="H59" s="48">
        <f>IF(COUNT(H57,F57)&lt;2,"n/a",(H57-F57)*10000)</f>
        <v>897.3783654545764</v>
      </c>
      <c r="I59" s="48">
        <f t="shared" si="15"/>
        <v>-579.3201832408879</v>
      </c>
      <c r="J59" s="49">
        <f t="shared" si="15"/>
        <v>239.9681736140946</v>
      </c>
      <c r="K59" s="1"/>
      <c r="L59" s="1"/>
    </row>
    <row r="60" ht="15" customHeight="1">
      <c r="A60" s="1"/>
      <c r="B60" s="1"/>
      <c r="C60" s="1"/>
      <c r="D60" s="1"/>
      <c r="E60" s="1"/>
      <c r="F60" s="1"/>
      <c r="G60" s="1"/>
      <c r="H60" s="1"/>
      <c r="I60" s="1"/>
      <c r="J60" s="29"/>
      <c r="K60" s="1"/>
      <c r="L60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D73DABC5-7B1B-BE0B-1AD6-98E8D4011E3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6.00390625" customWidth="1"/>
    <col min="3" max="10" width="12.00390625" customWidth="1"/>
    <col min="11" max="11" width="20.00390625" customWidth="1"/>
    <col min="12" max="12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4" t="s">
        <v>505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ht="15" customHeight="1">
      <c r="A6" s="1"/>
      <c r="B6" s="6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8" t="s">
        <v>12</v>
      </c>
      <c r="K6" s="6" t="s">
        <v>13</v>
      </c>
      <c r="L6" s="6" t="s">
        <v>14</v>
      </c>
    </row>
    <row r="7" ht="15" customHeight="1">
      <c r="A7" s="1"/>
      <c r="B7" s="9" t="s">
        <v>15</v>
      </c>
      <c r="C7" s="10">
        <v>45747</v>
      </c>
      <c r="D7" s="10">
        <v>45838</v>
      </c>
      <c r="E7" s="10">
        <v>45930</v>
      </c>
      <c r="F7" s="10">
        <v>46022</v>
      </c>
      <c r="G7" s="10">
        <v>46022</v>
      </c>
      <c r="H7" s="10">
        <v>46112</v>
      </c>
      <c r="I7" s="10">
        <v>46203</v>
      </c>
      <c r="J7" s="11">
        <v>46295</v>
      </c>
      <c r="K7" s="9"/>
      <c r="L7" s="9"/>
    </row>
    <row r="8" ht="15" customHeight="1">
      <c r="A8" s="1"/>
      <c r="B8" s="12" t="s">
        <v>16</v>
      </c>
      <c r="C8" s="13">
        <f>C7-EOMONTH(C7,-3)</f>
        <v>90</v>
      </c>
      <c r="D8" s="13">
        <f t="shared" si="0" ref="D8:J8">D7-C7</f>
        <v>91</v>
      </c>
      <c r="E8" s="13">
        <f t="shared" si="0"/>
        <v>92</v>
      </c>
      <c r="F8" s="13">
        <f t="shared" si="0"/>
        <v>92</v>
      </c>
      <c r="G8" s="13">
        <f>G7-EOMONTH(G7,-12)</f>
        <v>365</v>
      </c>
      <c r="H8" s="13">
        <f>H7-F7</f>
        <v>90</v>
      </c>
      <c r="I8" s="13">
        <f t="shared" si="0"/>
        <v>91</v>
      </c>
      <c r="J8" s="14">
        <f t="shared" si="0"/>
        <v>92</v>
      </c>
      <c r="K8" s="12"/>
      <c r="L8" s="12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15" customHeight="1">
      <c r="A10" s="1"/>
      <c r="B10" s="4" t="s">
        <v>506</v>
      </c>
      <c r="C10" s="1"/>
      <c r="D10" s="1"/>
      <c r="E10" s="1"/>
      <c r="F10" s="1"/>
      <c r="G10" s="1"/>
      <c r="H10" s="1"/>
      <c r="I10" s="1"/>
      <c r="J10" s="29"/>
      <c r="K10" s="1"/>
      <c r="L10" s="1"/>
    </row>
    <row r="11" ht="15" customHeight="1">
      <c r="A11" s="1"/>
      <c r="B11" s="1" t="s">
        <v>507</v>
      </c>
      <c r="C11" s="17">
        <f>'Income Statement'!C81</f>
        <v>1625</v>
      </c>
      <c r="D11" s="17">
        <f>'Income Statement'!D81</f>
        <v>1725</v>
      </c>
      <c r="E11" s="17">
        <f>'Income Statement'!E81</f>
        <v>2006</v>
      </c>
      <c r="F11" s="17">
        <f>'Income Statement'!F81</f>
        <v>1713</v>
      </c>
      <c r="G11" s="17">
        <f>'Income Statement'!G81</f>
        <v>7069</v>
      </c>
      <c r="H11" s="17">
        <f>'Income Statement'!H81</f>
        <v>2157</v>
      </c>
      <c r="I11" s="17">
        <f>'Income Statement'!I81</f>
        <v>2249</v>
      </c>
      <c r="J11" s="30">
        <f>'Income Statement'!J81</f>
        <v>2190.201196621569</v>
      </c>
      <c r="K11" s="1"/>
      <c r="L11" s="1"/>
    </row>
    <row r="12" ht="15" customHeight="1">
      <c r="A12" s="1"/>
      <c r="B12" s="5" t="s">
        <v>73</v>
      </c>
      <c r="C12" s="19"/>
      <c r="D12" s="19"/>
      <c r="E12" s="19"/>
      <c r="F12" s="19"/>
      <c r="G12" s="19"/>
      <c r="H12" s="19">
        <f t="shared" si="1" ref="H12:J112">IF(COUNT(H11,C11)&lt;2,"n/a",IF(H11*C11&lt;=0,"n/m",H11/C11-1))</f>
        <v>0.3273846153846154</v>
      </c>
      <c r="I12" s="19">
        <f t="shared" si="1"/>
        <v>0.3037681159420289</v>
      </c>
      <c r="J12" s="32">
        <f t="shared" si="1"/>
        <v>0.09182512294195866</v>
      </c>
      <c r="K12" s="1"/>
      <c r="L12" s="1"/>
    </row>
    <row r="13" ht="15" customHeight="1">
      <c r="A13" s="1"/>
      <c r="B13" s="1" t="s">
        <v>90</v>
      </c>
      <c r="C13" s="18"/>
      <c r="D13" s="18">
        <f t="shared" si="2" ref="D13:J113">IF(COUNT(D11,C11)&lt;2,"n/a",D11-C11)</f>
        <v>100</v>
      </c>
      <c r="E13" s="18">
        <f t="shared" si="2"/>
        <v>281</v>
      </c>
      <c r="F13" s="18">
        <f t="shared" si="2"/>
        <v>-293</v>
      </c>
      <c r="G13" s="18"/>
      <c r="H13" s="18">
        <f t="shared" si="3" ref="H13:H113">IF(COUNT(H11,F11)&lt;2,"n/a",H11-F11)</f>
        <v>444</v>
      </c>
      <c r="I13" s="18">
        <f t="shared" si="2"/>
        <v>92</v>
      </c>
      <c r="J13" s="36">
        <f t="shared" si="2"/>
        <v>-58.798803378430875</v>
      </c>
      <c r="K13" s="1"/>
      <c r="L13" s="1"/>
    </row>
    <row r="14" ht="15" customHeight="1">
      <c r="A14" s="1"/>
      <c r="B14" s="1" t="s">
        <v>508</v>
      </c>
      <c r="C14" s="35">
        <v>1052</v>
      </c>
      <c r="D14" s="35">
        <v>1076</v>
      </c>
      <c r="E14" s="35">
        <v>1091</v>
      </c>
      <c r="F14" s="35">
        <v>1159</v>
      </c>
      <c r="G14" s="18">
        <f t="shared" si="4" ref="G14:G114">SUM(C14:F14)</f>
        <v>4378</v>
      </c>
      <c r="H14" s="35">
        <v>1071</v>
      </c>
      <c r="I14" s="35">
        <v>1079</v>
      </c>
      <c r="J14" s="36">
        <f>I14</f>
        <v>1079</v>
      </c>
      <c r="K14" s="1" t="s">
        <v>509</v>
      </c>
      <c r="L14" s="1" t="s">
        <v>510</v>
      </c>
    </row>
    <row r="15" ht="15" customHeight="1">
      <c r="A15" s="1"/>
      <c r="B15" s="5" t="s">
        <v>83</v>
      </c>
      <c r="C15" s="19"/>
      <c r="D15" s="19"/>
      <c r="E15" s="19"/>
      <c r="F15" s="19"/>
      <c r="G15" s="19"/>
      <c r="H15" s="19">
        <f t="shared" si="1"/>
        <v>0.018060836501901045</v>
      </c>
      <c r="I15" s="19">
        <f t="shared" si="1"/>
        <v>0.0027881040892192566</v>
      </c>
      <c r="J15" s="32">
        <f t="shared" si="1"/>
        <v>-0.010999083409715893</v>
      </c>
      <c r="K15" s="1"/>
      <c r="L15" s="1"/>
    </row>
    <row r="16" ht="15" customHeight="1">
      <c r="A16" s="1"/>
      <c r="B16" s="1" t="s">
        <v>84</v>
      </c>
      <c r="C16" s="18"/>
      <c r="D16" s="18">
        <f t="shared" si="2"/>
        <v>24</v>
      </c>
      <c r="E16" s="18">
        <f t="shared" si="2"/>
        <v>15</v>
      </c>
      <c r="F16" s="18">
        <f t="shared" si="2"/>
        <v>68</v>
      </c>
      <c r="G16" s="18"/>
      <c r="H16" s="18">
        <f t="shared" si="3"/>
        <v>-88</v>
      </c>
      <c r="I16" s="18">
        <f t="shared" si="2"/>
        <v>8</v>
      </c>
      <c r="J16" s="36">
        <f t="shared" si="2"/>
        <v>0</v>
      </c>
      <c r="K16" s="1"/>
      <c r="L16" s="1"/>
    </row>
    <row r="17" ht="15" customHeight="1">
      <c r="A17" s="1"/>
      <c r="B17" s="1" t="s">
        <v>511</v>
      </c>
      <c r="C17" s="35">
        <v>67</v>
      </c>
      <c r="D17" s="35">
        <v>54</v>
      </c>
      <c r="E17" s="35">
        <v>477</v>
      </c>
      <c r="F17" s="35">
        <v>191</v>
      </c>
      <c r="G17" s="18">
        <f t="shared" si="4"/>
        <v>789</v>
      </c>
      <c r="H17" s="35">
        <v>26</v>
      </c>
      <c r="I17" s="35">
        <v>-56</v>
      </c>
      <c r="J17" s="42">
        <v>50</v>
      </c>
      <c r="K17" s="1" t="s">
        <v>509</v>
      </c>
      <c r="L17" s="1" t="s">
        <v>340</v>
      </c>
    </row>
    <row r="18" ht="15" customHeight="1">
      <c r="A18" s="1"/>
      <c r="B18" s="5" t="s">
        <v>83</v>
      </c>
      <c r="C18" s="43"/>
      <c r="D18" s="43"/>
      <c r="E18" s="43"/>
      <c r="F18" s="43"/>
      <c r="G18" s="43"/>
      <c r="H18" s="43">
        <f t="shared" si="1"/>
        <v>-0.6119402985074627</v>
      </c>
      <c r="I18" s="43" t="str">
        <f t="shared" si="1"/>
        <v>n/m</v>
      </c>
      <c r="J18" s="44">
        <f t="shared" si="1"/>
        <v>-0.8951781970649895</v>
      </c>
      <c r="K18" s="1"/>
      <c r="L18" s="1"/>
    </row>
    <row r="19" ht="15" customHeight="1">
      <c r="A19" s="1"/>
      <c r="B19" s="1" t="s">
        <v>84</v>
      </c>
      <c r="C19" s="18"/>
      <c r="D19" s="18">
        <f t="shared" si="2"/>
        <v>-13</v>
      </c>
      <c r="E19" s="18">
        <f t="shared" si="2"/>
        <v>423</v>
      </c>
      <c r="F19" s="18">
        <f t="shared" si="2"/>
        <v>-286</v>
      </c>
      <c r="G19" s="18"/>
      <c r="H19" s="18">
        <f t="shared" si="3"/>
        <v>-165</v>
      </c>
      <c r="I19" s="18">
        <f t="shared" si="2"/>
        <v>-82</v>
      </c>
      <c r="J19" s="36">
        <f t="shared" si="2"/>
        <v>106</v>
      </c>
      <c r="K19" s="1"/>
      <c r="L19" s="1"/>
    </row>
    <row r="20" ht="15" customHeight="1">
      <c r="A20" s="1"/>
      <c r="B20" s="1" t="s">
        <v>512</v>
      </c>
      <c r="C20" s="35">
        <v>111</v>
      </c>
      <c r="D20" s="35">
        <v>113</v>
      </c>
      <c r="E20" s="35">
        <v>113</v>
      </c>
      <c r="F20" s="35">
        <v>182</v>
      </c>
      <c r="G20" s="18">
        <f t="shared" si="4"/>
        <v>519</v>
      </c>
      <c r="H20" s="35">
        <v>132</v>
      </c>
      <c r="I20" s="35">
        <v>164</v>
      </c>
      <c r="J20" s="42">
        <v>140</v>
      </c>
      <c r="K20" s="1" t="s">
        <v>509</v>
      </c>
      <c r="L20" s="1" t="s">
        <v>340</v>
      </c>
    </row>
    <row r="21" ht="15" customHeight="1">
      <c r="A21" s="1"/>
      <c r="B21" s="5" t="s">
        <v>83</v>
      </c>
      <c r="C21" s="19"/>
      <c r="D21" s="19"/>
      <c r="E21" s="19"/>
      <c r="F21" s="19"/>
      <c r="G21" s="19"/>
      <c r="H21" s="19">
        <f t="shared" si="1"/>
        <v>0.18918918918918926</v>
      </c>
      <c r="I21" s="19">
        <f t="shared" si="1"/>
        <v>0.4513274336283186</v>
      </c>
      <c r="J21" s="32">
        <f t="shared" si="1"/>
        <v>0.23893805309734506</v>
      </c>
      <c r="K21" s="1"/>
      <c r="L21" s="1"/>
    </row>
    <row r="22" ht="15" customHeight="1">
      <c r="A22" s="1"/>
      <c r="B22" s="1" t="s">
        <v>84</v>
      </c>
      <c r="C22" s="18"/>
      <c r="D22" s="18">
        <f t="shared" si="2"/>
        <v>2</v>
      </c>
      <c r="E22" s="18">
        <f t="shared" si="2"/>
        <v>0</v>
      </c>
      <c r="F22" s="18">
        <f t="shared" si="2"/>
        <v>69</v>
      </c>
      <c r="G22" s="18"/>
      <c r="H22" s="18">
        <f t="shared" si="3"/>
        <v>-50</v>
      </c>
      <c r="I22" s="18">
        <f t="shared" si="2"/>
        <v>32</v>
      </c>
      <c r="J22" s="36">
        <f t="shared" si="2"/>
        <v>-24</v>
      </c>
      <c r="K22" s="1"/>
      <c r="L22" s="1"/>
    </row>
    <row r="23" ht="15" customHeight="1">
      <c r="A23" s="1"/>
      <c r="B23" s="1" t="s">
        <v>513</v>
      </c>
      <c r="C23" s="35">
        <v>-324</v>
      </c>
      <c r="D23" s="35">
        <v>-312</v>
      </c>
      <c r="E23" s="35">
        <v>-320</v>
      </c>
      <c r="F23" s="35">
        <v>-55</v>
      </c>
      <c r="G23" s="18">
        <f t="shared" si="4"/>
        <v>-1011</v>
      </c>
      <c r="H23" s="35">
        <v>-313</v>
      </c>
      <c r="I23" s="35">
        <v>-303</v>
      </c>
      <c r="J23" s="42">
        <v>-305</v>
      </c>
      <c r="K23" s="1" t="s">
        <v>509</v>
      </c>
      <c r="L23" s="1" t="s">
        <v>340</v>
      </c>
    </row>
    <row r="24" ht="15" customHeight="1">
      <c r="A24" s="1"/>
      <c r="B24" s="5" t="s">
        <v>83</v>
      </c>
      <c r="C24" s="19"/>
      <c r="D24" s="19"/>
      <c r="E24" s="19"/>
      <c r="F24" s="19"/>
      <c r="G24" s="19"/>
      <c r="H24" s="19">
        <f t="shared" si="1"/>
        <v>-0.03395061728395066</v>
      </c>
      <c r="I24" s="19">
        <f t="shared" si="1"/>
        <v>-0.028846153846153855</v>
      </c>
      <c r="J24" s="32">
        <f t="shared" si="1"/>
        <v>-0.046875</v>
      </c>
      <c r="K24" s="1"/>
      <c r="L24" s="1"/>
    </row>
    <row r="25" ht="15" customHeight="1">
      <c r="A25" s="1"/>
      <c r="B25" s="1" t="s">
        <v>84</v>
      </c>
      <c r="C25" s="18"/>
      <c r="D25" s="18">
        <f t="shared" si="2"/>
        <v>12</v>
      </c>
      <c r="E25" s="18">
        <f t="shared" si="2"/>
        <v>-8</v>
      </c>
      <c r="F25" s="18">
        <f t="shared" si="2"/>
        <v>265</v>
      </c>
      <c r="G25" s="18"/>
      <c r="H25" s="18">
        <f t="shared" si="3"/>
        <v>-258</v>
      </c>
      <c r="I25" s="18">
        <f t="shared" si="2"/>
        <v>10</v>
      </c>
      <c r="J25" s="36">
        <f t="shared" si="2"/>
        <v>-2</v>
      </c>
      <c r="K25" s="1"/>
      <c r="L25" s="1"/>
    </row>
    <row r="26" ht="15" customHeight="1">
      <c r="A26" s="1"/>
      <c r="B26" s="1" t="s">
        <v>514</v>
      </c>
      <c r="C26" s="35">
        <v>167</v>
      </c>
      <c r="D26" s="35">
        <v>140</v>
      </c>
      <c r="E26" s="35">
        <v>128</v>
      </c>
      <c r="F26" s="35">
        <v>138</v>
      </c>
      <c r="G26" s="18">
        <f t="shared" si="4"/>
        <v>573</v>
      </c>
      <c r="H26" s="35">
        <v>192</v>
      </c>
      <c r="I26" s="35">
        <v>147</v>
      </c>
      <c r="J26" s="42">
        <v>140</v>
      </c>
      <c r="K26" s="1" t="s">
        <v>509</v>
      </c>
      <c r="L26" s="1" t="s">
        <v>340</v>
      </c>
    </row>
    <row r="27" ht="15" customHeight="1">
      <c r="A27" s="1"/>
      <c r="B27" s="5" t="s">
        <v>83</v>
      </c>
      <c r="C27" s="19"/>
      <c r="D27" s="19"/>
      <c r="E27" s="19"/>
      <c r="F27" s="19"/>
      <c r="G27" s="19"/>
      <c r="H27" s="19">
        <f t="shared" si="1"/>
        <v>0.14970059880239517</v>
      </c>
      <c r="I27" s="19">
        <f t="shared" si="1"/>
        <v>0.050000000000000044</v>
      </c>
      <c r="J27" s="32">
        <f t="shared" si="1"/>
        <v>0.09375</v>
      </c>
      <c r="K27" s="1"/>
      <c r="L27" s="1"/>
    </row>
    <row r="28" ht="15" customHeight="1">
      <c r="A28" s="1"/>
      <c r="B28" s="1" t="s">
        <v>84</v>
      </c>
      <c r="C28" s="18"/>
      <c r="D28" s="18">
        <f t="shared" si="2"/>
        <v>-27</v>
      </c>
      <c r="E28" s="18">
        <f t="shared" si="2"/>
        <v>-12</v>
      </c>
      <c r="F28" s="18">
        <f t="shared" si="2"/>
        <v>10</v>
      </c>
      <c r="G28" s="18"/>
      <c r="H28" s="18">
        <f t="shared" si="3"/>
        <v>54</v>
      </c>
      <c r="I28" s="18">
        <f t="shared" si="2"/>
        <v>-45</v>
      </c>
      <c r="J28" s="36">
        <f t="shared" si="2"/>
        <v>-7</v>
      </c>
      <c r="K28" s="1"/>
      <c r="L28" s="1"/>
    </row>
    <row r="29" ht="15" customHeight="1">
      <c r="A29" s="1"/>
      <c r="B29" s="1" t="s">
        <v>515</v>
      </c>
      <c r="C29" s="35">
        <v>-372</v>
      </c>
      <c r="D29" s="35">
        <v>-765</v>
      </c>
      <c r="E29" s="35">
        <v>-351</v>
      </c>
      <c r="F29" s="35">
        <v>-1747</v>
      </c>
      <c r="G29" s="18">
        <f t="shared" si="4"/>
        <v>-3235</v>
      </c>
      <c r="H29" s="35">
        <v>1823</v>
      </c>
      <c r="I29" s="35">
        <v>-729</v>
      </c>
      <c r="J29" s="42">
        <v>-400</v>
      </c>
      <c r="K29" s="1" t="s">
        <v>509</v>
      </c>
      <c r="L29" s="1" t="s">
        <v>340</v>
      </c>
    </row>
    <row r="30" ht="15" customHeight="1">
      <c r="A30" s="1"/>
      <c r="B30" s="5" t="s">
        <v>83</v>
      </c>
      <c r="C30" s="43"/>
      <c r="D30" s="43"/>
      <c r="E30" s="43"/>
      <c r="F30" s="43"/>
      <c r="G30" s="43"/>
      <c r="H30" s="43" t="str">
        <f t="shared" si="1"/>
        <v>n/m</v>
      </c>
      <c r="I30" s="43">
        <f t="shared" si="1"/>
        <v>-0.04705882352941182</v>
      </c>
      <c r="J30" s="44">
        <f t="shared" si="1"/>
        <v>0.13960113960113962</v>
      </c>
      <c r="K30" s="1"/>
      <c r="L30" s="1"/>
    </row>
    <row r="31" ht="15" customHeight="1">
      <c r="A31" s="1"/>
      <c r="B31" s="1" t="s">
        <v>84</v>
      </c>
      <c r="C31" s="18"/>
      <c r="D31" s="18">
        <f t="shared" si="2"/>
        <v>-393</v>
      </c>
      <c r="E31" s="18">
        <f t="shared" si="2"/>
        <v>414</v>
      </c>
      <c r="F31" s="18">
        <f t="shared" si="2"/>
        <v>-1396</v>
      </c>
      <c r="G31" s="18"/>
      <c r="H31" s="18">
        <f t="shared" si="3"/>
        <v>3570</v>
      </c>
      <c r="I31" s="18">
        <f t="shared" si="2"/>
        <v>-2552</v>
      </c>
      <c r="J31" s="36">
        <f t="shared" si="2"/>
        <v>329</v>
      </c>
      <c r="K31" s="1"/>
      <c r="L31" s="1"/>
    </row>
    <row r="32" ht="15" customHeight="1">
      <c r="A32" s="1"/>
      <c r="B32" s="1" t="s">
        <v>516</v>
      </c>
      <c r="C32" s="35">
        <v>-706</v>
      </c>
      <c r="D32" s="35">
        <v>-484</v>
      </c>
      <c r="E32" s="35">
        <v>-934</v>
      </c>
      <c r="F32" s="35">
        <v>-519</v>
      </c>
      <c r="G32" s="18">
        <f t="shared" si="4"/>
        <v>-2643</v>
      </c>
      <c r="H32" s="35">
        <v>-979</v>
      </c>
      <c r="I32" s="35">
        <v>-963</v>
      </c>
      <c r="J32" s="42">
        <v>-700</v>
      </c>
      <c r="K32" s="1" t="s">
        <v>509</v>
      </c>
      <c r="L32" s="1" t="s">
        <v>340</v>
      </c>
    </row>
    <row r="33" ht="15" customHeight="1">
      <c r="A33" s="1"/>
      <c r="B33" s="5" t="s">
        <v>83</v>
      </c>
      <c r="C33" s="19"/>
      <c r="D33" s="19"/>
      <c r="E33" s="19"/>
      <c r="F33" s="19"/>
      <c r="G33" s="19"/>
      <c r="H33" s="19">
        <f t="shared" si="1"/>
        <v>0.386685552407932</v>
      </c>
      <c r="I33" s="19">
        <f t="shared" si="1"/>
        <v>0.9896694214876034</v>
      </c>
      <c r="J33" s="32">
        <f t="shared" si="1"/>
        <v>-0.2505353319057816</v>
      </c>
      <c r="K33" s="1"/>
      <c r="L33" s="1"/>
    </row>
    <row r="34" ht="15" customHeight="1">
      <c r="A34" s="1"/>
      <c r="B34" s="1" t="s">
        <v>84</v>
      </c>
      <c r="C34" s="18"/>
      <c r="D34" s="18">
        <f t="shared" si="2"/>
        <v>222</v>
      </c>
      <c r="E34" s="18">
        <f t="shared" si="2"/>
        <v>-450</v>
      </c>
      <c r="F34" s="18">
        <f t="shared" si="2"/>
        <v>415</v>
      </c>
      <c r="G34" s="18"/>
      <c r="H34" s="18">
        <f t="shared" si="3"/>
        <v>-460</v>
      </c>
      <c r="I34" s="18">
        <f t="shared" si="2"/>
        <v>16</v>
      </c>
      <c r="J34" s="36">
        <f t="shared" si="2"/>
        <v>263</v>
      </c>
      <c r="K34" s="1"/>
      <c r="L34" s="1"/>
    </row>
    <row r="35" ht="15" customHeight="1">
      <c r="A35" s="1"/>
      <c r="B35" s="1" t="s">
        <v>517</v>
      </c>
      <c r="C35" s="35">
        <v>-813</v>
      </c>
      <c r="D35" s="35">
        <v>-384</v>
      </c>
      <c r="E35" s="35">
        <v>182</v>
      </c>
      <c r="F35" s="35">
        <v>483</v>
      </c>
      <c r="G35" s="18">
        <f t="shared" si="4"/>
        <v>-532</v>
      </c>
      <c r="H35" s="35">
        <v>-813</v>
      </c>
      <c r="I35" s="35">
        <v>-330</v>
      </c>
      <c r="J35" s="42">
        <v>-300</v>
      </c>
      <c r="K35" s="1" t="s">
        <v>509</v>
      </c>
      <c r="L35" s="1" t="s">
        <v>518</v>
      </c>
    </row>
    <row r="36" ht="15" customHeight="1">
      <c r="A36" s="1"/>
      <c r="B36" s="5" t="s">
        <v>83</v>
      </c>
      <c r="C36" s="43"/>
      <c r="D36" s="43"/>
      <c r="E36" s="43"/>
      <c r="F36" s="43"/>
      <c r="G36" s="43"/>
      <c r="H36" s="43">
        <f t="shared" si="1"/>
        <v>0</v>
      </c>
      <c r="I36" s="43">
        <f t="shared" si="1"/>
        <v>-0.140625</v>
      </c>
      <c r="J36" s="44" t="str">
        <f t="shared" si="1"/>
        <v>n/m</v>
      </c>
      <c r="K36" s="1"/>
      <c r="L36" s="1"/>
    </row>
    <row r="37" ht="15" customHeight="1">
      <c r="A37" s="1"/>
      <c r="B37" s="1" t="s">
        <v>84</v>
      </c>
      <c r="C37" s="18"/>
      <c r="D37" s="18">
        <f t="shared" si="2"/>
        <v>429</v>
      </c>
      <c r="E37" s="18">
        <f t="shared" si="2"/>
        <v>566</v>
      </c>
      <c r="F37" s="18">
        <f t="shared" si="2"/>
        <v>301</v>
      </c>
      <c r="G37" s="18"/>
      <c r="H37" s="18">
        <f t="shared" si="3"/>
        <v>-1296</v>
      </c>
      <c r="I37" s="18">
        <f t="shared" si="2"/>
        <v>483</v>
      </c>
      <c r="J37" s="36">
        <f t="shared" si="2"/>
        <v>30</v>
      </c>
      <c r="K37" s="1"/>
      <c r="L37" s="1"/>
    </row>
    <row r="38" ht="15" customHeight="1">
      <c r="A38" s="1"/>
      <c r="B38" s="1" t="s">
        <v>519</v>
      </c>
      <c r="C38" s="35">
        <v>-125</v>
      </c>
      <c r="D38" s="35">
        <v>25</v>
      </c>
      <c r="E38" s="35">
        <v>-879</v>
      </c>
      <c r="F38" s="35">
        <v>-76</v>
      </c>
      <c r="G38" s="18">
        <f t="shared" si="4"/>
        <v>-1055</v>
      </c>
      <c r="H38" s="35">
        <v>-469</v>
      </c>
      <c r="I38" s="35">
        <v>47</v>
      </c>
      <c r="J38" s="42">
        <v>-100</v>
      </c>
      <c r="K38" s="1" t="s">
        <v>509</v>
      </c>
      <c r="L38" s="1" t="s">
        <v>340</v>
      </c>
    </row>
    <row r="39" ht="15" customHeight="1">
      <c r="A39" s="1"/>
      <c r="B39" s="5" t="s">
        <v>83</v>
      </c>
      <c r="C39" s="19"/>
      <c r="D39" s="19"/>
      <c r="E39" s="19"/>
      <c r="F39" s="19"/>
      <c r="G39" s="19"/>
      <c r="H39" s="19">
        <f t="shared" si="1"/>
        <v>2.752</v>
      </c>
      <c r="I39" s="19">
        <f t="shared" si="1"/>
        <v>0.8799999999999999</v>
      </c>
      <c r="J39" s="32">
        <f t="shared" si="1"/>
        <v>-0.8862343572241184</v>
      </c>
      <c r="K39" s="1"/>
      <c r="L39" s="1"/>
    </row>
    <row r="40" ht="15" customHeight="1">
      <c r="A40" s="1"/>
      <c r="B40" s="1" t="s">
        <v>84</v>
      </c>
      <c r="C40" s="18"/>
      <c r="D40" s="18">
        <f t="shared" si="2"/>
        <v>150</v>
      </c>
      <c r="E40" s="18">
        <f t="shared" si="2"/>
        <v>-904</v>
      </c>
      <c r="F40" s="18">
        <f t="shared" si="2"/>
        <v>803</v>
      </c>
      <c r="G40" s="18"/>
      <c r="H40" s="18">
        <f t="shared" si="3"/>
        <v>-393</v>
      </c>
      <c r="I40" s="18">
        <f t="shared" si="2"/>
        <v>516</v>
      </c>
      <c r="J40" s="36">
        <f t="shared" si="2"/>
        <v>-147</v>
      </c>
      <c r="K40" s="1"/>
      <c r="L40" s="1"/>
    </row>
    <row r="41" ht="15" customHeight="1">
      <c r="A41" s="1"/>
      <c r="B41" s="1" t="s">
        <v>520</v>
      </c>
      <c r="C41" s="35">
        <v>397</v>
      </c>
      <c r="D41" s="35">
        <v>-538</v>
      </c>
      <c r="E41" s="35">
        <v>2237</v>
      </c>
      <c r="F41" s="35">
        <v>1322</v>
      </c>
      <c r="G41" s="18">
        <f t="shared" si="4"/>
        <v>3418</v>
      </c>
      <c r="H41" s="35">
        <v>-1155</v>
      </c>
      <c r="I41" s="35">
        <v>2102</v>
      </c>
      <c r="J41" s="42">
        <v>900</v>
      </c>
      <c r="K41" s="1" t="s">
        <v>509</v>
      </c>
      <c r="L41" s="1" t="s">
        <v>340</v>
      </c>
    </row>
    <row r="42" ht="15" customHeight="1">
      <c r="A42" s="1"/>
      <c r="B42" s="5" t="s">
        <v>83</v>
      </c>
      <c r="C42" s="43"/>
      <c r="D42" s="43"/>
      <c r="E42" s="43"/>
      <c r="F42" s="43"/>
      <c r="G42" s="43"/>
      <c r="H42" s="43" t="str">
        <f t="shared" si="1"/>
        <v>n/m</v>
      </c>
      <c r="I42" s="43" t="str">
        <f t="shared" si="1"/>
        <v>n/m</v>
      </c>
      <c r="J42" s="44">
        <f t="shared" si="1"/>
        <v>-0.5976754582029504</v>
      </c>
      <c r="K42" s="1"/>
      <c r="L42" s="1"/>
    </row>
    <row r="43" ht="15" customHeight="1">
      <c r="A43" s="1"/>
      <c r="B43" s="1" t="s">
        <v>84</v>
      </c>
      <c r="C43" s="18"/>
      <c r="D43" s="18">
        <f t="shared" si="2"/>
        <v>-935</v>
      </c>
      <c r="E43" s="18">
        <f t="shared" si="2"/>
        <v>2775</v>
      </c>
      <c r="F43" s="18">
        <f t="shared" si="2"/>
        <v>-915</v>
      </c>
      <c r="G43" s="18"/>
      <c r="H43" s="18">
        <f t="shared" si="3"/>
        <v>-2477</v>
      </c>
      <c r="I43" s="18">
        <f t="shared" si="2"/>
        <v>3257</v>
      </c>
      <c r="J43" s="36">
        <f t="shared" si="2"/>
        <v>-1202</v>
      </c>
      <c r="K43" s="1"/>
      <c r="L43" s="1"/>
    </row>
    <row r="44" ht="15" customHeight="1">
      <c r="A44" s="1"/>
      <c r="B44" s="1" t="s">
        <v>521</v>
      </c>
      <c r="C44" s="35">
        <v>373</v>
      </c>
      <c r="D44" s="35">
        <v>-30</v>
      </c>
      <c r="E44" s="35">
        <v>986</v>
      </c>
      <c r="F44" s="35">
        <v>1444</v>
      </c>
      <c r="G44" s="18">
        <f t="shared" si="4"/>
        <v>2773</v>
      </c>
      <c r="H44" s="35">
        <v>94</v>
      </c>
      <c r="I44" s="35">
        <v>198</v>
      </c>
      <c r="J44" s="42">
        <v>400</v>
      </c>
      <c r="K44" s="1" t="s">
        <v>509</v>
      </c>
      <c r="L44" s="1" t="s">
        <v>522</v>
      </c>
    </row>
    <row r="45" ht="15" customHeight="1">
      <c r="A45" s="1"/>
      <c r="B45" s="5" t="s">
        <v>83</v>
      </c>
      <c r="C45" s="43"/>
      <c r="D45" s="43"/>
      <c r="E45" s="43"/>
      <c r="F45" s="43"/>
      <c r="G45" s="43"/>
      <c r="H45" s="43">
        <f t="shared" si="1"/>
        <v>-0.7479892761394102</v>
      </c>
      <c r="I45" s="43" t="str">
        <f t="shared" si="1"/>
        <v>n/m</v>
      </c>
      <c r="J45" s="44">
        <f t="shared" si="1"/>
        <v>-0.5943204868154158</v>
      </c>
      <c r="K45" s="1"/>
      <c r="L45" s="1"/>
    </row>
    <row r="46" ht="15" customHeight="1">
      <c r="A46" s="1"/>
      <c r="B46" s="1" t="s">
        <v>84</v>
      </c>
      <c r="C46" s="18"/>
      <c r="D46" s="18">
        <f t="shared" si="2"/>
        <v>-403</v>
      </c>
      <c r="E46" s="18">
        <f t="shared" si="2"/>
        <v>1016</v>
      </c>
      <c r="F46" s="18">
        <f t="shared" si="2"/>
        <v>458</v>
      </c>
      <c r="G46" s="18"/>
      <c r="H46" s="18">
        <f t="shared" si="3"/>
        <v>-1350</v>
      </c>
      <c r="I46" s="18">
        <f t="shared" si="2"/>
        <v>104</v>
      </c>
      <c r="J46" s="36">
        <f t="shared" si="2"/>
        <v>202</v>
      </c>
      <c r="K46" s="1"/>
      <c r="L46" s="1"/>
    </row>
    <row r="47" ht="15" customHeight="1">
      <c r="A47" s="1"/>
      <c r="B47" s="1" t="s">
        <v>523</v>
      </c>
      <c r="C47" s="35">
        <v>-147</v>
      </c>
      <c r="D47" s="35">
        <v>-162</v>
      </c>
      <c r="E47" s="35">
        <v>-97</v>
      </c>
      <c r="F47" s="35">
        <v>-70</v>
      </c>
      <c r="G47" s="18">
        <f t="shared" si="4"/>
        <v>-476</v>
      </c>
      <c r="H47" s="35">
        <v>89</v>
      </c>
      <c r="I47" s="35">
        <v>-58</v>
      </c>
      <c r="J47" s="42">
        <v>-50</v>
      </c>
      <c r="K47" s="1" t="s">
        <v>509</v>
      </c>
      <c r="L47" s="1" t="s">
        <v>340</v>
      </c>
    </row>
    <row r="48" ht="15" customHeight="1">
      <c r="A48" s="1"/>
      <c r="B48" s="5" t="s">
        <v>83</v>
      </c>
      <c r="C48" s="43"/>
      <c r="D48" s="43"/>
      <c r="E48" s="43"/>
      <c r="F48" s="43"/>
      <c r="G48" s="43"/>
      <c r="H48" s="43" t="str">
        <f t="shared" si="1"/>
        <v>n/m</v>
      </c>
      <c r="I48" s="43">
        <f t="shared" si="1"/>
        <v>-0.6419753086419753</v>
      </c>
      <c r="J48" s="44">
        <f t="shared" si="1"/>
        <v>-0.48453608247422686</v>
      </c>
      <c r="K48" s="1"/>
      <c r="L48" s="1"/>
    </row>
    <row r="49" ht="15" customHeight="1">
      <c r="A49" s="1"/>
      <c r="B49" s="1" t="s">
        <v>84</v>
      </c>
      <c r="C49" s="18"/>
      <c r="D49" s="18">
        <f t="shared" si="2"/>
        <v>-15</v>
      </c>
      <c r="E49" s="18">
        <f t="shared" si="2"/>
        <v>65</v>
      </c>
      <c r="F49" s="18">
        <f t="shared" si="2"/>
        <v>27</v>
      </c>
      <c r="G49" s="18"/>
      <c r="H49" s="18">
        <f t="shared" si="3"/>
        <v>159</v>
      </c>
      <c r="I49" s="18">
        <f t="shared" si="2"/>
        <v>-147</v>
      </c>
      <c r="J49" s="36">
        <f t="shared" si="2"/>
        <v>8</v>
      </c>
      <c r="K49" s="1"/>
      <c r="L49" s="1"/>
    </row>
    <row r="50" ht="15" customHeight="1">
      <c r="A50" s="1"/>
      <c r="B50" s="4" t="s">
        <v>524</v>
      </c>
      <c r="C50" s="33">
        <f t="shared" si="5" ref="C50:J50">C11+C14+C17+C20+C23+C26+C29+C32+C35+C38+C41+C44+C47</f>
        <v>1305</v>
      </c>
      <c r="D50" s="33">
        <f t="shared" si="5"/>
        <v>458</v>
      </c>
      <c r="E50" s="33">
        <f t="shared" si="5"/>
        <v>4639</v>
      </c>
      <c r="F50" s="33">
        <f t="shared" si="5"/>
        <v>4165</v>
      </c>
      <c r="G50" s="33">
        <f t="shared" si="5"/>
        <v>10567</v>
      </c>
      <c r="H50" s="33">
        <f t="shared" si="5"/>
        <v>1855</v>
      </c>
      <c r="I50" s="33">
        <f t="shared" si="5"/>
        <v>3547</v>
      </c>
      <c r="J50" s="34">
        <f t="shared" si="5"/>
        <v>3044.201196621569</v>
      </c>
      <c r="K50" s="1"/>
      <c r="L50" s="1"/>
    </row>
    <row r="51" ht="15" customHeight="1">
      <c r="A51" s="1"/>
      <c r="B51" s="5" t="s">
        <v>73</v>
      </c>
      <c r="C51" s="19"/>
      <c r="D51" s="19"/>
      <c r="E51" s="19"/>
      <c r="F51" s="19"/>
      <c r="G51" s="19"/>
      <c r="H51" s="19">
        <f t="shared" si="1"/>
        <v>0.421455938697318</v>
      </c>
      <c r="I51" s="19">
        <f t="shared" si="1"/>
        <v>6.744541484716157</v>
      </c>
      <c r="J51" s="32">
        <f t="shared" si="1"/>
        <v>-0.34378072933356996</v>
      </c>
      <c r="K51" s="1"/>
      <c r="L51" s="1"/>
    </row>
    <row r="52" ht="15" customHeight="1">
      <c r="A52" s="1"/>
      <c r="B52" s="1" t="s">
        <v>90</v>
      </c>
      <c r="C52" s="18"/>
      <c r="D52" s="18">
        <f t="shared" si="2"/>
        <v>-847</v>
      </c>
      <c r="E52" s="18">
        <f t="shared" si="2"/>
        <v>4181</v>
      </c>
      <c r="F52" s="18">
        <f t="shared" si="2"/>
        <v>-474</v>
      </c>
      <c r="G52" s="18"/>
      <c r="H52" s="18">
        <f t="shared" si="3"/>
        <v>-2310</v>
      </c>
      <c r="I52" s="18">
        <f t="shared" si="2"/>
        <v>1692</v>
      </c>
      <c r="J52" s="36">
        <f t="shared" si="2"/>
        <v>-502.7988033784309</v>
      </c>
      <c r="K52" s="1"/>
      <c r="L52" s="1"/>
    </row>
    <row r="53" ht="15" customHeight="1">
      <c r="A53" s="1"/>
      <c r="B53" s="1" t="s">
        <v>525</v>
      </c>
      <c r="C53" s="35">
        <v>1305</v>
      </c>
      <c r="D53" s="35">
        <v>458</v>
      </c>
      <c r="E53" s="35">
        <v>4639</v>
      </c>
      <c r="F53" s="35">
        <v>4165</v>
      </c>
      <c r="G53" s="18">
        <f t="shared" si="4"/>
        <v>10567</v>
      </c>
      <c r="H53" s="35">
        <v>1855</v>
      </c>
      <c r="I53" s="35">
        <v>3547</v>
      </c>
      <c r="J53" s="36"/>
      <c r="K53" s="1" t="s">
        <v>509</v>
      </c>
      <c r="L53" s="1"/>
    </row>
    <row r="54" ht="15" customHeight="1">
      <c r="A54" s="1"/>
      <c r="B54" s="1" t="s">
        <v>526</v>
      </c>
      <c r="C54" s="18">
        <f t="shared" si="6" ref="C54:I115">C50-C53</f>
        <v>0</v>
      </c>
      <c r="D54" s="18">
        <f t="shared" si="6"/>
        <v>0</v>
      </c>
      <c r="E54" s="18">
        <f t="shared" si="6"/>
        <v>0</v>
      </c>
      <c r="F54" s="18">
        <f t="shared" si="6"/>
        <v>0</v>
      </c>
      <c r="G54" s="18">
        <f t="shared" si="6"/>
        <v>0</v>
      </c>
      <c r="H54" s="18">
        <f t="shared" si="6"/>
        <v>0</v>
      </c>
      <c r="I54" s="18">
        <f t="shared" si="6"/>
        <v>0</v>
      </c>
      <c r="J54" s="36"/>
      <c r="K54" s="1"/>
      <c r="L54" s="1"/>
    </row>
    <row r="55" ht="15" customHeight="1">
      <c r="A55" s="1"/>
      <c r="B55" s="1" t="s">
        <v>527</v>
      </c>
      <c r="C55" s="18">
        <f t="shared" si="7" ref="C55:J55">C29+C32+C35+C38+C41+C44</f>
        <v>-1246</v>
      </c>
      <c r="D55" s="18">
        <f t="shared" si="7"/>
        <v>-2176</v>
      </c>
      <c r="E55" s="18">
        <f t="shared" si="7"/>
        <v>1241</v>
      </c>
      <c r="F55" s="18">
        <f t="shared" si="7"/>
        <v>907</v>
      </c>
      <c r="G55" s="18">
        <f t="shared" si="7"/>
        <v>-1274</v>
      </c>
      <c r="H55" s="18">
        <f t="shared" si="7"/>
        <v>-1499</v>
      </c>
      <c r="I55" s="18">
        <f t="shared" si="7"/>
        <v>325</v>
      </c>
      <c r="J55" s="36">
        <f t="shared" si="7"/>
        <v>-200</v>
      </c>
      <c r="K55" s="1"/>
      <c r="L55" s="1"/>
    </row>
    <row r="56" ht="15" customHeight="1">
      <c r="A56" s="1"/>
      <c r="B56" s="4" t="s">
        <v>528</v>
      </c>
      <c r="C56" s="1"/>
      <c r="D56" s="1"/>
      <c r="E56" s="1"/>
      <c r="F56" s="1"/>
      <c r="G56" s="1"/>
      <c r="H56" s="1"/>
      <c r="I56" s="1"/>
      <c r="J56" s="29"/>
      <c r="K56" s="1"/>
      <c r="L56" s="1"/>
    </row>
    <row r="57" ht="15" customHeight="1">
      <c r="A57" s="1"/>
      <c r="B57" s="1" t="s">
        <v>529</v>
      </c>
      <c r="C57" s="35">
        <v>-513</v>
      </c>
      <c r="D57" s="35">
        <v>-530</v>
      </c>
      <c r="E57" s="35">
        <v>-614</v>
      </c>
      <c r="F57" s="35">
        <v>-970</v>
      </c>
      <c r="G57" s="18">
        <f t="shared" si="4"/>
        <v>-2627</v>
      </c>
      <c r="H57" s="35">
        <v>-546</v>
      </c>
      <c r="I57" s="35">
        <v>-669</v>
      </c>
      <c r="J57" s="42">
        <v>-800</v>
      </c>
      <c r="K57" s="1" t="s">
        <v>509</v>
      </c>
      <c r="L57" s="1" t="s">
        <v>530</v>
      </c>
    </row>
    <row r="58" ht="15" customHeight="1">
      <c r="A58" s="1"/>
      <c r="B58" s="5" t="s">
        <v>83</v>
      </c>
      <c r="C58" s="19"/>
      <c r="D58" s="19"/>
      <c r="E58" s="19"/>
      <c r="F58" s="19"/>
      <c r="G58" s="19"/>
      <c r="H58" s="19">
        <f t="shared" si="1"/>
        <v>0.06432748538011701</v>
      </c>
      <c r="I58" s="19">
        <f t="shared" si="1"/>
        <v>0.2622641509433963</v>
      </c>
      <c r="J58" s="32">
        <f t="shared" si="1"/>
        <v>0.3029315960912051</v>
      </c>
      <c r="K58" s="1"/>
      <c r="L58" s="1"/>
    </row>
    <row r="59" ht="15" customHeight="1">
      <c r="A59" s="1"/>
      <c r="B59" s="1" t="s">
        <v>84</v>
      </c>
      <c r="C59" s="18"/>
      <c r="D59" s="18">
        <f t="shared" si="2"/>
        <v>-17</v>
      </c>
      <c r="E59" s="18">
        <f t="shared" si="2"/>
        <v>-84</v>
      </c>
      <c r="F59" s="18">
        <f t="shared" si="2"/>
        <v>-356</v>
      </c>
      <c r="G59" s="18"/>
      <c r="H59" s="18">
        <f t="shared" si="3"/>
        <v>424</v>
      </c>
      <c r="I59" s="18">
        <f t="shared" si="2"/>
        <v>-123</v>
      </c>
      <c r="J59" s="36">
        <f t="shared" si="2"/>
        <v>-131</v>
      </c>
      <c r="K59" s="1"/>
      <c r="L59" s="1"/>
    </row>
    <row r="60" ht="15" customHeight="1">
      <c r="A60" s="1"/>
      <c r="B60" s="1" t="s">
        <v>531</v>
      </c>
      <c r="C60" s="35">
        <v>0</v>
      </c>
      <c r="D60" s="35">
        <v>0</v>
      </c>
      <c r="E60" s="35">
        <v>1188</v>
      </c>
      <c r="F60" s="35">
        <v>743</v>
      </c>
      <c r="G60" s="18">
        <f t="shared" si="4"/>
        <v>1931</v>
      </c>
      <c r="H60" s="18"/>
      <c r="I60" s="18"/>
      <c r="J60" s="42">
        <v>0</v>
      </c>
      <c r="K60" s="1" t="s">
        <v>532</v>
      </c>
      <c r="L60" s="1" t="s">
        <v>533</v>
      </c>
    </row>
    <row r="61" ht="15" customHeight="1">
      <c r="A61" s="1"/>
      <c r="B61" s="5" t="s">
        <v>83</v>
      </c>
      <c r="C61" s="43"/>
      <c r="D61" s="43"/>
      <c r="E61" s="43"/>
      <c r="F61" s="43"/>
      <c r="G61" s="43"/>
      <c r="H61" s="43" t="str">
        <f t="shared" si="1"/>
        <v>n/a</v>
      </c>
      <c r="I61" s="43" t="str">
        <f t="shared" si="1"/>
        <v>n/a</v>
      </c>
      <c r="J61" s="44" t="str">
        <f t="shared" si="1"/>
        <v>n/m</v>
      </c>
      <c r="K61" s="1"/>
      <c r="L61" s="1"/>
    </row>
    <row r="62" ht="15" customHeight="1">
      <c r="A62" s="1"/>
      <c r="B62" s="1" t="s">
        <v>84</v>
      </c>
      <c r="C62" s="55"/>
      <c r="D62" s="55">
        <f t="shared" si="2"/>
        <v>0</v>
      </c>
      <c r="E62" s="55">
        <f t="shared" si="2"/>
        <v>1188</v>
      </c>
      <c r="F62" s="55">
        <f t="shared" si="2"/>
        <v>-445</v>
      </c>
      <c r="G62" s="55"/>
      <c r="H62" s="55" t="str">
        <f t="shared" si="3"/>
        <v>n/a</v>
      </c>
      <c r="I62" s="55" t="str">
        <f t="shared" si="2"/>
        <v>n/a</v>
      </c>
      <c r="J62" s="56" t="str">
        <f t="shared" si="2"/>
        <v>n/a</v>
      </c>
      <c r="K62" s="1"/>
      <c r="L62" s="1"/>
    </row>
    <row r="63" ht="15" customHeight="1">
      <c r="A63" s="1"/>
      <c r="B63" s="1" t="s">
        <v>534</v>
      </c>
      <c r="C63" s="35">
        <v>-104</v>
      </c>
      <c r="D63" s="35">
        <v>-122</v>
      </c>
      <c r="E63" s="35">
        <v>-121</v>
      </c>
      <c r="F63" s="35">
        <v>-145</v>
      </c>
      <c r="G63" s="18">
        <f t="shared" si="4"/>
        <v>-492</v>
      </c>
      <c r="H63" s="35">
        <v>-98</v>
      </c>
      <c r="I63" s="35">
        <v>-58</v>
      </c>
      <c r="J63" s="42">
        <v>-100</v>
      </c>
      <c r="K63" s="1" t="s">
        <v>509</v>
      </c>
      <c r="L63" s="1" t="s">
        <v>340</v>
      </c>
    </row>
    <row r="64" ht="15" customHeight="1">
      <c r="A64" s="1"/>
      <c r="B64" s="5" t="s">
        <v>83</v>
      </c>
      <c r="C64" s="19"/>
      <c r="D64" s="19"/>
      <c r="E64" s="19"/>
      <c r="F64" s="19"/>
      <c r="G64" s="19"/>
      <c r="H64" s="19">
        <f t="shared" si="1"/>
        <v>-0.05769230769230771</v>
      </c>
      <c r="I64" s="19">
        <f t="shared" si="1"/>
        <v>-0.5245901639344263</v>
      </c>
      <c r="J64" s="32">
        <f t="shared" si="1"/>
        <v>-0.17355371900826444</v>
      </c>
      <c r="K64" s="1"/>
      <c r="L64" s="1"/>
    </row>
    <row r="65" ht="15" customHeight="1">
      <c r="A65" s="1"/>
      <c r="B65" s="1" t="s">
        <v>84</v>
      </c>
      <c r="C65" s="18"/>
      <c r="D65" s="18">
        <f t="shared" si="2"/>
        <v>-18</v>
      </c>
      <c r="E65" s="18">
        <f t="shared" si="2"/>
        <v>1</v>
      </c>
      <c r="F65" s="18">
        <f t="shared" si="2"/>
        <v>-24</v>
      </c>
      <c r="G65" s="18"/>
      <c r="H65" s="18">
        <f t="shared" si="3"/>
        <v>47</v>
      </c>
      <c r="I65" s="18">
        <f t="shared" si="2"/>
        <v>40</v>
      </c>
      <c r="J65" s="36">
        <f t="shared" si="2"/>
        <v>-42</v>
      </c>
      <c r="K65" s="1"/>
      <c r="L65" s="1"/>
    </row>
    <row r="66" ht="15" customHeight="1">
      <c r="A66" s="1"/>
      <c r="B66" s="1" t="s">
        <v>535</v>
      </c>
      <c r="C66" s="35">
        <v>-47</v>
      </c>
      <c r="D66" s="35">
        <v>192</v>
      </c>
      <c r="E66" s="35">
        <v>42</v>
      </c>
      <c r="F66" s="35">
        <v>-69</v>
      </c>
      <c r="G66" s="18">
        <f t="shared" si="4"/>
        <v>118</v>
      </c>
      <c r="H66" s="35">
        <v>72</v>
      </c>
      <c r="I66" s="35">
        <v>-71</v>
      </c>
      <c r="J66" s="42">
        <v>0</v>
      </c>
      <c r="K66" s="1" t="s">
        <v>509</v>
      </c>
      <c r="L66" s="1" t="s">
        <v>340</v>
      </c>
    </row>
    <row r="67" ht="15" customHeight="1">
      <c r="A67" s="1"/>
      <c r="B67" s="5" t="s">
        <v>83</v>
      </c>
      <c r="C67" s="43"/>
      <c r="D67" s="43"/>
      <c r="E67" s="43"/>
      <c r="F67" s="43"/>
      <c r="G67" s="43"/>
      <c r="H67" s="43" t="str">
        <f t="shared" si="1"/>
        <v>n/m</v>
      </c>
      <c r="I67" s="43" t="str">
        <f t="shared" si="1"/>
        <v>n/m</v>
      </c>
      <c r="J67" s="44" t="str">
        <f t="shared" si="1"/>
        <v>n/m</v>
      </c>
      <c r="K67" s="1"/>
      <c r="L67" s="1"/>
    </row>
    <row r="68" ht="15" customHeight="1">
      <c r="A68" s="1"/>
      <c r="B68" s="1" t="s">
        <v>84</v>
      </c>
      <c r="C68" s="18"/>
      <c r="D68" s="18">
        <f t="shared" si="2"/>
        <v>239</v>
      </c>
      <c r="E68" s="18">
        <f t="shared" si="2"/>
        <v>-150</v>
      </c>
      <c r="F68" s="18">
        <f t="shared" si="2"/>
        <v>-111</v>
      </c>
      <c r="G68" s="18"/>
      <c r="H68" s="18">
        <f t="shared" si="3"/>
        <v>141</v>
      </c>
      <c r="I68" s="18">
        <f t="shared" si="2"/>
        <v>-143</v>
      </c>
      <c r="J68" s="36">
        <f t="shared" si="2"/>
        <v>71</v>
      </c>
      <c r="K68" s="1"/>
      <c r="L68" s="1"/>
    </row>
    <row r="69" ht="15" customHeight="1">
      <c r="A69" s="1"/>
      <c r="B69" s="1" t="s">
        <v>536</v>
      </c>
      <c r="C69" s="35">
        <v>-14</v>
      </c>
      <c r="D69" s="35">
        <v>-49</v>
      </c>
      <c r="E69" s="35">
        <v>-24</v>
      </c>
      <c r="F69" s="35">
        <v>-108</v>
      </c>
      <c r="G69" s="18">
        <f t="shared" si="4"/>
        <v>-195</v>
      </c>
      <c r="H69" s="35">
        <v>-36</v>
      </c>
      <c r="I69" s="35">
        <v>-146</v>
      </c>
      <c r="J69" s="42">
        <v>-50</v>
      </c>
      <c r="K69" s="1" t="s">
        <v>537</v>
      </c>
      <c r="L69" s="1" t="s">
        <v>538</v>
      </c>
    </row>
    <row r="70" ht="15" customHeight="1">
      <c r="A70" s="1"/>
      <c r="B70" s="5" t="s">
        <v>83</v>
      </c>
      <c r="C70" s="19"/>
      <c r="D70" s="19"/>
      <c r="E70" s="19"/>
      <c r="F70" s="19"/>
      <c r="G70" s="19"/>
      <c r="H70" s="19">
        <f t="shared" si="1"/>
        <v>1.5714285714285716</v>
      </c>
      <c r="I70" s="19">
        <f t="shared" si="1"/>
        <v>1.979591836734694</v>
      </c>
      <c r="J70" s="32">
        <f t="shared" si="1"/>
        <v>1.0833333333333335</v>
      </c>
      <c r="K70" s="1"/>
      <c r="L70" s="1"/>
    </row>
    <row r="71" ht="15" customHeight="1">
      <c r="A71" s="1"/>
      <c r="B71" s="1" t="s">
        <v>84</v>
      </c>
      <c r="C71" s="18"/>
      <c r="D71" s="18">
        <f t="shared" si="2"/>
        <v>-35</v>
      </c>
      <c r="E71" s="18">
        <f t="shared" si="2"/>
        <v>25</v>
      </c>
      <c r="F71" s="18">
        <f t="shared" si="2"/>
        <v>-84</v>
      </c>
      <c r="G71" s="18"/>
      <c r="H71" s="18">
        <f t="shared" si="3"/>
        <v>72</v>
      </c>
      <c r="I71" s="18">
        <f t="shared" si="2"/>
        <v>-110</v>
      </c>
      <c r="J71" s="36">
        <f t="shared" si="2"/>
        <v>96</v>
      </c>
      <c r="K71" s="1"/>
      <c r="L71" s="1"/>
    </row>
    <row r="72" ht="15" customHeight="1">
      <c r="A72" s="1"/>
      <c r="B72" s="4" t="s">
        <v>539</v>
      </c>
      <c r="C72" s="33">
        <f t="shared" si="8" ref="C72:J72">C57+C60+C63+C66+C69</f>
        <v>-678</v>
      </c>
      <c r="D72" s="33">
        <f t="shared" si="8"/>
        <v>-509</v>
      </c>
      <c r="E72" s="33">
        <f t="shared" si="8"/>
        <v>471</v>
      </c>
      <c r="F72" s="33">
        <f t="shared" si="8"/>
        <v>-549</v>
      </c>
      <c r="G72" s="33">
        <f t="shared" si="8"/>
        <v>-1265</v>
      </c>
      <c r="H72" s="33">
        <f t="shared" si="8"/>
        <v>-608</v>
      </c>
      <c r="I72" s="33">
        <f t="shared" si="8"/>
        <v>-944</v>
      </c>
      <c r="J72" s="34">
        <f t="shared" si="8"/>
        <v>-950</v>
      </c>
      <c r="K72" s="1"/>
      <c r="L72" s="1"/>
    </row>
    <row r="73" ht="15" customHeight="1">
      <c r="A73" s="1"/>
      <c r="B73" s="5" t="s">
        <v>73</v>
      </c>
      <c r="C73" s="43"/>
      <c r="D73" s="43"/>
      <c r="E73" s="43"/>
      <c r="F73" s="43"/>
      <c r="G73" s="43"/>
      <c r="H73" s="43">
        <f t="shared" si="1"/>
        <v>-0.1032448377581121</v>
      </c>
      <c r="I73" s="43">
        <f t="shared" si="1"/>
        <v>0.8546168958742633</v>
      </c>
      <c r="J73" s="44" t="str">
        <f t="shared" si="1"/>
        <v>n/m</v>
      </c>
      <c r="K73" s="1"/>
      <c r="L73" s="1"/>
    </row>
    <row r="74" ht="15" customHeight="1">
      <c r="A74" s="1"/>
      <c r="B74" s="1" t="s">
        <v>90</v>
      </c>
      <c r="C74" s="18"/>
      <c r="D74" s="18">
        <f t="shared" si="2"/>
        <v>169</v>
      </c>
      <c r="E74" s="18">
        <f t="shared" si="2"/>
        <v>980</v>
      </c>
      <c r="F74" s="18">
        <f t="shared" si="2"/>
        <v>-1020</v>
      </c>
      <c r="G74" s="18"/>
      <c r="H74" s="18">
        <f t="shared" si="3"/>
        <v>-59</v>
      </c>
      <c r="I74" s="18">
        <f t="shared" si="2"/>
        <v>-336</v>
      </c>
      <c r="J74" s="36">
        <f t="shared" si="2"/>
        <v>-6</v>
      </c>
      <c r="K74" s="1"/>
      <c r="L74" s="1"/>
    </row>
    <row r="75" ht="15" customHeight="1">
      <c r="A75" s="1"/>
      <c r="B75" s="1" t="s">
        <v>540</v>
      </c>
      <c r="C75" s="35">
        <v>-678</v>
      </c>
      <c r="D75" s="35">
        <v>-509</v>
      </c>
      <c r="E75" s="35">
        <v>471</v>
      </c>
      <c r="F75" s="35">
        <v>-549</v>
      </c>
      <c r="G75" s="18">
        <f t="shared" si="4"/>
        <v>-1265</v>
      </c>
      <c r="H75" s="35">
        <v>-608</v>
      </c>
      <c r="I75" s="35">
        <v>-944</v>
      </c>
      <c r="J75" s="36"/>
      <c r="K75" s="1" t="s">
        <v>509</v>
      </c>
      <c r="L75" s="1"/>
    </row>
    <row r="76" ht="15" customHeight="1">
      <c r="A76" s="1"/>
      <c r="B76" s="1" t="s">
        <v>541</v>
      </c>
      <c r="C76" s="18">
        <f t="shared" si="6"/>
        <v>0</v>
      </c>
      <c r="D76" s="18">
        <f t="shared" si="6"/>
        <v>0</v>
      </c>
      <c r="E76" s="18">
        <f t="shared" si="6"/>
        <v>0</v>
      </c>
      <c r="F76" s="18">
        <f t="shared" si="6"/>
        <v>0</v>
      </c>
      <c r="G76" s="18">
        <f t="shared" si="6"/>
        <v>0</v>
      </c>
      <c r="H76" s="18">
        <f t="shared" si="6"/>
        <v>0</v>
      </c>
      <c r="I76" s="18">
        <f t="shared" si="6"/>
        <v>0</v>
      </c>
      <c r="J76" s="36"/>
      <c r="K76" s="1"/>
      <c r="L76" s="1"/>
    </row>
    <row r="77" ht="15" customHeight="1">
      <c r="A77" s="1"/>
      <c r="B77" s="4" t="s">
        <v>542</v>
      </c>
      <c r="C77" s="1"/>
      <c r="D77" s="1"/>
      <c r="E77" s="1"/>
      <c r="F77" s="1"/>
      <c r="G77" s="1"/>
      <c r="H77" s="1"/>
      <c r="I77" s="1"/>
      <c r="J77" s="29"/>
      <c r="K77" s="1"/>
      <c r="L77" s="1"/>
    </row>
    <row r="78" ht="15" customHeight="1">
      <c r="A78" s="1"/>
      <c r="B78" s="1" t="s">
        <v>543</v>
      </c>
      <c r="C78" s="35">
        <v>-9</v>
      </c>
      <c r="D78" s="35">
        <v>-780</v>
      </c>
      <c r="E78" s="35">
        <v>-1500</v>
      </c>
      <c r="F78" s="35">
        <v>-1140</v>
      </c>
      <c r="G78" s="18">
        <f t="shared" si="4"/>
        <v>-3429</v>
      </c>
      <c r="H78" s="35">
        <v>-500</v>
      </c>
      <c r="I78" s="35">
        <v>-24</v>
      </c>
      <c r="J78" s="42">
        <v>0</v>
      </c>
      <c r="K78" s="1" t="s">
        <v>509</v>
      </c>
      <c r="L78" s="1" t="s">
        <v>544</v>
      </c>
    </row>
    <row r="79" ht="15" customHeight="1">
      <c r="A79" s="1"/>
      <c r="B79" s="5" t="s">
        <v>83</v>
      </c>
      <c r="C79" s="43"/>
      <c r="D79" s="43"/>
      <c r="E79" s="43"/>
      <c r="F79" s="43"/>
      <c r="G79" s="43"/>
      <c r="H79" s="43">
        <f t="shared" si="1"/>
        <v>54.55555555555556</v>
      </c>
      <c r="I79" s="43">
        <f t="shared" si="1"/>
        <v>-0.9692307692307692</v>
      </c>
      <c r="J79" s="44" t="str">
        <f t="shared" si="1"/>
        <v>n/m</v>
      </c>
      <c r="K79" s="1"/>
      <c r="L79" s="1"/>
    </row>
    <row r="80" ht="15" customHeight="1">
      <c r="A80" s="1"/>
      <c r="B80" s="1" t="s">
        <v>84</v>
      </c>
      <c r="C80" s="18"/>
      <c r="D80" s="18">
        <f t="shared" si="2"/>
        <v>-771</v>
      </c>
      <c r="E80" s="18">
        <f t="shared" si="2"/>
        <v>-720</v>
      </c>
      <c r="F80" s="18">
        <f t="shared" si="2"/>
        <v>360</v>
      </c>
      <c r="G80" s="18"/>
      <c r="H80" s="18">
        <f t="shared" si="3"/>
        <v>640</v>
      </c>
      <c r="I80" s="18">
        <f t="shared" si="2"/>
        <v>476</v>
      </c>
      <c r="J80" s="36">
        <f t="shared" si="2"/>
        <v>24</v>
      </c>
      <c r="K80" s="1"/>
      <c r="L80" s="1"/>
    </row>
    <row r="81" ht="15" customHeight="1">
      <c r="A81" s="1"/>
      <c r="B81" s="1" t="s">
        <v>545</v>
      </c>
      <c r="C81" s="18"/>
      <c r="D81" s="35">
        <v>1432</v>
      </c>
      <c r="E81" s="35">
        <v>-1432</v>
      </c>
      <c r="F81" s="18"/>
      <c r="G81" s="18">
        <f t="shared" si="4"/>
        <v>0</v>
      </c>
      <c r="H81" s="18"/>
      <c r="I81" s="35">
        <v>0</v>
      </c>
      <c r="J81" s="42">
        <v>0</v>
      </c>
      <c r="K81" s="1" t="s">
        <v>546</v>
      </c>
      <c r="L81" s="1" t="s">
        <v>547</v>
      </c>
    </row>
    <row r="82" ht="15" customHeight="1">
      <c r="A82" s="1"/>
      <c r="B82" s="5" t="s">
        <v>83</v>
      </c>
      <c r="C82" s="43"/>
      <c r="D82" s="43"/>
      <c r="E82" s="43"/>
      <c r="F82" s="43"/>
      <c r="G82" s="43"/>
      <c r="H82" s="43" t="str">
        <f t="shared" si="1"/>
        <v>n/a</v>
      </c>
      <c r="I82" s="43" t="str">
        <f t="shared" si="1"/>
        <v>n/m</v>
      </c>
      <c r="J82" s="44" t="str">
        <f t="shared" si="1"/>
        <v>n/m</v>
      </c>
      <c r="K82" s="1"/>
      <c r="L82" s="1"/>
    </row>
    <row r="83" ht="15" customHeight="1">
      <c r="A83" s="1"/>
      <c r="B83" s="1" t="s">
        <v>84</v>
      </c>
      <c r="C83" s="55"/>
      <c r="D83" s="55" t="str">
        <f t="shared" si="2"/>
        <v>n/a</v>
      </c>
      <c r="E83" s="55">
        <f t="shared" si="2"/>
        <v>-2864</v>
      </c>
      <c r="F83" s="55" t="str">
        <f t="shared" si="2"/>
        <v>n/a</v>
      </c>
      <c r="G83" s="55"/>
      <c r="H83" s="55" t="str">
        <f t="shared" si="3"/>
        <v>n/a</v>
      </c>
      <c r="I83" s="55" t="str">
        <f t="shared" si="2"/>
        <v>n/a</v>
      </c>
      <c r="J83" s="56">
        <f t="shared" si="2"/>
        <v>0</v>
      </c>
      <c r="K83" s="1"/>
      <c r="L83" s="1"/>
    </row>
    <row r="84" ht="15" customHeight="1">
      <c r="A84" s="1"/>
      <c r="B84" s="1" t="s">
        <v>548</v>
      </c>
      <c r="C84" s="35">
        <v>-840</v>
      </c>
      <c r="D84" s="35">
        <v>-910</v>
      </c>
      <c r="E84" s="35">
        <v>-910</v>
      </c>
      <c r="F84" s="35">
        <v>-914</v>
      </c>
      <c r="G84" s="18">
        <f t="shared" si="4"/>
        <v>-3574</v>
      </c>
      <c r="H84" s="35">
        <v>-915</v>
      </c>
      <c r="I84" s="35">
        <v>-983</v>
      </c>
      <c r="J84" s="30">
        <f>-'Share Count'!J35</f>
        <v>-987.106</v>
      </c>
      <c r="K84" s="1" t="s">
        <v>509</v>
      </c>
      <c r="L84" s="1" t="s">
        <v>549</v>
      </c>
    </row>
    <row r="85" ht="15" customHeight="1">
      <c r="A85" s="1"/>
      <c r="B85" s="5" t="s">
        <v>83</v>
      </c>
      <c r="C85" s="19"/>
      <c r="D85" s="19"/>
      <c r="E85" s="19"/>
      <c r="F85" s="19"/>
      <c r="G85" s="19"/>
      <c r="H85" s="19">
        <f t="shared" si="1"/>
        <v>0.08928571428571419</v>
      </c>
      <c r="I85" s="19">
        <f t="shared" si="1"/>
        <v>0.08021978021978016</v>
      </c>
      <c r="J85" s="32">
        <f t="shared" si="1"/>
        <v>0.08473186813186806</v>
      </c>
      <c r="K85" s="1"/>
      <c r="L85" s="1"/>
    </row>
    <row r="86" ht="15" customHeight="1">
      <c r="A86" s="1"/>
      <c r="B86" s="1" t="s">
        <v>84</v>
      </c>
      <c r="C86" s="18"/>
      <c r="D86" s="18">
        <f t="shared" si="2"/>
        <v>-70</v>
      </c>
      <c r="E86" s="18">
        <f t="shared" si="2"/>
        <v>0</v>
      </c>
      <c r="F86" s="18">
        <f t="shared" si="2"/>
        <v>-4</v>
      </c>
      <c r="G86" s="18"/>
      <c r="H86" s="18">
        <f t="shared" si="3"/>
        <v>-1</v>
      </c>
      <c r="I86" s="18">
        <f t="shared" si="2"/>
        <v>-68</v>
      </c>
      <c r="J86" s="36">
        <f t="shared" si="2"/>
        <v>-4.1059999999999945</v>
      </c>
      <c r="K86" s="1"/>
      <c r="L86" s="1"/>
    </row>
    <row r="87" ht="15" customHeight="1">
      <c r="A87" s="1"/>
      <c r="B87" s="1" t="s">
        <v>550</v>
      </c>
      <c r="C87" s="35">
        <v>-50</v>
      </c>
      <c r="D87" s="35">
        <v>0</v>
      </c>
      <c r="E87" s="35">
        <v>0</v>
      </c>
      <c r="F87" s="35">
        <v>0</v>
      </c>
      <c r="G87" s="18">
        <f t="shared" si="4"/>
        <v>-50</v>
      </c>
      <c r="H87" s="35">
        <v>0</v>
      </c>
      <c r="I87" s="35">
        <v>0</v>
      </c>
      <c r="J87" s="30">
        <f>-'Share Count'!J28</f>
        <v>0</v>
      </c>
      <c r="K87" s="1" t="s">
        <v>509</v>
      </c>
      <c r="L87" s="1"/>
    </row>
    <row r="88" ht="15" customHeight="1">
      <c r="A88" s="1"/>
      <c r="B88" s="1" t="s">
        <v>84</v>
      </c>
      <c r="C88" s="18"/>
      <c r="D88" s="18">
        <f t="shared" si="9" ref="D88:J108">IF(COUNT(D87,C87)&lt;2,"n/a",D87-C87)</f>
        <v>50</v>
      </c>
      <c r="E88" s="18">
        <f t="shared" si="9"/>
        <v>0</v>
      </c>
      <c r="F88" s="18">
        <f t="shared" si="9"/>
        <v>0</v>
      </c>
      <c r="G88" s="18"/>
      <c r="H88" s="18">
        <f t="shared" si="16" ref="H88:H108">IF(COUNT(H87,F87)&lt;2,"n/a",H87-F87)</f>
        <v>0</v>
      </c>
      <c r="I88" s="18">
        <f t="shared" si="9"/>
        <v>0</v>
      </c>
      <c r="J88" s="36">
        <f t="shared" si="9"/>
        <v>0</v>
      </c>
      <c r="K88" s="1"/>
      <c r="L88" s="1"/>
    </row>
    <row r="89" ht="15" customHeight="1">
      <c r="A89" s="1"/>
      <c r="B89" s="1" t="s">
        <v>551</v>
      </c>
      <c r="C89" s="35">
        <v>-157</v>
      </c>
      <c r="D89" s="35">
        <v>-95</v>
      </c>
      <c r="E89" s="35">
        <v>-81</v>
      </c>
      <c r="F89" s="35">
        <v>-100</v>
      </c>
      <c r="G89" s="18">
        <f t="shared" si="4"/>
        <v>-433</v>
      </c>
      <c r="H89" s="35">
        <v>-425</v>
      </c>
      <c r="I89" s="35">
        <v>-62</v>
      </c>
      <c r="J89" s="42">
        <v>-60</v>
      </c>
      <c r="K89" s="1" t="s">
        <v>537</v>
      </c>
      <c r="L89" s="1" t="s">
        <v>552</v>
      </c>
    </row>
    <row r="90" ht="15" customHeight="1">
      <c r="A90" s="1"/>
      <c r="B90" s="5" t="s">
        <v>83</v>
      </c>
      <c r="C90" s="19"/>
      <c r="D90" s="19"/>
      <c r="E90" s="19"/>
      <c r="F90" s="19"/>
      <c r="G90" s="19"/>
      <c r="H90" s="19">
        <f t="shared" si="1"/>
        <v>1.7070063694267517</v>
      </c>
      <c r="I90" s="19">
        <f t="shared" si="1"/>
        <v>-0.34736842105263155</v>
      </c>
      <c r="J90" s="32">
        <f t="shared" si="1"/>
        <v>-0.2592592592592593</v>
      </c>
      <c r="K90" s="1"/>
      <c r="L90" s="1"/>
    </row>
    <row r="91" ht="15" customHeight="1">
      <c r="A91" s="1"/>
      <c r="B91" s="1" t="s">
        <v>84</v>
      </c>
      <c r="C91" s="18"/>
      <c r="D91" s="18">
        <f t="shared" si="2"/>
        <v>62</v>
      </c>
      <c r="E91" s="18">
        <f t="shared" si="2"/>
        <v>14</v>
      </c>
      <c r="F91" s="18">
        <f t="shared" si="2"/>
        <v>-19</v>
      </c>
      <c r="G91" s="18"/>
      <c r="H91" s="18">
        <f t="shared" si="3"/>
        <v>-325</v>
      </c>
      <c r="I91" s="18">
        <f t="shared" si="2"/>
        <v>363</v>
      </c>
      <c r="J91" s="36">
        <f t="shared" si="2"/>
        <v>2</v>
      </c>
      <c r="K91" s="1"/>
      <c r="L91" s="1"/>
    </row>
    <row r="92" ht="15" customHeight="1">
      <c r="A92" s="1"/>
      <c r="B92" s="4" t="s">
        <v>553</v>
      </c>
      <c r="C92" s="33">
        <f t="shared" si="10" ref="C92:J92">C78+C81+C84+C87+C89</f>
        <v>-1056</v>
      </c>
      <c r="D92" s="33">
        <f t="shared" si="10"/>
        <v>-353</v>
      </c>
      <c r="E92" s="33">
        <f t="shared" si="10"/>
        <v>-3923</v>
      </c>
      <c r="F92" s="33">
        <f t="shared" si="10"/>
        <v>-2154</v>
      </c>
      <c r="G92" s="33">
        <f t="shared" si="10"/>
        <v>-7486</v>
      </c>
      <c r="H92" s="33">
        <f t="shared" si="10"/>
        <v>-1840</v>
      </c>
      <c r="I92" s="33">
        <f t="shared" si="10"/>
        <v>-1069</v>
      </c>
      <c r="J92" s="34">
        <f t="shared" si="10"/>
        <v>-1047.106</v>
      </c>
      <c r="K92" s="1"/>
      <c r="L92" s="1"/>
    </row>
    <row r="93" ht="15" customHeight="1">
      <c r="A93" s="1"/>
      <c r="B93" s="5" t="s">
        <v>73</v>
      </c>
      <c r="C93" s="19"/>
      <c r="D93" s="19"/>
      <c r="E93" s="19"/>
      <c r="F93" s="19"/>
      <c r="G93" s="19"/>
      <c r="H93" s="19">
        <f t="shared" si="1"/>
        <v>0.7424242424242424</v>
      </c>
      <c r="I93" s="19">
        <f t="shared" si="1"/>
        <v>2.028328611898017</v>
      </c>
      <c r="J93" s="32">
        <f t="shared" si="1"/>
        <v>-0.7330853938312516</v>
      </c>
      <c r="K93" s="1"/>
      <c r="L93" s="1"/>
    </row>
    <row r="94" ht="15" customHeight="1">
      <c r="A94" s="1"/>
      <c r="B94" s="1" t="s">
        <v>90</v>
      </c>
      <c r="C94" s="18"/>
      <c r="D94" s="18">
        <f t="shared" si="2"/>
        <v>703</v>
      </c>
      <c r="E94" s="18">
        <f t="shared" si="2"/>
        <v>-3570</v>
      </c>
      <c r="F94" s="18">
        <f t="shared" si="2"/>
        <v>1769</v>
      </c>
      <c r="G94" s="18"/>
      <c r="H94" s="18">
        <f t="shared" si="3"/>
        <v>314</v>
      </c>
      <c r="I94" s="18">
        <f t="shared" si="2"/>
        <v>771</v>
      </c>
      <c r="J94" s="36">
        <f t="shared" si="2"/>
        <v>21.894000000000005</v>
      </c>
      <c r="K94" s="1"/>
      <c r="L94" s="1"/>
    </row>
    <row r="95" ht="15" customHeight="1">
      <c r="A95" s="1"/>
      <c r="B95" s="1" t="s">
        <v>554</v>
      </c>
      <c r="C95" s="35">
        <v>-1056</v>
      </c>
      <c r="D95" s="35">
        <v>-353</v>
      </c>
      <c r="E95" s="35">
        <v>-3923</v>
      </c>
      <c r="F95" s="35">
        <v>-2154</v>
      </c>
      <c r="G95" s="18">
        <f t="shared" si="4"/>
        <v>-7486</v>
      </c>
      <c r="H95" s="35">
        <v>-1840</v>
      </c>
      <c r="I95" s="35">
        <v>-1069</v>
      </c>
      <c r="J95" s="36"/>
      <c r="K95" s="1" t="s">
        <v>509</v>
      </c>
      <c r="L95" s="1"/>
    </row>
    <row r="96" ht="15" customHeight="1">
      <c r="A96" s="1"/>
      <c r="B96" s="1" t="s">
        <v>555</v>
      </c>
      <c r="C96" s="18">
        <f t="shared" si="6"/>
        <v>0</v>
      </c>
      <c r="D96" s="18">
        <f t="shared" si="6"/>
        <v>0</v>
      </c>
      <c r="E96" s="18">
        <f t="shared" si="6"/>
        <v>0</v>
      </c>
      <c r="F96" s="18">
        <f t="shared" si="6"/>
        <v>0</v>
      </c>
      <c r="G96" s="18">
        <f t="shared" si="6"/>
        <v>0</v>
      </c>
      <c r="H96" s="18">
        <f t="shared" si="6"/>
        <v>0</v>
      </c>
      <c r="I96" s="18">
        <f t="shared" si="6"/>
        <v>0</v>
      </c>
      <c r="J96" s="36"/>
      <c r="K96" s="1"/>
      <c r="L96" s="1"/>
    </row>
    <row r="97" ht="15" customHeight="1">
      <c r="A97" s="1"/>
      <c r="B97" s="1" t="s">
        <v>556</v>
      </c>
      <c r="C97" s="35">
        <v>16</v>
      </c>
      <c r="D97" s="35">
        <v>38</v>
      </c>
      <c r="E97" s="35">
        <v>-10</v>
      </c>
      <c r="F97" s="35">
        <v>4</v>
      </c>
      <c r="G97" s="18">
        <f t="shared" si="4"/>
        <v>48</v>
      </c>
      <c r="H97" s="35">
        <v>-6</v>
      </c>
      <c r="I97" s="35">
        <v>-13</v>
      </c>
      <c r="J97" s="42">
        <v>0</v>
      </c>
      <c r="K97" s="1" t="s">
        <v>509</v>
      </c>
      <c r="L97" s="1" t="s">
        <v>115</v>
      </c>
    </row>
    <row r="98" ht="15" customHeight="1">
      <c r="A98" s="1"/>
      <c r="B98" s="5" t="s">
        <v>73</v>
      </c>
      <c r="C98" s="43"/>
      <c r="D98" s="43"/>
      <c r="E98" s="43"/>
      <c r="F98" s="43"/>
      <c r="G98" s="43"/>
      <c r="H98" s="43" t="str">
        <f t="shared" si="1"/>
        <v>n/m</v>
      </c>
      <c r="I98" s="43" t="str">
        <f t="shared" si="1"/>
        <v>n/m</v>
      </c>
      <c r="J98" s="44" t="str">
        <f t="shared" si="1"/>
        <v>n/m</v>
      </c>
      <c r="K98" s="1"/>
      <c r="L98" s="1"/>
    </row>
    <row r="99" ht="15" customHeight="1">
      <c r="A99" s="1"/>
      <c r="B99" s="1" t="s">
        <v>90</v>
      </c>
      <c r="C99" s="18"/>
      <c r="D99" s="18">
        <f t="shared" si="2"/>
        <v>22</v>
      </c>
      <c r="E99" s="18">
        <f t="shared" si="2"/>
        <v>-48</v>
      </c>
      <c r="F99" s="18">
        <f t="shared" si="2"/>
        <v>14</v>
      </c>
      <c r="G99" s="18"/>
      <c r="H99" s="18">
        <f t="shared" si="3"/>
        <v>-10</v>
      </c>
      <c r="I99" s="18">
        <f t="shared" si="2"/>
        <v>-7</v>
      </c>
      <c r="J99" s="36">
        <f t="shared" si="2"/>
        <v>13</v>
      </c>
      <c r="K99" s="1"/>
      <c r="L99" s="1"/>
    </row>
    <row r="100" ht="15" customHeight="1">
      <c r="A100" s="1"/>
      <c r="B100" s="4" t="s">
        <v>557</v>
      </c>
      <c r="C100" s="33">
        <f t="shared" si="11" ref="C100:J100">C50+C72+C92+C97</f>
        <v>-413</v>
      </c>
      <c r="D100" s="33">
        <f t="shared" si="11"/>
        <v>-366</v>
      </c>
      <c r="E100" s="33">
        <f t="shared" si="11"/>
        <v>1177</v>
      </c>
      <c r="F100" s="33">
        <f t="shared" si="11"/>
        <v>1466</v>
      </c>
      <c r="G100" s="33">
        <f t="shared" si="11"/>
        <v>1864</v>
      </c>
      <c r="H100" s="33">
        <f t="shared" si="11"/>
        <v>-599</v>
      </c>
      <c r="I100" s="33">
        <f t="shared" si="11"/>
        <v>1521</v>
      </c>
      <c r="J100" s="34">
        <f t="shared" si="11"/>
        <v>1047.0951966215691</v>
      </c>
      <c r="K100" s="1"/>
      <c r="L100" s="1"/>
    </row>
    <row r="101" ht="15" customHeight="1">
      <c r="A101" s="1"/>
      <c r="B101" s="1" t="s">
        <v>558</v>
      </c>
      <c r="C101" s="35">
        <v>5606</v>
      </c>
      <c r="D101" s="18">
        <f t="shared" si="12" ref="D101:J101">C102</f>
        <v>5193</v>
      </c>
      <c r="E101" s="18">
        <f t="shared" si="12"/>
        <v>4827</v>
      </c>
      <c r="F101" s="18">
        <f t="shared" si="12"/>
        <v>6004</v>
      </c>
      <c r="G101" s="18">
        <f>C101</f>
        <v>5606</v>
      </c>
      <c r="H101" s="18">
        <f>F102</f>
        <v>7470</v>
      </c>
      <c r="I101" s="18">
        <f t="shared" si="12"/>
        <v>6871</v>
      </c>
      <c r="J101" s="36">
        <f t="shared" si="12"/>
        <v>8392</v>
      </c>
      <c r="K101" s="1" t="s">
        <v>509</v>
      </c>
      <c r="L101" s="1" t="s">
        <v>559</v>
      </c>
    </row>
    <row r="102" ht="15" customHeight="1">
      <c r="A102" s="1"/>
      <c r="B102" s="4" t="s">
        <v>560</v>
      </c>
      <c r="C102" s="33">
        <f t="shared" si="13" ref="C102:J102">C101+C100</f>
        <v>5193</v>
      </c>
      <c r="D102" s="33">
        <f t="shared" si="13"/>
        <v>4827</v>
      </c>
      <c r="E102" s="33">
        <f t="shared" si="13"/>
        <v>6004</v>
      </c>
      <c r="F102" s="33">
        <f t="shared" si="13"/>
        <v>7470</v>
      </c>
      <c r="G102" s="33">
        <f t="shared" si="13"/>
        <v>7470</v>
      </c>
      <c r="H102" s="33">
        <f t="shared" si="13"/>
        <v>6871</v>
      </c>
      <c r="I102" s="33">
        <f t="shared" si="13"/>
        <v>8392</v>
      </c>
      <c r="J102" s="34">
        <f t="shared" si="13"/>
        <v>9439.095196621569</v>
      </c>
      <c r="K102" s="1"/>
      <c r="L102" s="1"/>
    </row>
    <row r="103" ht="15" customHeight="1">
      <c r="A103" s="1"/>
      <c r="B103" s="1" t="s">
        <v>561</v>
      </c>
      <c r="C103" s="35">
        <v>5193</v>
      </c>
      <c r="D103" s="35">
        <v>4827</v>
      </c>
      <c r="E103" s="35">
        <v>6004</v>
      </c>
      <c r="F103" s="35">
        <v>7470</v>
      </c>
      <c r="G103" s="18">
        <f t="shared" si="15" ref="G103:J105">F103</f>
        <v>7470</v>
      </c>
      <c r="H103" s="35">
        <v>6871</v>
      </c>
      <c r="I103" s="35">
        <v>8392</v>
      </c>
      <c r="J103" s="36"/>
      <c r="K103" s="1" t="s">
        <v>509</v>
      </c>
      <c r="L103" s="1"/>
    </row>
    <row r="104" ht="15" customHeight="1">
      <c r="A104" s="1"/>
      <c r="B104" s="1" t="s">
        <v>562</v>
      </c>
      <c r="C104" s="18">
        <f t="shared" si="14" ref="C104:I104">C102-C103</f>
        <v>0</v>
      </c>
      <c r="D104" s="18">
        <f t="shared" si="14"/>
        <v>0</v>
      </c>
      <c r="E104" s="18">
        <f t="shared" si="14"/>
        <v>0</v>
      </c>
      <c r="F104" s="18">
        <f t="shared" si="14"/>
        <v>0</v>
      </c>
      <c r="G104" s="18">
        <f t="shared" si="14"/>
        <v>0</v>
      </c>
      <c r="H104" s="18">
        <f t="shared" si="14"/>
        <v>0</v>
      </c>
      <c r="I104" s="18">
        <f t="shared" si="14"/>
        <v>0</v>
      </c>
      <c r="J104" s="36"/>
      <c r="K104" s="1"/>
      <c r="L104" s="1"/>
    </row>
    <row r="105" ht="15" customHeight="1">
      <c r="A105" s="1"/>
      <c r="B105" s="1" t="s">
        <v>563</v>
      </c>
      <c r="C105" s="35">
        <v>36</v>
      </c>
      <c r="D105" s="35">
        <v>45</v>
      </c>
      <c r="E105" s="35">
        <v>38</v>
      </c>
      <c r="F105" s="35">
        <v>35</v>
      </c>
      <c r="G105" s="18">
        <f t="shared" si="15"/>
        <v>35</v>
      </c>
      <c r="H105" s="35">
        <v>53</v>
      </c>
      <c r="I105" s="35">
        <v>87</v>
      </c>
      <c r="J105" s="36">
        <f t="shared" si="15"/>
        <v>87</v>
      </c>
      <c r="K105" s="1" t="s">
        <v>509</v>
      </c>
      <c r="L105" s="1" t="s">
        <v>82</v>
      </c>
    </row>
    <row r="106" ht="15" customHeight="1">
      <c r="A106" s="1"/>
      <c r="B106" s="1" t="s">
        <v>84</v>
      </c>
      <c r="C106" s="18"/>
      <c r="D106" s="18">
        <f t="shared" si="9"/>
        <v>9</v>
      </c>
      <c r="E106" s="18">
        <f t="shared" si="9"/>
        <v>-7</v>
      </c>
      <c r="F106" s="18">
        <f t="shared" si="9"/>
        <v>-3</v>
      </c>
      <c r="G106" s="18"/>
      <c r="H106" s="18">
        <f t="shared" si="16"/>
        <v>18</v>
      </c>
      <c r="I106" s="18">
        <f t="shared" si="9"/>
        <v>34</v>
      </c>
      <c r="J106" s="36">
        <f t="shared" si="9"/>
        <v>0</v>
      </c>
      <c r="K106" s="1"/>
      <c r="L106" s="1"/>
    </row>
    <row r="107" ht="15" customHeight="1">
      <c r="A107" s="1"/>
      <c r="B107" s="4" t="s">
        <v>564</v>
      </c>
      <c r="C107" s="33">
        <f t="shared" si="17" ref="C107:J107">C102-C105</f>
        <v>5157</v>
      </c>
      <c r="D107" s="33">
        <f t="shared" si="17"/>
        <v>4782</v>
      </c>
      <c r="E107" s="33">
        <f t="shared" si="17"/>
        <v>5966</v>
      </c>
      <c r="F107" s="33">
        <f t="shared" si="17"/>
        <v>7435</v>
      </c>
      <c r="G107" s="33">
        <f t="shared" si="17"/>
        <v>7435</v>
      </c>
      <c r="H107" s="33">
        <f t="shared" si="17"/>
        <v>6818</v>
      </c>
      <c r="I107" s="33">
        <f t="shared" si="17"/>
        <v>8305</v>
      </c>
      <c r="J107" s="34">
        <f t="shared" si="17"/>
        <v>9352.095196621569</v>
      </c>
      <c r="K107" s="1"/>
      <c r="L107" s="1"/>
    </row>
    <row r="108" ht="15" customHeight="1">
      <c r="A108" s="1"/>
      <c r="B108" s="1" t="s">
        <v>90</v>
      </c>
      <c r="C108" s="18"/>
      <c r="D108" s="18">
        <f t="shared" si="9"/>
        <v>-375</v>
      </c>
      <c r="E108" s="18">
        <f t="shared" si="9"/>
        <v>1184</v>
      </c>
      <c r="F108" s="18">
        <f t="shared" si="9"/>
        <v>1469</v>
      </c>
      <c r="G108" s="18"/>
      <c r="H108" s="18">
        <f t="shared" si="16"/>
        <v>-617</v>
      </c>
      <c r="I108" s="18">
        <f t="shared" si="9"/>
        <v>1487</v>
      </c>
      <c r="J108" s="36">
        <f t="shared" si="9"/>
        <v>1047.095196621569</v>
      </c>
      <c r="K108" s="1"/>
      <c r="L108" s="1"/>
    </row>
    <row r="109" ht="15" customHeight="1">
      <c r="A109" s="1"/>
      <c r="B109" s="1"/>
      <c r="C109" s="1"/>
      <c r="D109" s="1"/>
      <c r="E109" s="1"/>
      <c r="F109" s="1"/>
      <c r="G109" s="1"/>
      <c r="H109" s="1"/>
      <c r="I109" s="1"/>
      <c r="J109" s="29"/>
      <c r="K109" s="1"/>
      <c r="L109" s="1"/>
    </row>
    <row r="110" ht="15" customHeight="1">
      <c r="A110" s="1"/>
      <c r="B110" s="4" t="s">
        <v>565</v>
      </c>
      <c r="C110" s="1"/>
      <c r="D110" s="1"/>
      <c r="E110" s="1"/>
      <c r="F110" s="1"/>
      <c r="G110" s="1"/>
      <c r="H110" s="1"/>
      <c r="I110" s="1"/>
      <c r="J110" s="29"/>
      <c r="K110" s="1"/>
      <c r="L110" s="1"/>
    </row>
    <row r="111" ht="15" customHeight="1">
      <c r="A111" s="1"/>
      <c r="B111" s="4" t="s">
        <v>566</v>
      </c>
      <c r="C111" s="33">
        <f t="shared" si="18" ref="C111:J111">C50+C57</f>
        <v>792</v>
      </c>
      <c r="D111" s="33">
        <f t="shared" si="18"/>
        <v>-72</v>
      </c>
      <c r="E111" s="33">
        <f t="shared" si="18"/>
        <v>4025</v>
      </c>
      <c r="F111" s="33">
        <f t="shared" si="18"/>
        <v>3195</v>
      </c>
      <c r="G111" s="33">
        <f t="shared" si="18"/>
        <v>7940</v>
      </c>
      <c r="H111" s="33">
        <f t="shared" si="18"/>
        <v>1309</v>
      </c>
      <c r="I111" s="33">
        <f t="shared" si="18"/>
        <v>2878</v>
      </c>
      <c r="J111" s="34">
        <f t="shared" si="18"/>
        <v>2244.201196621569</v>
      </c>
      <c r="K111" s="1"/>
      <c r="L111" s="1"/>
    </row>
    <row r="112" ht="15" customHeight="1">
      <c r="A112" s="1"/>
      <c r="B112" s="5" t="s">
        <v>73</v>
      </c>
      <c r="C112" s="43"/>
      <c r="D112" s="43"/>
      <c r="E112" s="43"/>
      <c r="F112" s="43"/>
      <c r="G112" s="43"/>
      <c r="H112" s="43">
        <f t="shared" si="1"/>
        <v>0.6527777777777777</v>
      </c>
      <c r="I112" s="43" t="str">
        <f t="shared" si="1"/>
        <v>n/m</v>
      </c>
      <c r="J112" s="44">
        <f t="shared" si="1"/>
        <v>-0.4424344853114114</v>
      </c>
      <c r="K112" s="1"/>
      <c r="L112" s="1"/>
    </row>
    <row r="113" ht="15" customHeight="1">
      <c r="A113" s="1"/>
      <c r="B113" s="1" t="s">
        <v>90</v>
      </c>
      <c r="C113" s="18"/>
      <c r="D113" s="18">
        <f t="shared" si="2"/>
        <v>-864</v>
      </c>
      <c r="E113" s="18">
        <f t="shared" si="2"/>
        <v>4097</v>
      </c>
      <c r="F113" s="18">
        <f t="shared" si="2"/>
        <v>-830</v>
      </c>
      <c r="G113" s="18"/>
      <c r="H113" s="18">
        <f t="shared" si="3"/>
        <v>-1886</v>
      </c>
      <c r="I113" s="18">
        <f t="shared" si="2"/>
        <v>1569</v>
      </c>
      <c r="J113" s="36">
        <f t="shared" si="2"/>
        <v>-633.7988033784309</v>
      </c>
      <c r="K113" s="1"/>
      <c r="L113" s="1"/>
    </row>
    <row r="114" ht="15" customHeight="1">
      <c r="A114" s="1"/>
      <c r="B114" s="1" t="s">
        <v>567</v>
      </c>
      <c r="C114" s="35">
        <v>792</v>
      </c>
      <c r="D114" s="35">
        <v>-72</v>
      </c>
      <c r="E114" s="35">
        <v>4025</v>
      </c>
      <c r="F114" s="35">
        <v>3195</v>
      </c>
      <c r="G114" s="18">
        <f t="shared" si="4"/>
        <v>7940</v>
      </c>
      <c r="H114" s="35">
        <v>1309</v>
      </c>
      <c r="I114" s="35">
        <v>2878</v>
      </c>
      <c r="J114" s="36"/>
      <c r="K114" s="1" t="s">
        <v>568</v>
      </c>
      <c r="L114" s="1"/>
    </row>
    <row r="115" ht="15" customHeight="1">
      <c r="A115" s="1"/>
      <c r="B115" s="1" t="s">
        <v>569</v>
      </c>
      <c r="C115" s="18">
        <f t="shared" si="6"/>
        <v>0</v>
      </c>
      <c r="D115" s="18">
        <f t="shared" si="6"/>
        <v>0</v>
      </c>
      <c r="E115" s="18">
        <f t="shared" si="6"/>
        <v>0</v>
      </c>
      <c r="F115" s="18">
        <f t="shared" si="6"/>
        <v>0</v>
      </c>
      <c r="G115" s="18">
        <f t="shared" si="6"/>
        <v>0</v>
      </c>
      <c r="H115" s="18">
        <f t="shared" si="6"/>
        <v>0</v>
      </c>
      <c r="I115" s="18">
        <f t="shared" si="6"/>
        <v>0</v>
      </c>
      <c r="J115" s="36"/>
      <c r="K115" s="1"/>
      <c r="L115" s="1"/>
    </row>
    <row r="116" ht="15" customHeight="1">
      <c r="A116" s="1"/>
      <c r="B116" s="5" t="s">
        <v>570</v>
      </c>
      <c r="C116" s="28">
        <f>C111/'Income Statement'!C187</f>
        <v>0.39779005524861877</v>
      </c>
      <c r="D116" s="28">
        <f>D111/'Income Statement'!D187</f>
        <v>-0.0339943342776204</v>
      </c>
      <c r="E116" s="28">
        <f>E111/'Income Statement'!E187</f>
        <v>1.74167027260926</v>
      </c>
      <c r="F116" s="28">
        <f>F111/'Income Statement'!F187</f>
        <v>1.513500710563714</v>
      </c>
      <c r="G116" s="28">
        <f>G111/'Income Statement'!G187</f>
        <v>0.9307232446372055</v>
      </c>
      <c r="H116" s="28">
        <f>H111/'Income Statement'!H187</f>
        <v>0.5397938144329897</v>
      </c>
      <c r="I116" s="28">
        <f>I111/'Income Statement'!I187</f>
        <v>1.1159364094610313</v>
      </c>
      <c r="J116" s="31">
        <f>J111/'Income Statement'!J187</f>
        <v>0.9002583877637412</v>
      </c>
      <c r="K116" s="1"/>
      <c r="L116" s="1"/>
    </row>
    <row r="117" ht="15" customHeight="1">
      <c r="A117" s="1"/>
      <c r="B117" s="5" t="s">
        <v>143</v>
      </c>
      <c r="C117" s="48"/>
      <c r="D117" s="48"/>
      <c r="E117" s="48"/>
      <c r="F117" s="48"/>
      <c r="G117" s="48"/>
      <c r="H117" s="48">
        <f t="shared" si="19" ref="H117:J120">IF(COUNT(H116,C116)&lt;2,"n/a",(H116-C116)*10000)</f>
        <v>1420.0375918437092</v>
      </c>
      <c r="I117" s="48">
        <f t="shared" si="19"/>
        <v>11499.307437386517</v>
      </c>
      <c r="J117" s="49">
        <f t="shared" si="19"/>
        <v>-8414.11884845519</v>
      </c>
      <c r="K117" s="1"/>
      <c r="L117" s="1"/>
    </row>
    <row r="118" ht="15" customHeight="1">
      <c r="A118" s="1"/>
      <c r="B118" s="5" t="s">
        <v>128</v>
      </c>
      <c r="C118" s="48"/>
      <c r="D118" s="48">
        <f t="shared" si="20" ref="D118:J121">IF(COUNT(D116,C116)&lt;2,"n/a",(D116-C116)*10000)</f>
        <v>-4317.843895262392</v>
      </c>
      <c r="E118" s="48">
        <f t="shared" si="20"/>
        <v>17756.646068868806</v>
      </c>
      <c r="F118" s="48">
        <f t="shared" si="20"/>
        <v>-2281.6956204554617</v>
      </c>
      <c r="G118" s="48"/>
      <c r="H118" s="48">
        <f t="shared" si="21" ref="H118:H121">IF(COUNT(H116,F116)&lt;2,"n/a",(H116-F116)*10000)</f>
        <v>-9737.068961307243</v>
      </c>
      <c r="I118" s="48">
        <f t="shared" si="20"/>
        <v>5761.425950280416</v>
      </c>
      <c r="J118" s="49">
        <f t="shared" si="20"/>
        <v>-2156.780216972901</v>
      </c>
      <c r="K118" s="1"/>
      <c r="L118" s="1"/>
    </row>
    <row r="119" ht="15" customHeight="1">
      <c r="A119" s="1"/>
      <c r="B119" s="5" t="s">
        <v>571</v>
      </c>
      <c r="C119" s="28">
        <f>-C57/'Income Statement'!C19</f>
        <v>0.025263468925440756</v>
      </c>
      <c r="D119" s="28">
        <f>-D57/'Income Statement'!D19</f>
        <v>0.024558639544043373</v>
      </c>
      <c r="E119" s="28">
        <f>-E57/'Income Statement'!E19</f>
        <v>0.027315597473084794</v>
      </c>
      <c r="F119" s="28">
        <f>-F57/'Income Statement'!F19</f>
        <v>0.040019803614159584</v>
      </c>
      <c r="G119" s="28">
        <f>-G57/'Income Statement'!G19</f>
        <v>0.029649108946649662</v>
      </c>
      <c r="H119" s="28">
        <f>-H57/'Income Statement'!H19</f>
        <v>0.024732741438666425</v>
      </c>
      <c r="I119" s="28">
        <f>-I57/'Income Statement'!I19</f>
        <v>0.02707625060709082</v>
      </c>
      <c r="J119" s="31">
        <f>-J57/'Income Statement'!J19</f>
        <v>0.033022952467697306</v>
      </c>
      <c r="K119" s="1"/>
      <c r="L119" s="1"/>
    </row>
    <row r="120" ht="15" customHeight="1">
      <c r="A120" s="1"/>
      <c r="B120" s="5" t="s">
        <v>143</v>
      </c>
      <c r="C120" s="48"/>
      <c r="D120" s="48"/>
      <c r="E120" s="48"/>
      <c r="F120" s="48"/>
      <c r="G120" s="48"/>
      <c r="H120" s="48">
        <f t="shared" si="19"/>
        <v>-5.307274867743309</v>
      </c>
      <c r="I120" s="48">
        <f t="shared" si="19"/>
        <v>25.176110630474486</v>
      </c>
      <c r="J120" s="49">
        <f t="shared" si="19"/>
        <v>57.07354994612512</v>
      </c>
      <c r="K120" s="1"/>
      <c r="L120" s="1"/>
    </row>
    <row r="121" ht="15" customHeight="1">
      <c r="A121" s="1"/>
      <c r="B121" s="5" t="s">
        <v>128</v>
      </c>
      <c r="C121" s="48"/>
      <c r="D121" s="48">
        <f t="shared" si="20"/>
        <v>-7.04829381397383</v>
      </c>
      <c r="E121" s="48">
        <f t="shared" si="20"/>
        <v>27.56957929041421</v>
      </c>
      <c r="F121" s="48">
        <f t="shared" si="20"/>
        <v>127.0420614107479</v>
      </c>
      <c r="G121" s="48"/>
      <c r="H121" s="48">
        <f t="shared" si="21"/>
        <v>-152.8706217549316</v>
      </c>
      <c r="I121" s="48">
        <f t="shared" si="20"/>
        <v>23.435091684243964</v>
      </c>
      <c r="J121" s="49">
        <f t="shared" si="20"/>
        <v>59.46701860606484</v>
      </c>
      <c r="K121" s="1"/>
      <c r="L121" s="1"/>
    </row>
    <row r="122" ht="15" customHeight="1">
      <c r="A122" s="1"/>
      <c r="B122" s="1"/>
      <c r="C122" s="1"/>
      <c r="D122" s="1"/>
      <c r="E122" s="1"/>
      <c r="F122" s="1"/>
      <c r="G122" s="1"/>
      <c r="H122" s="1"/>
      <c r="I122" s="1"/>
      <c r="J122" s="29"/>
      <c r="K122" s="1"/>
      <c r="L122" s="1"/>
    </row>
    <row r="123" ht="15" customHeight="1">
      <c r="A123" s="1"/>
      <c r="B123" s="1" t="s">
        <v>572</v>
      </c>
      <c r="C123" s="17">
        <f>C107-'Balance Sheet'!C11</f>
        <v>0</v>
      </c>
      <c r="D123" s="17">
        <f>D107-'Balance Sheet'!D11</f>
        <v>0</v>
      </c>
      <c r="E123" s="17">
        <f>E107-'Balance Sheet'!E11</f>
        <v>0</v>
      </c>
      <c r="F123" s="17">
        <f>F107-'Balance Sheet'!F11</f>
        <v>0</v>
      </c>
      <c r="G123" s="17">
        <f>G107-'Balance Sheet'!G11</f>
        <v>0</v>
      </c>
      <c r="H123" s="17">
        <f>H107-'Balance Sheet'!H11</f>
        <v>0</v>
      </c>
      <c r="I123" s="17">
        <f>I107-'Balance Sheet'!I11</f>
        <v>0</v>
      </c>
      <c r="J123" s="30">
        <f>J107-'Balance Sheet'!J11</f>
        <v>0</v>
      </c>
      <c r="K123" s="1"/>
      <c r="L123" s="1"/>
    </row>
    <row r="124" ht="15" customHeight="1">
      <c r="A124" s="1"/>
      <c r="B124" s="1"/>
      <c r="C124" s="1"/>
      <c r="D124" s="1"/>
      <c r="E124" s="1"/>
      <c r="F124" s="1"/>
      <c r="G124" s="1"/>
      <c r="H124" s="1"/>
      <c r="I124" s="1"/>
      <c r="J124" s="29"/>
      <c r="K124" s="1"/>
      <c r="L124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1681AF8-DE98-5AA8-C928-7AC093842AC3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6.00390625" customWidth="1"/>
    <col min="3" max="10" width="12.00390625" customWidth="1"/>
    <col min="11" max="11" width="20.00390625" customWidth="1"/>
    <col min="12" max="12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4" t="s">
        <v>573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ht="15" customHeight="1">
      <c r="A6" s="1"/>
      <c r="B6" s="6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8" t="s">
        <v>12</v>
      </c>
      <c r="K6" s="6" t="s">
        <v>13</v>
      </c>
      <c r="L6" s="6" t="s">
        <v>14</v>
      </c>
    </row>
    <row r="7" ht="15" customHeight="1">
      <c r="A7" s="1"/>
      <c r="B7" s="9" t="s">
        <v>15</v>
      </c>
      <c r="C7" s="10">
        <v>45747</v>
      </c>
      <c r="D7" s="10">
        <v>45838</v>
      </c>
      <c r="E7" s="10">
        <v>45930</v>
      </c>
      <c r="F7" s="10">
        <v>46022</v>
      </c>
      <c r="G7" s="10">
        <v>46022</v>
      </c>
      <c r="H7" s="10">
        <v>46112</v>
      </c>
      <c r="I7" s="10">
        <v>46203</v>
      </c>
      <c r="J7" s="11">
        <v>46295</v>
      </c>
      <c r="K7" s="9"/>
      <c r="L7" s="9"/>
    </row>
    <row r="8" ht="15" customHeight="1">
      <c r="A8" s="1"/>
      <c r="B8" s="12" t="s">
        <v>16</v>
      </c>
      <c r="C8" s="13">
        <f>C7-EOMONTH(C7,-3)</f>
        <v>90</v>
      </c>
      <c r="D8" s="13">
        <f t="shared" si="0" ref="D8:J8">D7-C7</f>
        <v>91</v>
      </c>
      <c r="E8" s="13">
        <f t="shared" si="0"/>
        <v>92</v>
      </c>
      <c r="F8" s="13">
        <f t="shared" si="0"/>
        <v>92</v>
      </c>
      <c r="G8" s="13">
        <f>G7-EOMONTH(G7,-12)</f>
        <v>365</v>
      </c>
      <c r="H8" s="13">
        <f>H7-F7</f>
        <v>90</v>
      </c>
      <c r="I8" s="13">
        <f t="shared" si="0"/>
        <v>91</v>
      </c>
      <c r="J8" s="14">
        <f t="shared" si="0"/>
        <v>92</v>
      </c>
      <c r="K8" s="12"/>
      <c r="L8" s="12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15" customHeight="1">
      <c r="A10" s="1"/>
      <c r="B10" s="4" t="s">
        <v>574</v>
      </c>
      <c r="C10" s="1"/>
      <c r="D10" s="1"/>
      <c r="E10" s="1"/>
      <c r="F10" s="1"/>
      <c r="G10" s="1"/>
      <c r="H10" s="1"/>
      <c r="I10" s="1"/>
      <c r="J10" s="29"/>
      <c r="K10" s="1"/>
      <c r="L10" s="1"/>
    </row>
    <row r="11" ht="15" customHeight="1">
      <c r="A11" s="1"/>
      <c r="B11" s="1" t="s">
        <v>575</v>
      </c>
      <c r="C11" s="35">
        <v>3348</v>
      </c>
      <c r="D11" s="35">
        <v>3514</v>
      </c>
      <c r="E11" s="35">
        <v>3631</v>
      </c>
      <c r="F11" s="35">
        <v>3643</v>
      </c>
      <c r="G11" s="18">
        <f t="shared" si="3" ref="G11:G119">SUM(C11:F11)</f>
        <v>14136</v>
      </c>
      <c r="H11" s="35">
        <v>3679</v>
      </c>
      <c r="I11" s="35">
        <v>3949</v>
      </c>
      <c r="J11" s="30">
        <f>'Segment - Collins Aerospace'!J62*E11/'Segment - Collins Aerospace'!E62</f>
        <v>3921.471269001143</v>
      </c>
      <c r="K11" s="1" t="s">
        <v>81</v>
      </c>
      <c r="L11" s="1" t="s">
        <v>576</v>
      </c>
    </row>
    <row r="12" ht="15" customHeight="1">
      <c r="A12" s="1"/>
      <c r="B12" s="5" t="s">
        <v>83</v>
      </c>
      <c r="C12" s="19"/>
      <c r="D12" s="19"/>
      <c r="E12" s="19"/>
      <c r="F12" s="19"/>
      <c r="G12" s="19"/>
      <c r="H12" s="19">
        <f t="shared" si="1" ref="H12:J133">IF(COUNT(H11,C11)&lt;2,"n/a",IF(H11*C11&lt;=0,"n/m",H11/C11-1))</f>
        <v>0.09886499402628446</v>
      </c>
      <c r="I12" s="19">
        <f t="shared" si="1"/>
        <v>0.12379055207740475</v>
      </c>
      <c r="J12" s="32">
        <f t="shared" si="1"/>
        <v>0.07999759542857143</v>
      </c>
      <c r="K12" s="1"/>
      <c r="L12" s="1"/>
    </row>
    <row r="13" ht="15" customHeight="1">
      <c r="A13" s="1"/>
      <c r="B13" s="1" t="s">
        <v>84</v>
      </c>
      <c r="C13" s="18"/>
      <c r="D13" s="18">
        <f t="shared" si="2" ref="D13:J125">IF(COUNT(D11,C11)&lt;2,"n/a",D11-C11)</f>
        <v>166</v>
      </c>
      <c r="E13" s="18">
        <f t="shared" si="2"/>
        <v>117</v>
      </c>
      <c r="F13" s="18">
        <f t="shared" si="2"/>
        <v>12</v>
      </c>
      <c r="G13" s="18"/>
      <c r="H13" s="18">
        <f t="shared" si="4" ref="H13:H125">IF(COUNT(H11,F11)&lt;2,"n/a",H11-F11)</f>
        <v>36</v>
      </c>
      <c r="I13" s="18">
        <f t="shared" si="2"/>
        <v>270</v>
      </c>
      <c r="J13" s="36">
        <f t="shared" si="2"/>
        <v>-27.5287309988571</v>
      </c>
      <c r="K13" s="1"/>
      <c r="L13" s="1"/>
    </row>
    <row r="14" ht="15" customHeight="1">
      <c r="A14" s="1"/>
      <c r="B14" s="1" t="s">
        <v>85</v>
      </c>
      <c r="C14" s="37" t="s">
        <v>86</v>
      </c>
      <c r="D14" s="37" t="s">
        <v>86</v>
      </c>
      <c r="E14" s="37" t="s">
        <v>86</v>
      </c>
      <c r="F14" s="37" t="s">
        <v>86</v>
      </c>
      <c r="G14" s="37" t="s">
        <v>86</v>
      </c>
      <c r="H14" s="37" t="s">
        <v>86</v>
      </c>
      <c r="I14" s="37" t="s">
        <v>86</v>
      </c>
      <c r="J14" s="38" t="s">
        <v>86</v>
      </c>
      <c r="K14" s="1"/>
      <c r="L14" s="1" t="s">
        <v>87</v>
      </c>
    </row>
    <row r="15" ht="15" customHeight="1">
      <c r="A15" s="1"/>
      <c r="B15" s="1" t="s">
        <v>577</v>
      </c>
      <c r="C15" s="35">
        <v>3418</v>
      </c>
      <c r="D15" s="35">
        <v>3260</v>
      </c>
      <c r="E15" s="35">
        <v>3198</v>
      </c>
      <c r="F15" s="35">
        <v>3760</v>
      </c>
      <c r="G15" s="18">
        <f t="shared" si="3"/>
        <v>13636</v>
      </c>
      <c r="H15" s="35">
        <v>3603</v>
      </c>
      <c r="I15" s="35">
        <v>3305</v>
      </c>
      <c r="J15" s="30">
        <f>'Segment - Pratt &amp; Whitney'!J69*E15/'Segment - Pratt &amp; Whitney'!E69</f>
        <v>3384.9511762022335</v>
      </c>
      <c r="K15" s="1" t="s">
        <v>81</v>
      </c>
      <c r="L15" s="1" t="s">
        <v>576</v>
      </c>
    </row>
    <row r="16" ht="15" customHeight="1">
      <c r="A16" s="1"/>
      <c r="B16" s="5" t="s">
        <v>83</v>
      </c>
      <c r="C16" s="19"/>
      <c r="D16" s="19"/>
      <c r="E16" s="19"/>
      <c r="F16" s="19"/>
      <c r="G16" s="19"/>
      <c r="H16" s="19">
        <f t="shared" si="1"/>
        <v>0.05412521942656534</v>
      </c>
      <c r="I16" s="19">
        <f t="shared" si="1"/>
        <v>0.013803680981595123</v>
      </c>
      <c r="J16" s="32">
        <f t="shared" si="1"/>
        <v>0.058458779300260666</v>
      </c>
      <c r="K16" s="1"/>
      <c r="L16" s="1"/>
    </row>
    <row r="17" ht="15" customHeight="1">
      <c r="A17" s="1"/>
      <c r="B17" s="1" t="s">
        <v>84</v>
      </c>
      <c r="C17" s="18"/>
      <c r="D17" s="18">
        <f t="shared" si="2"/>
        <v>-158</v>
      </c>
      <c r="E17" s="18">
        <f t="shared" si="2"/>
        <v>-62</v>
      </c>
      <c r="F17" s="18">
        <f t="shared" si="2"/>
        <v>562</v>
      </c>
      <c r="G17" s="18"/>
      <c r="H17" s="18">
        <f t="shared" si="4"/>
        <v>-157</v>
      </c>
      <c r="I17" s="18">
        <f t="shared" si="2"/>
        <v>-298</v>
      </c>
      <c r="J17" s="36">
        <f t="shared" si="2"/>
        <v>79.95117620223346</v>
      </c>
      <c r="K17" s="1"/>
      <c r="L17" s="1"/>
    </row>
    <row r="18" ht="15" customHeight="1">
      <c r="A18" s="1"/>
      <c r="B18" s="1" t="s">
        <v>85</v>
      </c>
      <c r="C18" s="37" t="s">
        <v>86</v>
      </c>
      <c r="D18" s="37" t="s">
        <v>86</v>
      </c>
      <c r="E18" s="37" t="s">
        <v>86</v>
      </c>
      <c r="F18" s="37" t="s">
        <v>86</v>
      </c>
      <c r="G18" s="37" t="s">
        <v>86</v>
      </c>
      <c r="H18" s="37" t="s">
        <v>86</v>
      </c>
      <c r="I18" s="37" t="s">
        <v>86</v>
      </c>
      <c r="J18" s="38" t="s">
        <v>86</v>
      </c>
      <c r="K18" s="1"/>
      <c r="L18" s="1" t="s">
        <v>87</v>
      </c>
    </row>
    <row r="19" ht="15" customHeight="1">
      <c r="A19" s="1"/>
      <c r="B19" s="1" t="s">
        <v>578</v>
      </c>
      <c r="C19" s="35">
        <v>4447</v>
      </c>
      <c r="D19" s="35">
        <v>4909</v>
      </c>
      <c r="E19" s="35">
        <v>4858</v>
      </c>
      <c r="F19" s="35">
        <v>5099</v>
      </c>
      <c r="G19" s="18">
        <f t="shared" si="3"/>
        <v>19313</v>
      </c>
      <c r="H19" s="35">
        <v>4578</v>
      </c>
      <c r="I19" s="35">
        <v>5784</v>
      </c>
      <c r="J19" s="30">
        <f>'Segment - Raytheon'!J51*E19/'Segment - Raytheon'!E51</f>
        <v>5337.44202055519</v>
      </c>
      <c r="K19" s="1" t="s">
        <v>81</v>
      </c>
      <c r="L19" s="1" t="s">
        <v>576</v>
      </c>
    </row>
    <row r="20" ht="15" customHeight="1">
      <c r="A20" s="1"/>
      <c r="B20" s="5" t="s">
        <v>83</v>
      </c>
      <c r="C20" s="19"/>
      <c r="D20" s="19"/>
      <c r="E20" s="19"/>
      <c r="F20" s="19"/>
      <c r="G20" s="19"/>
      <c r="H20" s="19">
        <f t="shared" si="1"/>
        <v>0.02945806161457165</v>
      </c>
      <c r="I20" s="19">
        <f t="shared" si="1"/>
        <v>0.17824404155632512</v>
      </c>
      <c r="J20" s="32">
        <f t="shared" si="1"/>
        <v>0.09869123519044654</v>
      </c>
      <c r="K20" s="1"/>
      <c r="L20" s="1"/>
    </row>
    <row r="21" ht="15" customHeight="1">
      <c r="A21" s="1"/>
      <c r="B21" s="1" t="s">
        <v>84</v>
      </c>
      <c r="C21" s="18"/>
      <c r="D21" s="18">
        <f t="shared" si="2"/>
        <v>462</v>
      </c>
      <c r="E21" s="18">
        <f t="shared" si="2"/>
        <v>-51</v>
      </c>
      <c r="F21" s="18">
        <f t="shared" si="2"/>
        <v>241</v>
      </c>
      <c r="G21" s="18"/>
      <c r="H21" s="18">
        <f t="shared" si="4"/>
        <v>-521</v>
      </c>
      <c r="I21" s="18">
        <f t="shared" si="2"/>
        <v>1206</v>
      </c>
      <c r="J21" s="36">
        <f t="shared" si="2"/>
        <v>-446.55797944481037</v>
      </c>
      <c r="K21" s="1"/>
      <c r="L21" s="1"/>
    </row>
    <row r="22" ht="15" customHeight="1">
      <c r="A22" s="1"/>
      <c r="B22" s="1" t="s">
        <v>85</v>
      </c>
      <c r="C22" s="37" t="s">
        <v>86</v>
      </c>
      <c r="D22" s="37" t="s">
        <v>86</v>
      </c>
      <c r="E22" s="37" t="s">
        <v>86</v>
      </c>
      <c r="F22" s="37" t="s">
        <v>86</v>
      </c>
      <c r="G22" s="37" t="s">
        <v>86</v>
      </c>
      <c r="H22" s="37" t="s">
        <v>86</v>
      </c>
      <c r="I22" s="37" t="s">
        <v>86</v>
      </c>
      <c r="J22" s="38" t="s">
        <v>86</v>
      </c>
      <c r="K22" s="1"/>
      <c r="L22" s="1" t="s">
        <v>87</v>
      </c>
    </row>
    <row r="23" ht="15" customHeight="1">
      <c r="A23" s="1"/>
      <c r="B23" s="1" t="s">
        <v>579</v>
      </c>
      <c r="C23" s="35">
        <v>53</v>
      </c>
      <c r="D23" s="35">
        <v>54</v>
      </c>
      <c r="E23" s="35">
        <v>47</v>
      </c>
      <c r="F23" s="35">
        <v>52</v>
      </c>
      <c r="G23" s="18">
        <f t="shared" si="3"/>
        <v>206</v>
      </c>
      <c r="H23" s="35">
        <v>53</v>
      </c>
      <c r="I23" s="35">
        <v>55</v>
      </c>
      <c r="J23" s="30">
        <f>_xlfn.IFERROR('Revenue summary'!J36*E23/'Revenue summary'!E36,0)</f>
        <v>50.68627450980392</v>
      </c>
      <c r="K23" s="1" t="s">
        <v>81</v>
      </c>
      <c r="L23" s="1"/>
    </row>
    <row r="24" ht="15" customHeight="1">
      <c r="A24" s="1"/>
      <c r="B24" s="5" t="s">
        <v>83</v>
      </c>
      <c r="C24" s="19"/>
      <c r="D24" s="19"/>
      <c r="E24" s="19"/>
      <c r="F24" s="19"/>
      <c r="G24" s="19"/>
      <c r="H24" s="19">
        <f t="shared" si="1"/>
        <v>0</v>
      </c>
      <c r="I24" s="19">
        <f t="shared" si="1"/>
        <v>0.0185185185185186</v>
      </c>
      <c r="J24" s="32">
        <f t="shared" si="1"/>
        <v>0.07843137254901955</v>
      </c>
      <c r="K24" s="1"/>
      <c r="L24" s="1"/>
    </row>
    <row r="25" ht="15" customHeight="1">
      <c r="A25" s="1"/>
      <c r="B25" s="1" t="s">
        <v>84</v>
      </c>
      <c r="C25" s="18"/>
      <c r="D25" s="18">
        <f t="shared" si="2"/>
        <v>1</v>
      </c>
      <c r="E25" s="18">
        <f t="shared" si="2"/>
        <v>-7</v>
      </c>
      <c r="F25" s="18">
        <f t="shared" si="2"/>
        <v>5</v>
      </c>
      <c r="G25" s="18"/>
      <c r="H25" s="18">
        <f t="shared" si="4"/>
        <v>1</v>
      </c>
      <c r="I25" s="18">
        <f t="shared" si="2"/>
        <v>2</v>
      </c>
      <c r="J25" s="36">
        <f t="shared" si="2"/>
        <v>-4.313725490196077</v>
      </c>
      <c r="K25" s="1"/>
      <c r="L25" s="1"/>
    </row>
    <row r="26" ht="15" customHeight="1">
      <c r="A26" s="1"/>
      <c r="B26" s="1" t="s">
        <v>85</v>
      </c>
      <c r="C26" s="37" t="s">
        <v>86</v>
      </c>
      <c r="D26" s="37" t="s">
        <v>86</v>
      </c>
      <c r="E26" s="37" t="s">
        <v>86</v>
      </c>
      <c r="F26" s="37" t="s">
        <v>86</v>
      </c>
      <c r="G26" s="37" t="s">
        <v>86</v>
      </c>
      <c r="H26" s="37" t="s">
        <v>86</v>
      </c>
      <c r="I26" s="37" t="s">
        <v>86</v>
      </c>
      <c r="J26" s="38" t="s">
        <v>86</v>
      </c>
      <c r="K26" s="1"/>
      <c r="L26" s="1" t="s">
        <v>87</v>
      </c>
    </row>
    <row r="27" ht="15" customHeight="1">
      <c r="A27" s="1"/>
      <c r="B27" s="4" t="s">
        <v>580</v>
      </c>
      <c r="C27" s="33">
        <f t="shared" si="5" ref="C27:J123">C11+C15+C19+C23</f>
        <v>11266</v>
      </c>
      <c r="D27" s="33">
        <f t="shared" si="5"/>
        <v>11737</v>
      </c>
      <c r="E27" s="33">
        <f t="shared" si="5"/>
        <v>11734</v>
      </c>
      <c r="F27" s="33">
        <f t="shared" si="5"/>
        <v>12554</v>
      </c>
      <c r="G27" s="33">
        <f t="shared" si="5"/>
        <v>47291</v>
      </c>
      <c r="H27" s="33">
        <f t="shared" si="5"/>
        <v>11913</v>
      </c>
      <c r="I27" s="33">
        <f t="shared" si="5"/>
        <v>13093</v>
      </c>
      <c r="J27" s="34">
        <f t="shared" si="5"/>
        <v>12694.550740268369</v>
      </c>
      <c r="K27" s="1"/>
      <c r="L27" s="1"/>
    </row>
    <row r="28" ht="15" customHeight="1">
      <c r="A28" s="1"/>
      <c r="B28" s="5" t="s">
        <v>73</v>
      </c>
      <c r="C28" s="19"/>
      <c r="D28" s="19"/>
      <c r="E28" s="19"/>
      <c r="F28" s="19"/>
      <c r="G28" s="19"/>
      <c r="H28" s="19">
        <f t="shared" si="1"/>
        <v>0.057429433694301535</v>
      </c>
      <c r="I28" s="19">
        <f t="shared" si="1"/>
        <v>0.11553207804379317</v>
      </c>
      <c r="J28" s="32">
        <f t="shared" si="1"/>
        <v>0.08186046874623898</v>
      </c>
      <c r="K28" s="1"/>
      <c r="L28" s="1"/>
    </row>
    <row r="29" ht="15" customHeight="1">
      <c r="A29" s="1"/>
      <c r="B29" s="1" t="s">
        <v>90</v>
      </c>
      <c r="C29" s="18"/>
      <c r="D29" s="18">
        <f t="shared" si="2"/>
        <v>471</v>
      </c>
      <c r="E29" s="18">
        <f t="shared" si="2"/>
        <v>-3</v>
      </c>
      <c r="F29" s="18">
        <f t="shared" si="2"/>
        <v>820</v>
      </c>
      <c r="G29" s="18"/>
      <c r="H29" s="18">
        <f t="shared" si="4"/>
        <v>-641</v>
      </c>
      <c r="I29" s="18">
        <f t="shared" si="2"/>
        <v>1180</v>
      </c>
      <c r="J29" s="36">
        <f t="shared" si="2"/>
        <v>-398.4492597316312</v>
      </c>
      <c r="K29" s="1"/>
      <c r="L29" s="1"/>
    </row>
    <row r="30" ht="15" customHeight="1">
      <c r="A30" s="1"/>
      <c r="B30" s="5" t="s">
        <v>75</v>
      </c>
      <c r="C30" s="19">
        <f t="shared" si="6" ref="C30:J30">IF(COUNT(C27,C131)&lt;2,"n/a",C27/C131)</f>
        <v>0.5548113857973013</v>
      </c>
      <c r="D30" s="19">
        <f t="shared" si="6"/>
        <v>0.543858023261202</v>
      </c>
      <c r="E30" s="19">
        <f t="shared" si="6"/>
        <v>0.5220215321647833</v>
      </c>
      <c r="F30" s="19">
        <f t="shared" si="6"/>
        <v>0.5179470253321231</v>
      </c>
      <c r="G30" s="19">
        <f t="shared" si="6"/>
        <v>0.5337403925374987</v>
      </c>
      <c r="H30" s="19">
        <f t="shared" si="6"/>
        <v>0.5396358035876064</v>
      </c>
      <c r="I30" s="19">
        <f t="shared" si="6"/>
        <v>0.5299093411040958</v>
      </c>
      <c r="J30" s="32">
        <f t="shared" si="6"/>
        <v>0.5240144321183176</v>
      </c>
      <c r="K30" s="1"/>
      <c r="L30" s="1"/>
    </row>
    <row r="31" ht="15" customHeight="1">
      <c r="A31" s="1"/>
      <c r="B31" s="5" t="s">
        <v>133</v>
      </c>
      <c r="C31" s="48"/>
      <c r="D31" s="48"/>
      <c r="E31" s="48"/>
      <c r="F31" s="48"/>
      <c r="G31" s="48"/>
      <c r="H31" s="48">
        <f t="shared" si="7" ref="H31:J135">IF(COUNT(H30,C30)&lt;2,"n/a",(H30-C30)*10000)</f>
        <v>-151.75582209694838</v>
      </c>
      <c r="I31" s="48">
        <f t="shared" si="7"/>
        <v>-139.48682157106208</v>
      </c>
      <c r="J31" s="49">
        <f t="shared" si="7"/>
        <v>19.92899953534244</v>
      </c>
      <c r="K31" s="1"/>
      <c r="L31" s="1"/>
    </row>
    <row r="32" ht="15" customHeight="1">
      <c r="A32" s="1"/>
      <c r="B32" s="5" t="s">
        <v>134</v>
      </c>
      <c r="C32" s="48"/>
      <c r="D32" s="48">
        <f t="shared" si="8" ref="D32:J136">IF(COUNT(D30,C30)&lt;2,"n/a",(D30-C30)*10000)</f>
        <v>-109.53362536099243</v>
      </c>
      <c r="E32" s="48">
        <f t="shared" si="8"/>
        <v>-218.3649109641872</v>
      </c>
      <c r="F32" s="48">
        <f t="shared" si="8"/>
        <v>-40.74506832660197</v>
      </c>
      <c r="G32" s="48"/>
      <c r="H32" s="48">
        <f t="shared" si="10" ref="H32:H136">IF(COUNT(H30,F30)&lt;2,"n/a",(H30-F30)*10000)</f>
        <v>216.88778255483322</v>
      </c>
      <c r="I32" s="48">
        <f t="shared" si="8"/>
        <v>-97.26462483510612</v>
      </c>
      <c r="J32" s="49">
        <f t="shared" si="8"/>
        <v>-58.94908985778269</v>
      </c>
      <c r="K32" s="1"/>
      <c r="L32" s="1"/>
    </row>
    <row r="33" ht="15" customHeight="1">
      <c r="A33" s="1"/>
      <c r="B33" s="1" t="s">
        <v>91</v>
      </c>
      <c r="C33" s="37" t="s">
        <v>86</v>
      </c>
      <c r="D33" s="37" t="s">
        <v>86</v>
      </c>
      <c r="E33" s="37" t="s">
        <v>86</v>
      </c>
      <c r="F33" s="37" t="s">
        <v>86</v>
      </c>
      <c r="G33" s="37" t="s">
        <v>86</v>
      </c>
      <c r="H33" s="37" t="s">
        <v>86</v>
      </c>
      <c r="I33" s="37" t="s">
        <v>86</v>
      </c>
      <c r="J33" s="38" t="s">
        <v>86</v>
      </c>
      <c r="K33" s="1"/>
      <c r="L33" s="1" t="s">
        <v>581</v>
      </c>
    </row>
    <row r="34" ht="15" customHeight="1">
      <c r="A34" s="1"/>
      <c r="B34" s="4" t="s">
        <v>582</v>
      </c>
      <c r="C34" s="1"/>
      <c r="D34" s="1"/>
      <c r="E34" s="1"/>
      <c r="F34" s="1"/>
      <c r="G34" s="1"/>
      <c r="H34" s="1"/>
      <c r="I34" s="1"/>
      <c r="J34" s="29"/>
      <c r="K34" s="1"/>
      <c r="L34" s="1"/>
    </row>
    <row r="35" ht="15" customHeight="1">
      <c r="A35" s="1"/>
      <c r="B35" s="1" t="s">
        <v>575</v>
      </c>
      <c r="C35" s="35">
        <v>1730</v>
      </c>
      <c r="D35" s="35">
        <v>1750</v>
      </c>
      <c r="E35" s="35">
        <v>1690</v>
      </c>
      <c r="F35" s="35">
        <v>1682</v>
      </c>
      <c r="G35" s="18">
        <f t="shared" si="3"/>
        <v>6852</v>
      </c>
      <c r="H35" s="35">
        <v>1748</v>
      </c>
      <c r="I35" s="35">
        <v>1829</v>
      </c>
      <c r="J35" s="30">
        <f>'Segment - Collins Aerospace'!J62*E35/'Segment - Collins Aerospace'!E62</f>
        <v>1825.1959362742855</v>
      </c>
      <c r="K35" s="1" t="s">
        <v>81</v>
      </c>
      <c r="L35" s="1" t="s">
        <v>576</v>
      </c>
    </row>
    <row r="36" ht="15" customHeight="1">
      <c r="A36" s="1"/>
      <c r="B36" s="5" t="s">
        <v>83</v>
      </c>
      <c r="C36" s="19"/>
      <c r="D36" s="19"/>
      <c r="E36" s="19"/>
      <c r="F36" s="19"/>
      <c r="G36" s="19"/>
      <c r="H36" s="19">
        <f t="shared" si="1"/>
        <v>0.010404624277456698</v>
      </c>
      <c r="I36" s="19">
        <f t="shared" si="1"/>
        <v>0.04514285714285715</v>
      </c>
      <c r="J36" s="32">
        <f t="shared" si="1"/>
        <v>0.07999759542857121</v>
      </c>
      <c r="K36" s="1"/>
      <c r="L36" s="1"/>
    </row>
    <row r="37" ht="15" customHeight="1">
      <c r="A37" s="1"/>
      <c r="B37" s="1" t="s">
        <v>84</v>
      </c>
      <c r="C37" s="18"/>
      <c r="D37" s="18">
        <f t="shared" si="2"/>
        <v>20</v>
      </c>
      <c r="E37" s="18">
        <f t="shared" si="2"/>
        <v>-60</v>
      </c>
      <c r="F37" s="18">
        <f t="shared" si="2"/>
        <v>-8</v>
      </c>
      <c r="G37" s="18"/>
      <c r="H37" s="18">
        <f t="shared" si="4"/>
        <v>66</v>
      </c>
      <c r="I37" s="18">
        <f t="shared" si="2"/>
        <v>81</v>
      </c>
      <c r="J37" s="36">
        <f t="shared" si="2"/>
        <v>-3.8040637257145136</v>
      </c>
      <c r="K37" s="1"/>
      <c r="L37" s="1"/>
    </row>
    <row r="38" ht="15" customHeight="1">
      <c r="A38" s="1"/>
      <c r="B38" s="1" t="s">
        <v>85</v>
      </c>
      <c r="C38" s="37" t="s">
        <v>86</v>
      </c>
      <c r="D38" s="37" t="s">
        <v>86</v>
      </c>
      <c r="E38" s="37" t="s">
        <v>86</v>
      </c>
      <c r="F38" s="37" t="s">
        <v>86</v>
      </c>
      <c r="G38" s="37" t="s">
        <v>86</v>
      </c>
      <c r="H38" s="37" t="s">
        <v>86</v>
      </c>
      <c r="I38" s="37" t="s">
        <v>86</v>
      </c>
      <c r="J38" s="38" t="s">
        <v>86</v>
      </c>
      <c r="K38" s="1"/>
      <c r="L38" s="1" t="s">
        <v>87</v>
      </c>
    </row>
    <row r="39" ht="15" customHeight="1">
      <c r="A39" s="1"/>
      <c r="B39" s="1" t="s">
        <v>577</v>
      </c>
      <c r="C39" s="35">
        <v>1839</v>
      </c>
      <c r="D39" s="35">
        <v>1539</v>
      </c>
      <c r="E39" s="35">
        <v>2227</v>
      </c>
      <c r="F39" s="35">
        <v>2064</v>
      </c>
      <c r="G39" s="18">
        <f t="shared" si="3"/>
        <v>7669</v>
      </c>
      <c r="H39" s="35">
        <v>1939</v>
      </c>
      <c r="I39" s="35">
        <v>2325</v>
      </c>
      <c r="J39" s="30">
        <f>'Segment - Pratt &amp; Whitney'!J69*E39/'Segment - Pratt &amp; Whitney'!E69</f>
        <v>2357.1877015016803</v>
      </c>
      <c r="K39" s="1" t="s">
        <v>81</v>
      </c>
      <c r="L39" s="1" t="s">
        <v>576</v>
      </c>
    </row>
    <row r="40" ht="15" customHeight="1">
      <c r="A40" s="1"/>
      <c r="B40" s="5" t="s">
        <v>83</v>
      </c>
      <c r="C40" s="19"/>
      <c r="D40" s="19"/>
      <c r="E40" s="19"/>
      <c r="F40" s="19"/>
      <c r="G40" s="19"/>
      <c r="H40" s="19">
        <f t="shared" si="1"/>
        <v>0.05437737901033168</v>
      </c>
      <c r="I40" s="19">
        <f t="shared" si="1"/>
        <v>0.5107212475633529</v>
      </c>
      <c r="J40" s="32">
        <f t="shared" si="1"/>
        <v>0.058458779300260666</v>
      </c>
      <c r="K40" s="1"/>
      <c r="L40" s="1"/>
    </row>
    <row r="41" ht="15" customHeight="1">
      <c r="A41" s="1"/>
      <c r="B41" s="1" t="s">
        <v>84</v>
      </c>
      <c r="C41" s="18"/>
      <c r="D41" s="18">
        <f t="shared" si="2"/>
        <v>-300</v>
      </c>
      <c r="E41" s="18">
        <f t="shared" si="2"/>
        <v>688</v>
      </c>
      <c r="F41" s="18">
        <f t="shared" si="2"/>
        <v>-163</v>
      </c>
      <c r="G41" s="18"/>
      <c r="H41" s="18">
        <f t="shared" si="4"/>
        <v>-125</v>
      </c>
      <c r="I41" s="18">
        <f t="shared" si="2"/>
        <v>386</v>
      </c>
      <c r="J41" s="36">
        <f t="shared" si="2"/>
        <v>32.187701501680294</v>
      </c>
      <c r="K41" s="1"/>
      <c r="L41" s="1"/>
    </row>
    <row r="42" ht="15" customHeight="1">
      <c r="A42" s="1"/>
      <c r="B42" s="1" t="s">
        <v>85</v>
      </c>
      <c r="C42" s="37" t="s">
        <v>86</v>
      </c>
      <c r="D42" s="37" t="s">
        <v>86</v>
      </c>
      <c r="E42" s="37" t="s">
        <v>86</v>
      </c>
      <c r="F42" s="37" t="s">
        <v>86</v>
      </c>
      <c r="G42" s="37" t="s">
        <v>86</v>
      </c>
      <c r="H42" s="37" t="s">
        <v>86</v>
      </c>
      <c r="I42" s="37" t="s">
        <v>86</v>
      </c>
      <c r="J42" s="38" t="s">
        <v>86</v>
      </c>
      <c r="K42" s="1"/>
      <c r="L42" s="1" t="s">
        <v>87</v>
      </c>
    </row>
    <row r="43" ht="15" customHeight="1">
      <c r="A43" s="1"/>
      <c r="B43" s="1" t="s">
        <v>578</v>
      </c>
      <c r="C43" s="35">
        <v>843</v>
      </c>
      <c r="D43" s="35">
        <v>916</v>
      </c>
      <c r="E43" s="35">
        <v>1306</v>
      </c>
      <c r="F43" s="35">
        <v>1210</v>
      </c>
      <c r="G43" s="18">
        <f t="shared" si="3"/>
        <v>4275</v>
      </c>
      <c r="H43" s="35">
        <v>1193</v>
      </c>
      <c r="I43" s="35">
        <v>1196</v>
      </c>
      <c r="J43" s="30">
        <f>'Segment - Raytheon'!J51*E43/'Segment - Raytheon'!E51</f>
        <v>1434.8907531587233</v>
      </c>
      <c r="K43" s="1" t="s">
        <v>81</v>
      </c>
      <c r="L43" s="1" t="s">
        <v>576</v>
      </c>
    </row>
    <row r="44" ht="15" customHeight="1">
      <c r="A44" s="1"/>
      <c r="B44" s="5" t="s">
        <v>83</v>
      </c>
      <c r="C44" s="19"/>
      <c r="D44" s="19"/>
      <c r="E44" s="19"/>
      <c r="F44" s="19"/>
      <c r="G44" s="19"/>
      <c r="H44" s="19">
        <f t="shared" si="1"/>
        <v>0.4151838671411625</v>
      </c>
      <c r="I44" s="19">
        <f t="shared" si="1"/>
        <v>0.30567685589519655</v>
      </c>
      <c r="J44" s="32">
        <f t="shared" si="1"/>
        <v>0.09869123519044676</v>
      </c>
      <c r="K44" s="1"/>
      <c r="L44" s="1"/>
    </row>
    <row r="45" ht="15" customHeight="1">
      <c r="A45" s="1"/>
      <c r="B45" s="1" t="s">
        <v>84</v>
      </c>
      <c r="C45" s="18"/>
      <c r="D45" s="18">
        <f t="shared" si="2"/>
        <v>73</v>
      </c>
      <c r="E45" s="18">
        <f t="shared" si="2"/>
        <v>390</v>
      </c>
      <c r="F45" s="18">
        <f t="shared" si="2"/>
        <v>-96</v>
      </c>
      <c r="G45" s="18"/>
      <c r="H45" s="18">
        <f t="shared" si="4"/>
        <v>-17</v>
      </c>
      <c r="I45" s="18">
        <f t="shared" si="2"/>
        <v>3</v>
      </c>
      <c r="J45" s="36">
        <f t="shared" si="2"/>
        <v>238.89075315872333</v>
      </c>
      <c r="K45" s="1"/>
      <c r="L45" s="1"/>
    </row>
    <row r="46" ht="15" customHeight="1">
      <c r="A46" s="1"/>
      <c r="B46" s="1" t="s">
        <v>85</v>
      </c>
      <c r="C46" s="37" t="s">
        <v>86</v>
      </c>
      <c r="D46" s="37" t="s">
        <v>86</v>
      </c>
      <c r="E46" s="37" t="s">
        <v>86</v>
      </c>
      <c r="F46" s="37" t="s">
        <v>86</v>
      </c>
      <c r="G46" s="37" t="s">
        <v>86</v>
      </c>
      <c r="H46" s="37" t="s">
        <v>86</v>
      </c>
      <c r="I46" s="37" t="s">
        <v>86</v>
      </c>
      <c r="J46" s="38" t="s">
        <v>86</v>
      </c>
      <c r="K46" s="1"/>
      <c r="L46" s="1" t="s">
        <v>87</v>
      </c>
    </row>
    <row r="47" ht="15" customHeight="1">
      <c r="A47" s="1"/>
      <c r="B47" s="1" t="s">
        <v>579</v>
      </c>
      <c r="C47" s="35">
        <v>1</v>
      </c>
      <c r="D47" s="35">
        <v>0</v>
      </c>
      <c r="E47" s="35">
        <v>2</v>
      </c>
      <c r="F47" s="35">
        <v>0</v>
      </c>
      <c r="G47" s="18">
        <f t="shared" si="3"/>
        <v>3</v>
      </c>
      <c r="H47" s="35">
        <v>2</v>
      </c>
      <c r="I47" s="35">
        <v>0</v>
      </c>
      <c r="J47" s="30">
        <f>_xlfn.IFERROR('Revenue summary'!J36*E47/'Revenue summary'!E36,0)</f>
        <v>2.156862745098039</v>
      </c>
      <c r="K47" s="1" t="s">
        <v>81</v>
      </c>
      <c r="L47" s="1"/>
    </row>
    <row r="48" ht="15" customHeight="1">
      <c r="A48" s="1"/>
      <c r="B48" s="5" t="s">
        <v>83</v>
      </c>
      <c r="C48" s="43"/>
      <c r="D48" s="43"/>
      <c r="E48" s="43"/>
      <c r="F48" s="43"/>
      <c r="G48" s="43"/>
      <c r="H48" s="43">
        <f t="shared" si="1"/>
        <v>1</v>
      </c>
      <c r="I48" s="43" t="str">
        <f t="shared" si="1"/>
        <v>n/m</v>
      </c>
      <c r="J48" s="44">
        <f t="shared" si="1"/>
        <v>0.07843137254901955</v>
      </c>
      <c r="K48" s="1"/>
      <c r="L48" s="1"/>
    </row>
    <row r="49" ht="15" customHeight="1">
      <c r="A49" s="1"/>
      <c r="B49" s="1" t="s">
        <v>84</v>
      </c>
      <c r="C49" s="18"/>
      <c r="D49" s="18">
        <f t="shared" si="2"/>
        <v>-1</v>
      </c>
      <c r="E49" s="18">
        <f t="shared" si="2"/>
        <v>2</v>
      </c>
      <c r="F49" s="18">
        <f t="shared" si="2"/>
        <v>-2</v>
      </c>
      <c r="G49" s="18"/>
      <c r="H49" s="18">
        <f t="shared" si="4"/>
        <v>2</v>
      </c>
      <c r="I49" s="18">
        <f t="shared" si="2"/>
        <v>-2</v>
      </c>
      <c r="J49" s="36">
        <f t="shared" si="2"/>
        <v>2.156862745098039</v>
      </c>
      <c r="K49" s="1"/>
      <c r="L49" s="1"/>
    </row>
    <row r="50" ht="15" customHeight="1">
      <c r="A50" s="1"/>
      <c r="B50" s="1" t="s">
        <v>85</v>
      </c>
      <c r="C50" s="37" t="s">
        <v>86</v>
      </c>
      <c r="D50" s="37" t="s">
        <v>86</v>
      </c>
      <c r="E50" s="37" t="s">
        <v>86</v>
      </c>
      <c r="F50" s="37" t="s">
        <v>86</v>
      </c>
      <c r="G50" s="37" t="s">
        <v>86</v>
      </c>
      <c r="H50" s="37" t="s">
        <v>86</v>
      </c>
      <c r="I50" s="37" t="s">
        <v>86</v>
      </c>
      <c r="J50" s="38" t="s">
        <v>86</v>
      </c>
      <c r="K50" s="1"/>
      <c r="L50" s="1" t="s">
        <v>87</v>
      </c>
    </row>
    <row r="51" ht="15" customHeight="1">
      <c r="A51" s="1"/>
      <c r="B51" s="4" t="s">
        <v>583</v>
      </c>
      <c r="C51" s="33">
        <f t="shared" si="5"/>
        <v>4413</v>
      </c>
      <c r="D51" s="33">
        <f t="shared" si="5"/>
        <v>4205</v>
      </c>
      <c r="E51" s="33">
        <f t="shared" si="5"/>
        <v>5225</v>
      </c>
      <c r="F51" s="33">
        <f t="shared" si="5"/>
        <v>4956</v>
      </c>
      <c r="G51" s="33">
        <f t="shared" si="5"/>
        <v>18799</v>
      </c>
      <c r="H51" s="33">
        <f t="shared" si="5"/>
        <v>4882</v>
      </c>
      <c r="I51" s="33">
        <f t="shared" si="5"/>
        <v>5350</v>
      </c>
      <c r="J51" s="34">
        <f t="shared" si="5"/>
        <v>5619.431253679786</v>
      </c>
      <c r="K51" s="1"/>
      <c r="L51" s="1"/>
    </row>
    <row r="52" ht="15" customHeight="1">
      <c r="A52" s="1"/>
      <c r="B52" s="5" t="s">
        <v>73</v>
      </c>
      <c r="C52" s="19"/>
      <c r="D52" s="19"/>
      <c r="E52" s="19"/>
      <c r="F52" s="19"/>
      <c r="G52" s="19"/>
      <c r="H52" s="19">
        <f t="shared" si="1"/>
        <v>0.10627690913210963</v>
      </c>
      <c r="I52" s="19">
        <f t="shared" si="1"/>
        <v>0.272294887039239</v>
      </c>
      <c r="J52" s="32">
        <f t="shared" si="1"/>
        <v>0.07548923515402595</v>
      </c>
      <c r="K52" s="1"/>
      <c r="L52" s="1"/>
    </row>
    <row r="53" ht="15" customHeight="1">
      <c r="A53" s="1"/>
      <c r="B53" s="1" t="s">
        <v>90</v>
      </c>
      <c r="C53" s="18"/>
      <c r="D53" s="18">
        <f t="shared" si="2"/>
        <v>-208</v>
      </c>
      <c r="E53" s="18">
        <f t="shared" si="2"/>
        <v>1020</v>
      </c>
      <c r="F53" s="18">
        <f t="shared" si="2"/>
        <v>-269</v>
      </c>
      <c r="G53" s="18"/>
      <c r="H53" s="18">
        <f t="shared" si="4"/>
        <v>-74</v>
      </c>
      <c r="I53" s="18">
        <f t="shared" si="2"/>
        <v>468</v>
      </c>
      <c r="J53" s="36">
        <f t="shared" si="2"/>
        <v>269.4312536797861</v>
      </c>
      <c r="K53" s="1"/>
      <c r="L53" s="1"/>
    </row>
    <row r="54" ht="15" customHeight="1">
      <c r="A54" s="1"/>
      <c r="B54" s="5" t="s">
        <v>75</v>
      </c>
      <c r="C54" s="19">
        <f t="shared" si="9" ref="C54:J54">IF(COUNT(C51,C131)&lt;2,"n/a",C51/C131)</f>
        <v>0.21732492859253422</v>
      </c>
      <c r="D54" s="19">
        <f t="shared" si="9"/>
        <v>0.19484731940132524</v>
      </c>
      <c r="E54" s="19">
        <f t="shared" si="9"/>
        <v>0.23244950618382418</v>
      </c>
      <c r="F54" s="19">
        <f t="shared" si="9"/>
        <v>0.2044723161977061</v>
      </c>
      <c r="G54" s="19">
        <f t="shared" si="9"/>
        <v>0.21217114544654245</v>
      </c>
      <c r="H54" s="19">
        <f t="shared" si="9"/>
        <v>0.2211451349882225</v>
      </c>
      <c r="I54" s="19">
        <f t="shared" si="9"/>
        <v>0.216529059413955</v>
      </c>
      <c r="J54" s="32">
        <f t="shared" si="9"/>
        <v>0.23196276398220037</v>
      </c>
      <c r="K54" s="1"/>
      <c r="L54" s="1"/>
    </row>
    <row r="55" ht="15" customHeight="1">
      <c r="A55" s="1"/>
      <c r="B55" s="5" t="s">
        <v>133</v>
      </c>
      <c r="C55" s="48"/>
      <c r="D55" s="48"/>
      <c r="E55" s="48"/>
      <c r="F55" s="48"/>
      <c r="G55" s="48"/>
      <c r="H55" s="48">
        <f t="shared" si="7"/>
        <v>38.2020639568828</v>
      </c>
      <c r="I55" s="48">
        <f t="shared" si="7"/>
        <v>216.81740012629763</v>
      </c>
      <c r="J55" s="49">
        <f t="shared" si="7"/>
        <v>-4.867422016238132</v>
      </c>
      <c r="K55" s="1"/>
      <c r="L55" s="1"/>
    </row>
    <row r="56" ht="15" customHeight="1">
      <c r="A56" s="1"/>
      <c r="B56" s="5" t="s">
        <v>134</v>
      </c>
      <c r="C56" s="48"/>
      <c r="D56" s="48">
        <f t="shared" si="8"/>
        <v>-224.77609191208975</v>
      </c>
      <c r="E56" s="48">
        <f t="shared" si="8"/>
        <v>376.0218678249894</v>
      </c>
      <c r="F56" s="48">
        <f t="shared" si="8"/>
        <v>-279.7718998611809</v>
      </c>
      <c r="G56" s="48"/>
      <c r="H56" s="48">
        <f t="shared" si="10"/>
        <v>166.72818790516408</v>
      </c>
      <c r="I56" s="48">
        <f t="shared" si="8"/>
        <v>-46.16075574267492</v>
      </c>
      <c r="J56" s="49">
        <f t="shared" si="8"/>
        <v>154.3370456824536</v>
      </c>
      <c r="K56" s="1"/>
      <c r="L56" s="1"/>
    </row>
    <row r="57" ht="15" customHeight="1">
      <c r="A57" s="1"/>
      <c r="B57" s="1" t="s">
        <v>91</v>
      </c>
      <c r="C57" s="37" t="s">
        <v>86</v>
      </c>
      <c r="D57" s="37" t="s">
        <v>86</v>
      </c>
      <c r="E57" s="37" t="s">
        <v>86</v>
      </c>
      <c r="F57" s="37" t="s">
        <v>86</v>
      </c>
      <c r="G57" s="37" t="s">
        <v>86</v>
      </c>
      <c r="H57" s="37" t="s">
        <v>86</v>
      </c>
      <c r="I57" s="37" t="s">
        <v>86</v>
      </c>
      <c r="J57" s="38" t="s">
        <v>86</v>
      </c>
      <c r="K57" s="1"/>
      <c r="L57" s="1" t="s">
        <v>581</v>
      </c>
    </row>
    <row r="58" ht="15" customHeight="1">
      <c r="A58" s="1"/>
      <c r="B58" s="4" t="s">
        <v>584</v>
      </c>
      <c r="C58" s="1"/>
      <c r="D58" s="1"/>
      <c r="E58" s="1"/>
      <c r="F58" s="1"/>
      <c r="G58" s="1"/>
      <c r="H58" s="1"/>
      <c r="I58" s="1"/>
      <c r="J58" s="29"/>
      <c r="K58" s="1"/>
      <c r="L58" s="1"/>
    </row>
    <row r="59" ht="15" customHeight="1">
      <c r="A59" s="1"/>
      <c r="B59" s="1" t="s">
        <v>575</v>
      </c>
      <c r="C59" s="35">
        <v>826</v>
      </c>
      <c r="D59" s="35">
        <v>934</v>
      </c>
      <c r="E59" s="35">
        <v>1001</v>
      </c>
      <c r="F59" s="35">
        <v>1018</v>
      </c>
      <c r="G59" s="18">
        <f t="shared" si="3"/>
        <v>3779</v>
      </c>
      <c r="H59" s="35">
        <v>834</v>
      </c>
      <c r="I59" s="35">
        <v>1039</v>
      </c>
      <c r="J59" s="30">
        <f>'Segment - Collins Aerospace'!J62*E59/'Segment - Collins Aerospace'!E62</f>
        <v>1081.077593024</v>
      </c>
      <c r="K59" s="1" t="s">
        <v>81</v>
      </c>
      <c r="L59" s="1" t="s">
        <v>576</v>
      </c>
    </row>
    <row r="60" ht="15" customHeight="1">
      <c r="A60" s="1"/>
      <c r="B60" s="5" t="s">
        <v>83</v>
      </c>
      <c r="C60" s="19"/>
      <c r="D60" s="19"/>
      <c r="E60" s="19"/>
      <c r="F60" s="19"/>
      <c r="G60" s="19"/>
      <c r="H60" s="19">
        <f t="shared" si="1"/>
        <v>0.009685230024213176</v>
      </c>
      <c r="I60" s="19">
        <f t="shared" si="1"/>
        <v>0.11241970021413272</v>
      </c>
      <c r="J60" s="32">
        <f t="shared" si="1"/>
        <v>0.07999759542857143</v>
      </c>
      <c r="K60" s="1"/>
      <c r="L60" s="1"/>
    </row>
    <row r="61" ht="15" customHeight="1">
      <c r="A61" s="1"/>
      <c r="B61" s="1" t="s">
        <v>84</v>
      </c>
      <c r="C61" s="18"/>
      <c r="D61" s="18">
        <f t="shared" si="2"/>
        <v>108</v>
      </c>
      <c r="E61" s="18">
        <f t="shared" si="2"/>
        <v>67</v>
      </c>
      <c r="F61" s="18">
        <f t="shared" si="2"/>
        <v>17</v>
      </c>
      <c r="G61" s="18"/>
      <c r="H61" s="18">
        <f t="shared" si="4"/>
        <v>-184</v>
      </c>
      <c r="I61" s="18">
        <f t="shared" si="2"/>
        <v>205</v>
      </c>
      <c r="J61" s="36">
        <f t="shared" si="2"/>
        <v>42.07759302399995</v>
      </c>
      <c r="K61" s="1"/>
      <c r="L61" s="1"/>
    </row>
    <row r="62" ht="15" customHeight="1">
      <c r="A62" s="1"/>
      <c r="B62" s="1" t="s">
        <v>85</v>
      </c>
      <c r="C62" s="37" t="s">
        <v>86</v>
      </c>
      <c r="D62" s="37" t="s">
        <v>86</v>
      </c>
      <c r="E62" s="37" t="s">
        <v>86</v>
      </c>
      <c r="F62" s="37" t="s">
        <v>86</v>
      </c>
      <c r="G62" s="37" t="s">
        <v>86</v>
      </c>
      <c r="H62" s="37" t="s">
        <v>86</v>
      </c>
      <c r="I62" s="37" t="s">
        <v>86</v>
      </c>
      <c r="J62" s="38" t="s">
        <v>86</v>
      </c>
      <c r="K62" s="1"/>
      <c r="L62" s="1" t="s">
        <v>87</v>
      </c>
    </row>
    <row r="63" ht="15" customHeight="1">
      <c r="A63" s="1"/>
      <c r="B63" s="1" t="s">
        <v>577</v>
      </c>
      <c r="C63" s="35">
        <v>1241</v>
      </c>
      <c r="D63" s="35">
        <v>1870</v>
      </c>
      <c r="E63" s="35">
        <v>2003</v>
      </c>
      <c r="F63" s="35">
        <v>2511</v>
      </c>
      <c r="G63" s="18">
        <f t="shared" si="3"/>
        <v>7625</v>
      </c>
      <c r="H63" s="35">
        <v>1399</v>
      </c>
      <c r="I63" s="35">
        <v>2005</v>
      </c>
      <c r="J63" s="30">
        <f>'Segment - Pratt &amp; Whitney'!J69*E63/'Segment - Pratt &amp; Whitney'!E69</f>
        <v>2120.092934938422</v>
      </c>
      <c r="K63" s="1" t="s">
        <v>81</v>
      </c>
      <c r="L63" s="1" t="s">
        <v>576</v>
      </c>
    </row>
    <row r="64" ht="15" customHeight="1">
      <c r="A64" s="1"/>
      <c r="B64" s="5" t="s">
        <v>83</v>
      </c>
      <c r="C64" s="19"/>
      <c r="D64" s="19"/>
      <c r="E64" s="19"/>
      <c r="F64" s="19"/>
      <c r="G64" s="19"/>
      <c r="H64" s="19">
        <f t="shared" si="1"/>
        <v>0.12731668009669628</v>
      </c>
      <c r="I64" s="19">
        <f t="shared" si="1"/>
        <v>0.07219251336898402</v>
      </c>
      <c r="J64" s="32">
        <f t="shared" si="1"/>
        <v>0.058458779300260444</v>
      </c>
      <c r="K64" s="1"/>
      <c r="L64" s="1"/>
    </row>
    <row r="65" ht="15" customHeight="1">
      <c r="A65" s="1"/>
      <c r="B65" s="1" t="s">
        <v>84</v>
      </c>
      <c r="C65" s="18"/>
      <c r="D65" s="18">
        <f t="shared" si="2"/>
        <v>629</v>
      </c>
      <c r="E65" s="18">
        <f t="shared" si="2"/>
        <v>133</v>
      </c>
      <c r="F65" s="18">
        <f t="shared" si="2"/>
        <v>508</v>
      </c>
      <c r="G65" s="18"/>
      <c r="H65" s="18">
        <f t="shared" si="4"/>
        <v>-1112</v>
      </c>
      <c r="I65" s="18">
        <f t="shared" si="2"/>
        <v>606</v>
      </c>
      <c r="J65" s="36">
        <f t="shared" si="2"/>
        <v>115.09293493842188</v>
      </c>
      <c r="K65" s="1"/>
      <c r="L65" s="1"/>
    </row>
    <row r="66" ht="15" customHeight="1">
      <c r="A66" s="1"/>
      <c r="B66" s="1" t="s">
        <v>85</v>
      </c>
      <c r="C66" s="37" t="s">
        <v>86</v>
      </c>
      <c r="D66" s="37" t="s">
        <v>86</v>
      </c>
      <c r="E66" s="37" t="s">
        <v>86</v>
      </c>
      <c r="F66" s="37" t="s">
        <v>86</v>
      </c>
      <c r="G66" s="37" t="s">
        <v>86</v>
      </c>
      <c r="H66" s="37" t="s">
        <v>86</v>
      </c>
      <c r="I66" s="37" t="s">
        <v>86</v>
      </c>
      <c r="J66" s="38" t="s">
        <v>86</v>
      </c>
      <c r="K66" s="1"/>
      <c r="L66" s="1" t="s">
        <v>87</v>
      </c>
    </row>
    <row r="67" ht="15" customHeight="1">
      <c r="A67" s="1"/>
      <c r="B67" s="1" t="s">
        <v>578</v>
      </c>
      <c r="C67" s="35">
        <v>525</v>
      </c>
      <c r="D67" s="35">
        <v>606</v>
      </c>
      <c r="E67" s="35">
        <v>561</v>
      </c>
      <c r="F67" s="35">
        <v>685</v>
      </c>
      <c r="G67" s="18">
        <f t="shared" si="3"/>
        <v>2377</v>
      </c>
      <c r="H67" s="35">
        <v>571</v>
      </c>
      <c r="I67" s="35">
        <v>612</v>
      </c>
      <c r="J67" s="30">
        <f>'Segment - Raytheon'!J51*E67/'Segment - Raytheon'!E51</f>
        <v>616.3657829418405</v>
      </c>
      <c r="K67" s="1" t="s">
        <v>81</v>
      </c>
      <c r="L67" s="1" t="s">
        <v>576</v>
      </c>
    </row>
    <row r="68" ht="15" customHeight="1">
      <c r="A68" s="1"/>
      <c r="B68" s="5" t="s">
        <v>83</v>
      </c>
      <c r="C68" s="19"/>
      <c r="D68" s="19"/>
      <c r="E68" s="19"/>
      <c r="F68" s="19"/>
      <c r="G68" s="19"/>
      <c r="H68" s="19">
        <f t="shared" si="1"/>
        <v>0.08761904761904771</v>
      </c>
      <c r="I68" s="19">
        <f t="shared" si="1"/>
        <v>0.00990099009900991</v>
      </c>
      <c r="J68" s="32">
        <f t="shared" si="1"/>
        <v>0.09869123519044654</v>
      </c>
      <c r="K68" s="1"/>
      <c r="L68" s="1"/>
    </row>
    <row r="69" ht="15" customHeight="1">
      <c r="A69" s="1"/>
      <c r="B69" s="1" t="s">
        <v>84</v>
      </c>
      <c r="C69" s="18"/>
      <c r="D69" s="18">
        <f t="shared" si="2"/>
        <v>81</v>
      </c>
      <c r="E69" s="18">
        <f t="shared" si="2"/>
        <v>-45</v>
      </c>
      <c r="F69" s="18">
        <f t="shared" si="2"/>
        <v>124</v>
      </c>
      <c r="G69" s="18"/>
      <c r="H69" s="18">
        <f t="shared" si="4"/>
        <v>-114</v>
      </c>
      <c r="I69" s="18">
        <f t="shared" si="2"/>
        <v>41</v>
      </c>
      <c r="J69" s="36">
        <f t="shared" si="2"/>
        <v>4.365782941840507</v>
      </c>
      <c r="K69" s="1"/>
      <c r="L69" s="1"/>
    </row>
    <row r="70" ht="15" customHeight="1">
      <c r="A70" s="1"/>
      <c r="B70" s="1" t="s">
        <v>85</v>
      </c>
      <c r="C70" s="37" t="s">
        <v>86</v>
      </c>
      <c r="D70" s="37" t="s">
        <v>86</v>
      </c>
      <c r="E70" s="37" t="s">
        <v>86</v>
      </c>
      <c r="F70" s="37" t="s">
        <v>86</v>
      </c>
      <c r="G70" s="37" t="s">
        <v>86</v>
      </c>
      <c r="H70" s="37" t="s">
        <v>86</v>
      </c>
      <c r="I70" s="37" t="s">
        <v>86</v>
      </c>
      <c r="J70" s="38" t="s">
        <v>86</v>
      </c>
      <c r="K70" s="1"/>
      <c r="L70" s="1" t="s">
        <v>87</v>
      </c>
    </row>
    <row r="71" ht="15" customHeight="1">
      <c r="A71" s="1"/>
      <c r="B71" s="1" t="s">
        <v>579</v>
      </c>
      <c r="C71" s="35">
        <v>0</v>
      </c>
      <c r="D71" s="35">
        <v>0</v>
      </c>
      <c r="E71" s="35">
        <v>2</v>
      </c>
      <c r="F71" s="35">
        <v>-1</v>
      </c>
      <c r="G71" s="18">
        <f t="shared" si="3"/>
        <v>1</v>
      </c>
      <c r="H71" s="35">
        <v>0</v>
      </c>
      <c r="I71" s="35">
        <v>0</v>
      </c>
      <c r="J71" s="30">
        <f>_xlfn.IFERROR('Revenue summary'!J36*E71/'Revenue summary'!E36,0)</f>
        <v>2.156862745098039</v>
      </c>
      <c r="K71" s="1" t="s">
        <v>81</v>
      </c>
      <c r="L71" s="1"/>
    </row>
    <row r="72" ht="15" customHeight="1">
      <c r="A72" s="1"/>
      <c r="B72" s="5" t="s">
        <v>83</v>
      </c>
      <c r="C72" s="43"/>
      <c r="D72" s="43"/>
      <c r="E72" s="43"/>
      <c r="F72" s="43"/>
      <c r="G72" s="43"/>
      <c r="H72" s="43" t="str">
        <f t="shared" si="1"/>
        <v>n/m</v>
      </c>
      <c r="I72" s="43" t="str">
        <f t="shared" si="1"/>
        <v>n/m</v>
      </c>
      <c r="J72" s="44">
        <f t="shared" si="1"/>
        <v>0.07843137254901955</v>
      </c>
      <c r="K72" s="1"/>
      <c r="L72" s="1"/>
    </row>
    <row r="73" ht="15" customHeight="1">
      <c r="A73" s="1"/>
      <c r="B73" s="1" t="s">
        <v>84</v>
      </c>
      <c r="C73" s="18"/>
      <c r="D73" s="18">
        <f t="shared" si="2"/>
        <v>0</v>
      </c>
      <c r="E73" s="18">
        <f t="shared" si="2"/>
        <v>2</v>
      </c>
      <c r="F73" s="18">
        <f t="shared" si="2"/>
        <v>-3</v>
      </c>
      <c r="G73" s="18"/>
      <c r="H73" s="18">
        <f t="shared" si="4"/>
        <v>1</v>
      </c>
      <c r="I73" s="18">
        <f t="shared" si="2"/>
        <v>0</v>
      </c>
      <c r="J73" s="36">
        <f t="shared" si="2"/>
        <v>2.156862745098039</v>
      </c>
      <c r="K73" s="1"/>
      <c r="L73" s="1"/>
    </row>
    <row r="74" ht="15" customHeight="1">
      <c r="A74" s="1"/>
      <c r="B74" s="1" t="s">
        <v>85</v>
      </c>
      <c r="C74" s="37" t="s">
        <v>86</v>
      </c>
      <c r="D74" s="37" t="s">
        <v>86</v>
      </c>
      <c r="E74" s="37" t="s">
        <v>86</v>
      </c>
      <c r="F74" s="37" t="s">
        <v>86</v>
      </c>
      <c r="G74" s="37" t="s">
        <v>86</v>
      </c>
      <c r="H74" s="37" t="s">
        <v>86</v>
      </c>
      <c r="I74" s="37" t="s">
        <v>86</v>
      </c>
      <c r="J74" s="38" t="s">
        <v>86</v>
      </c>
      <c r="K74" s="1"/>
      <c r="L74" s="1" t="s">
        <v>87</v>
      </c>
    </row>
    <row r="75" ht="15" customHeight="1">
      <c r="A75" s="1"/>
      <c r="B75" s="4" t="s">
        <v>585</v>
      </c>
      <c r="C75" s="33">
        <f t="shared" si="5"/>
        <v>2592</v>
      </c>
      <c r="D75" s="33">
        <f t="shared" si="5"/>
        <v>3410</v>
      </c>
      <c r="E75" s="33">
        <f t="shared" si="5"/>
        <v>3567</v>
      </c>
      <c r="F75" s="33">
        <f t="shared" si="5"/>
        <v>4213</v>
      </c>
      <c r="G75" s="33">
        <f t="shared" si="5"/>
        <v>13782</v>
      </c>
      <c r="H75" s="33">
        <f t="shared" si="5"/>
        <v>2804</v>
      </c>
      <c r="I75" s="33">
        <f t="shared" si="5"/>
        <v>3656</v>
      </c>
      <c r="J75" s="34">
        <f t="shared" si="5"/>
        <v>3819.6931736493607</v>
      </c>
      <c r="K75" s="1"/>
      <c r="L75" s="1"/>
    </row>
    <row r="76" ht="15" customHeight="1">
      <c r="A76" s="1"/>
      <c r="B76" s="5" t="s">
        <v>73</v>
      </c>
      <c r="C76" s="19"/>
      <c r="D76" s="19"/>
      <c r="E76" s="19"/>
      <c r="F76" s="19"/>
      <c r="G76" s="19"/>
      <c r="H76" s="19">
        <f t="shared" si="1"/>
        <v>0.08179012345679015</v>
      </c>
      <c r="I76" s="19">
        <f t="shared" si="1"/>
        <v>0.072140762463343</v>
      </c>
      <c r="J76" s="32">
        <f t="shared" si="1"/>
        <v>0.07084193261826766</v>
      </c>
      <c r="K76" s="1"/>
      <c r="L76" s="1"/>
    </row>
    <row r="77" ht="15" customHeight="1">
      <c r="A77" s="1"/>
      <c r="B77" s="1" t="s">
        <v>90</v>
      </c>
      <c r="C77" s="18"/>
      <c r="D77" s="18">
        <f t="shared" si="2"/>
        <v>818</v>
      </c>
      <c r="E77" s="18">
        <f t="shared" si="2"/>
        <v>157</v>
      </c>
      <c r="F77" s="18">
        <f t="shared" si="2"/>
        <v>646</v>
      </c>
      <c r="G77" s="18"/>
      <c r="H77" s="18">
        <f t="shared" si="4"/>
        <v>-1409</v>
      </c>
      <c r="I77" s="18">
        <f t="shared" si="2"/>
        <v>852</v>
      </c>
      <c r="J77" s="36">
        <f t="shared" si="2"/>
        <v>163.6931736493607</v>
      </c>
      <c r="K77" s="1"/>
      <c r="L77" s="1"/>
    </row>
    <row r="78" ht="15" customHeight="1">
      <c r="A78" s="1"/>
      <c r="B78" s="5" t="s">
        <v>75</v>
      </c>
      <c r="C78" s="19">
        <f t="shared" si="11" ref="C78:J78">IF(COUNT(C75,C131)&lt;2,"n/a",C75/C131)</f>
        <v>0.12764700088643752</v>
      </c>
      <c r="D78" s="19">
        <f t="shared" si="11"/>
        <v>0.15800936008526018</v>
      </c>
      <c r="E78" s="19">
        <f t="shared" si="11"/>
        <v>0.1586884954177418</v>
      </c>
      <c r="F78" s="19">
        <f t="shared" si="11"/>
        <v>0.1738179717798498</v>
      </c>
      <c r="G78" s="19">
        <f t="shared" si="11"/>
        <v>0.15554778054919133</v>
      </c>
      <c r="H78" s="19">
        <f t="shared" si="11"/>
        <v>0.12701576372531256</v>
      </c>
      <c r="I78" s="19">
        <f t="shared" si="11"/>
        <v>0.14796826938643354</v>
      </c>
      <c r="J78" s="32">
        <f t="shared" si="11"/>
        <v>0.1576719326432634</v>
      </c>
      <c r="K78" s="1"/>
      <c r="L78" s="1"/>
    </row>
    <row r="79" ht="15" customHeight="1">
      <c r="A79" s="1"/>
      <c r="B79" s="5" t="s">
        <v>133</v>
      </c>
      <c r="C79" s="48"/>
      <c r="D79" s="48"/>
      <c r="E79" s="48"/>
      <c r="F79" s="48"/>
      <c r="G79" s="48"/>
      <c r="H79" s="48">
        <f t="shared" si="7"/>
        <v>-6.312371611249534</v>
      </c>
      <c r="I79" s="48">
        <f t="shared" si="7"/>
        <v>-100.41090698826638</v>
      </c>
      <c r="J79" s="49">
        <f t="shared" si="7"/>
        <v>-10.165627744783967</v>
      </c>
      <c r="K79" s="1"/>
      <c r="L79" s="1"/>
    </row>
    <row r="80" ht="15" customHeight="1">
      <c r="A80" s="1"/>
      <c r="B80" s="5" t="s">
        <v>134</v>
      </c>
      <c r="C80" s="48"/>
      <c r="D80" s="48">
        <f t="shared" si="8"/>
        <v>303.62359198822656</v>
      </c>
      <c r="E80" s="48">
        <f t="shared" si="8"/>
        <v>6.79135332481623</v>
      </c>
      <c r="F80" s="48">
        <f t="shared" si="8"/>
        <v>151.29476362108014</v>
      </c>
      <c r="G80" s="48"/>
      <c r="H80" s="48">
        <f t="shared" si="10"/>
        <v>-468.0220805453725</v>
      </c>
      <c r="I80" s="48">
        <f t="shared" si="8"/>
        <v>209.52505661120975</v>
      </c>
      <c r="J80" s="49">
        <f t="shared" si="8"/>
        <v>97.03663256829864</v>
      </c>
      <c r="K80" s="1"/>
      <c r="L80" s="1"/>
    </row>
    <row r="81" ht="15" customHeight="1">
      <c r="A81" s="1"/>
      <c r="B81" s="1" t="s">
        <v>91</v>
      </c>
      <c r="C81" s="37" t="s">
        <v>86</v>
      </c>
      <c r="D81" s="37" t="s">
        <v>86</v>
      </c>
      <c r="E81" s="37" t="s">
        <v>86</v>
      </c>
      <c r="F81" s="37" t="s">
        <v>86</v>
      </c>
      <c r="G81" s="37" t="s">
        <v>86</v>
      </c>
      <c r="H81" s="37" t="s">
        <v>86</v>
      </c>
      <c r="I81" s="37" t="s">
        <v>86</v>
      </c>
      <c r="J81" s="38" t="s">
        <v>86</v>
      </c>
      <c r="K81" s="1"/>
      <c r="L81" s="1" t="s">
        <v>581</v>
      </c>
    </row>
    <row r="82" ht="15" customHeight="1">
      <c r="A82" s="1"/>
      <c r="B82" s="4" t="s">
        <v>586</v>
      </c>
      <c r="C82" s="1"/>
      <c r="D82" s="1"/>
      <c r="E82" s="1"/>
      <c r="F82" s="1"/>
      <c r="G82" s="1"/>
      <c r="H82" s="1"/>
      <c r="I82" s="1"/>
      <c r="J82" s="29"/>
      <c r="K82" s="1"/>
      <c r="L82" s="1"/>
    </row>
    <row r="83" ht="15" customHeight="1">
      <c r="A83" s="1"/>
      <c r="B83" s="1" t="s">
        <v>575</v>
      </c>
      <c r="C83" s="35">
        <v>239</v>
      </c>
      <c r="D83" s="35">
        <v>271</v>
      </c>
      <c r="E83" s="35">
        <v>291</v>
      </c>
      <c r="F83" s="35">
        <v>275</v>
      </c>
      <c r="G83" s="18">
        <f t="shared" si="3"/>
        <v>1076</v>
      </c>
      <c r="H83" s="35">
        <v>200</v>
      </c>
      <c r="I83" s="35">
        <v>264</v>
      </c>
      <c r="J83" s="30">
        <f>'Segment - Collins Aerospace'!J62*E83/'Segment - Collins Aerospace'!E62</f>
        <v>314.27930026971427</v>
      </c>
      <c r="K83" s="1" t="s">
        <v>81</v>
      </c>
      <c r="L83" s="1" t="s">
        <v>576</v>
      </c>
    </row>
    <row r="84" ht="15" customHeight="1">
      <c r="A84" s="1"/>
      <c r="B84" s="5" t="s">
        <v>83</v>
      </c>
      <c r="C84" s="19"/>
      <c r="D84" s="19"/>
      <c r="E84" s="19"/>
      <c r="F84" s="19"/>
      <c r="G84" s="19"/>
      <c r="H84" s="19">
        <f t="shared" si="1"/>
        <v>-0.16317991631799167</v>
      </c>
      <c r="I84" s="19">
        <f t="shared" si="1"/>
        <v>-0.02583025830258301</v>
      </c>
      <c r="J84" s="32">
        <f t="shared" si="1"/>
        <v>0.07999759542857143</v>
      </c>
      <c r="K84" s="1"/>
      <c r="L84" s="1"/>
    </row>
    <row r="85" ht="15" customHeight="1">
      <c r="A85" s="1"/>
      <c r="B85" s="1" t="s">
        <v>84</v>
      </c>
      <c r="C85" s="18"/>
      <c r="D85" s="18">
        <f t="shared" si="2"/>
        <v>32</v>
      </c>
      <c r="E85" s="18">
        <f t="shared" si="2"/>
        <v>20</v>
      </c>
      <c r="F85" s="18">
        <f t="shared" si="2"/>
        <v>-16</v>
      </c>
      <c r="G85" s="18"/>
      <c r="H85" s="18">
        <f t="shared" si="4"/>
        <v>-75</v>
      </c>
      <c r="I85" s="18">
        <f t="shared" si="2"/>
        <v>64</v>
      </c>
      <c r="J85" s="36">
        <f t="shared" si="2"/>
        <v>50.27930026971427</v>
      </c>
      <c r="K85" s="1"/>
      <c r="L85" s="1"/>
    </row>
    <row r="86" ht="15" customHeight="1">
      <c r="A86" s="1"/>
      <c r="B86" s="1" t="s">
        <v>85</v>
      </c>
      <c r="C86" s="37" t="s">
        <v>86</v>
      </c>
      <c r="D86" s="37" t="s">
        <v>86</v>
      </c>
      <c r="E86" s="37" t="s">
        <v>86</v>
      </c>
      <c r="F86" s="37" t="s">
        <v>86</v>
      </c>
      <c r="G86" s="37" t="s">
        <v>86</v>
      </c>
      <c r="H86" s="37" t="s">
        <v>86</v>
      </c>
      <c r="I86" s="37" t="s">
        <v>86</v>
      </c>
      <c r="J86" s="38" t="s">
        <v>86</v>
      </c>
      <c r="K86" s="1"/>
      <c r="L86" s="1" t="s">
        <v>87</v>
      </c>
    </row>
    <row r="87" ht="15" customHeight="1">
      <c r="A87" s="1"/>
      <c r="B87" s="1" t="s">
        <v>577</v>
      </c>
      <c r="C87" s="35">
        <v>175</v>
      </c>
      <c r="D87" s="35">
        <v>150</v>
      </c>
      <c r="E87" s="35">
        <v>215</v>
      </c>
      <c r="F87" s="35">
        <v>281</v>
      </c>
      <c r="G87" s="18">
        <f t="shared" si="3"/>
        <v>821</v>
      </c>
      <c r="H87" s="35">
        <v>243</v>
      </c>
      <c r="I87" s="35">
        <v>208</v>
      </c>
      <c r="J87" s="30">
        <f>'Segment - Pratt &amp; Whitney'!J69*E87/'Segment - Pratt &amp; Whitney'!E69</f>
        <v>227.56863754955603</v>
      </c>
      <c r="K87" s="1" t="s">
        <v>81</v>
      </c>
      <c r="L87" s="1" t="s">
        <v>576</v>
      </c>
    </row>
    <row r="88" ht="15" customHeight="1">
      <c r="A88" s="1"/>
      <c r="B88" s="5" t="s">
        <v>83</v>
      </c>
      <c r="C88" s="19"/>
      <c r="D88" s="19"/>
      <c r="E88" s="19"/>
      <c r="F88" s="19"/>
      <c r="G88" s="19"/>
      <c r="H88" s="19">
        <f t="shared" si="1"/>
        <v>0.38857142857142857</v>
      </c>
      <c r="I88" s="19">
        <f t="shared" si="1"/>
        <v>0.3866666666666667</v>
      </c>
      <c r="J88" s="32">
        <f t="shared" si="1"/>
        <v>0.058458779300260666</v>
      </c>
      <c r="K88" s="1"/>
      <c r="L88" s="1"/>
    </row>
    <row r="89" ht="15" customHeight="1">
      <c r="A89" s="1"/>
      <c r="B89" s="1" t="s">
        <v>84</v>
      </c>
      <c r="C89" s="18"/>
      <c r="D89" s="18">
        <f t="shared" si="2"/>
        <v>-25</v>
      </c>
      <c r="E89" s="18">
        <f t="shared" si="2"/>
        <v>65</v>
      </c>
      <c r="F89" s="18">
        <f t="shared" si="2"/>
        <v>66</v>
      </c>
      <c r="G89" s="18"/>
      <c r="H89" s="18">
        <f t="shared" si="4"/>
        <v>-38</v>
      </c>
      <c r="I89" s="18">
        <f t="shared" si="2"/>
        <v>-35</v>
      </c>
      <c r="J89" s="36">
        <f t="shared" si="2"/>
        <v>19.56863754955603</v>
      </c>
      <c r="K89" s="1"/>
      <c r="L89" s="1"/>
    </row>
    <row r="90" ht="15" customHeight="1">
      <c r="A90" s="1"/>
      <c r="B90" s="1" t="s">
        <v>85</v>
      </c>
      <c r="C90" s="37" t="s">
        <v>86</v>
      </c>
      <c r="D90" s="37" t="s">
        <v>86</v>
      </c>
      <c r="E90" s="37" t="s">
        <v>86</v>
      </c>
      <c r="F90" s="37" t="s">
        <v>86</v>
      </c>
      <c r="G90" s="37" t="s">
        <v>86</v>
      </c>
      <c r="H90" s="37" t="s">
        <v>86</v>
      </c>
      <c r="I90" s="37" t="s">
        <v>86</v>
      </c>
      <c r="J90" s="38" t="s">
        <v>86</v>
      </c>
      <c r="K90" s="1"/>
      <c r="L90" s="1" t="s">
        <v>87</v>
      </c>
    </row>
    <row r="91" ht="15" customHeight="1">
      <c r="A91" s="1"/>
      <c r="B91" s="1" t="s">
        <v>578</v>
      </c>
      <c r="C91" s="35">
        <v>434</v>
      </c>
      <c r="D91" s="35">
        <v>483</v>
      </c>
      <c r="E91" s="35">
        <v>226</v>
      </c>
      <c r="F91" s="35">
        <v>581</v>
      </c>
      <c r="G91" s="18">
        <f t="shared" si="3"/>
        <v>1724</v>
      </c>
      <c r="H91" s="35">
        <v>487</v>
      </c>
      <c r="I91" s="35">
        <v>570</v>
      </c>
      <c r="J91" s="30">
        <f>'Segment - Raytheon'!J51*E91/'Segment - Raytheon'!E51</f>
        <v>248.30421915304095</v>
      </c>
      <c r="K91" s="1" t="s">
        <v>81</v>
      </c>
      <c r="L91" s="1" t="s">
        <v>576</v>
      </c>
    </row>
    <row r="92" ht="15" customHeight="1">
      <c r="A92" s="1"/>
      <c r="B92" s="5" t="s">
        <v>83</v>
      </c>
      <c r="C92" s="19"/>
      <c r="D92" s="19"/>
      <c r="E92" s="19"/>
      <c r="F92" s="19"/>
      <c r="G92" s="19"/>
      <c r="H92" s="19">
        <f t="shared" si="1"/>
        <v>0.12211981566820285</v>
      </c>
      <c r="I92" s="19">
        <f t="shared" si="1"/>
        <v>0.18012422360248448</v>
      </c>
      <c r="J92" s="32">
        <f t="shared" si="1"/>
        <v>0.09869123519044676</v>
      </c>
      <c r="K92" s="1"/>
      <c r="L92" s="1"/>
    </row>
    <row r="93" ht="15" customHeight="1">
      <c r="A93" s="1"/>
      <c r="B93" s="1" t="s">
        <v>84</v>
      </c>
      <c r="C93" s="18"/>
      <c r="D93" s="18">
        <f t="shared" si="2"/>
        <v>49</v>
      </c>
      <c r="E93" s="18">
        <f t="shared" si="2"/>
        <v>-257</v>
      </c>
      <c r="F93" s="18">
        <f t="shared" si="2"/>
        <v>355</v>
      </c>
      <c r="G93" s="18"/>
      <c r="H93" s="18">
        <f t="shared" si="4"/>
        <v>-94</v>
      </c>
      <c r="I93" s="18">
        <f t="shared" si="2"/>
        <v>83</v>
      </c>
      <c r="J93" s="36">
        <f t="shared" si="2"/>
        <v>-321.69578084695905</v>
      </c>
      <c r="K93" s="1"/>
      <c r="L93" s="1"/>
    </row>
    <row r="94" ht="15" customHeight="1">
      <c r="A94" s="1"/>
      <c r="B94" s="1" t="s">
        <v>85</v>
      </c>
      <c r="C94" s="37" t="s">
        <v>86</v>
      </c>
      <c r="D94" s="37" t="s">
        <v>86</v>
      </c>
      <c r="E94" s="37" t="s">
        <v>86</v>
      </c>
      <c r="F94" s="37" t="s">
        <v>86</v>
      </c>
      <c r="G94" s="37" t="s">
        <v>86</v>
      </c>
      <c r="H94" s="37" t="s">
        <v>86</v>
      </c>
      <c r="I94" s="37" t="s">
        <v>86</v>
      </c>
      <c r="J94" s="38" t="s">
        <v>86</v>
      </c>
      <c r="K94" s="1"/>
      <c r="L94" s="1" t="s">
        <v>87</v>
      </c>
    </row>
    <row r="95" ht="15" customHeight="1">
      <c r="A95" s="1"/>
      <c r="B95" s="1" t="s">
        <v>579</v>
      </c>
      <c r="C95" s="35">
        <v>0</v>
      </c>
      <c r="D95" s="35">
        <v>0</v>
      </c>
      <c r="E95" s="35">
        <v>0</v>
      </c>
      <c r="F95" s="35">
        <v>0</v>
      </c>
      <c r="G95" s="18">
        <f t="shared" si="3"/>
        <v>0</v>
      </c>
      <c r="H95" s="35">
        <v>0</v>
      </c>
      <c r="I95" s="35">
        <v>0</v>
      </c>
      <c r="J95" s="30">
        <f>_xlfn.IFERROR('Revenue summary'!J36*E95/'Revenue summary'!E36,0)</f>
        <v>0</v>
      </c>
      <c r="K95" s="1" t="s">
        <v>81</v>
      </c>
      <c r="L95" s="1"/>
    </row>
    <row r="96" ht="15" customHeight="1">
      <c r="A96" s="1"/>
      <c r="B96" s="5" t="s">
        <v>83</v>
      </c>
      <c r="C96" s="43"/>
      <c r="D96" s="43"/>
      <c r="E96" s="43"/>
      <c r="F96" s="43"/>
      <c r="G96" s="43"/>
      <c r="H96" s="43" t="str">
        <f t="shared" si="1"/>
        <v>n/m</v>
      </c>
      <c r="I96" s="43" t="str">
        <f t="shared" si="1"/>
        <v>n/m</v>
      </c>
      <c r="J96" s="44" t="str">
        <f t="shared" si="1"/>
        <v>n/m</v>
      </c>
      <c r="K96" s="1"/>
      <c r="L96" s="1"/>
    </row>
    <row r="97" ht="15" customHeight="1">
      <c r="A97" s="1"/>
      <c r="B97" s="1" t="s">
        <v>84</v>
      </c>
      <c r="C97" s="18"/>
      <c r="D97" s="18">
        <f t="shared" si="2"/>
        <v>0</v>
      </c>
      <c r="E97" s="18">
        <f t="shared" si="2"/>
        <v>0</v>
      </c>
      <c r="F97" s="18">
        <f t="shared" si="2"/>
        <v>0</v>
      </c>
      <c r="G97" s="18"/>
      <c r="H97" s="18">
        <f t="shared" si="4"/>
        <v>0</v>
      </c>
      <c r="I97" s="18">
        <f t="shared" si="2"/>
        <v>0</v>
      </c>
      <c r="J97" s="36">
        <f t="shared" si="2"/>
        <v>0</v>
      </c>
      <c r="K97" s="1"/>
      <c r="L97" s="1"/>
    </row>
    <row r="98" ht="15" customHeight="1">
      <c r="A98" s="1"/>
      <c r="B98" s="1" t="s">
        <v>85</v>
      </c>
      <c r="C98" s="37" t="s">
        <v>86</v>
      </c>
      <c r="D98" s="37" t="s">
        <v>86</v>
      </c>
      <c r="E98" s="37" t="s">
        <v>86</v>
      </c>
      <c r="F98" s="37" t="s">
        <v>86</v>
      </c>
      <c r="G98" s="37" t="s">
        <v>86</v>
      </c>
      <c r="H98" s="37" t="s">
        <v>86</v>
      </c>
      <c r="I98" s="37" t="s">
        <v>86</v>
      </c>
      <c r="J98" s="38" t="s">
        <v>86</v>
      </c>
      <c r="K98" s="1"/>
      <c r="L98" s="1" t="s">
        <v>87</v>
      </c>
    </row>
    <row r="99" ht="15" customHeight="1">
      <c r="A99" s="1"/>
      <c r="B99" s="4" t="s">
        <v>587</v>
      </c>
      <c r="C99" s="33">
        <f t="shared" si="5"/>
        <v>848</v>
      </c>
      <c r="D99" s="33">
        <f t="shared" si="5"/>
        <v>904</v>
      </c>
      <c r="E99" s="33">
        <f t="shared" si="5"/>
        <v>732</v>
      </c>
      <c r="F99" s="33">
        <f t="shared" si="5"/>
        <v>1137</v>
      </c>
      <c r="G99" s="33">
        <f t="shared" si="5"/>
        <v>3621</v>
      </c>
      <c r="H99" s="33">
        <f t="shared" si="5"/>
        <v>930</v>
      </c>
      <c r="I99" s="33">
        <f t="shared" si="5"/>
        <v>1042</v>
      </c>
      <c r="J99" s="34">
        <f t="shared" si="5"/>
        <v>790.1521569723113</v>
      </c>
      <c r="K99" s="1"/>
      <c r="L99" s="1"/>
    </row>
    <row r="100" ht="15" customHeight="1">
      <c r="A100" s="1"/>
      <c r="B100" s="5" t="s">
        <v>73</v>
      </c>
      <c r="C100" s="19"/>
      <c r="D100" s="19"/>
      <c r="E100" s="19"/>
      <c r="F100" s="19"/>
      <c r="G100" s="19"/>
      <c r="H100" s="19">
        <f t="shared" si="1"/>
        <v>0.09669811320754707</v>
      </c>
      <c r="I100" s="19">
        <f t="shared" si="1"/>
        <v>0.15265486725663724</v>
      </c>
      <c r="J100" s="32">
        <f t="shared" si="1"/>
        <v>0.07944283739386804</v>
      </c>
      <c r="K100" s="1"/>
      <c r="L100" s="1"/>
    </row>
    <row r="101" ht="15" customHeight="1">
      <c r="A101" s="1"/>
      <c r="B101" s="1" t="s">
        <v>90</v>
      </c>
      <c r="C101" s="18"/>
      <c r="D101" s="18">
        <f t="shared" si="2"/>
        <v>56</v>
      </c>
      <c r="E101" s="18">
        <f t="shared" si="2"/>
        <v>-172</v>
      </c>
      <c r="F101" s="18">
        <f t="shared" si="2"/>
        <v>405</v>
      </c>
      <c r="G101" s="18"/>
      <c r="H101" s="18">
        <f t="shared" si="4"/>
        <v>-207</v>
      </c>
      <c r="I101" s="18">
        <f t="shared" si="2"/>
        <v>112</v>
      </c>
      <c r="J101" s="36">
        <f t="shared" si="2"/>
        <v>-251.84784302768867</v>
      </c>
      <c r="K101" s="1"/>
      <c r="L101" s="1"/>
    </row>
    <row r="102" ht="15" customHeight="1">
      <c r="A102" s="1"/>
      <c r="B102" s="5" t="s">
        <v>75</v>
      </c>
      <c r="C102" s="19">
        <f t="shared" si="12" ref="C102:J102">IF(COUNT(C99,C131)&lt;2,"n/a",C99/C131)</f>
        <v>0.04176105584556289</v>
      </c>
      <c r="D102" s="19">
        <f t="shared" si="12"/>
        <v>0.041888698392104164</v>
      </c>
      <c r="E102" s="19">
        <f t="shared" si="12"/>
        <v>0.032565174837619004</v>
      </c>
      <c r="F102" s="19">
        <f t="shared" si="12"/>
        <v>0.04690981104051489</v>
      </c>
      <c r="G102" s="19">
        <f t="shared" si="12"/>
        <v>0.04086769071024683</v>
      </c>
      <c r="H102" s="19">
        <f t="shared" si="12"/>
        <v>0.04212719695597029</v>
      </c>
      <c r="I102" s="19">
        <f t="shared" si="12"/>
        <v>0.042172575683988994</v>
      </c>
      <c r="J102" s="32">
        <f t="shared" si="12"/>
        <v>0.03261644640243143</v>
      </c>
      <c r="K102" s="1"/>
      <c r="L102" s="1"/>
    </row>
    <row r="103" ht="15" customHeight="1">
      <c r="A103" s="1"/>
      <c r="B103" s="5" t="s">
        <v>133</v>
      </c>
      <c r="C103" s="48"/>
      <c r="D103" s="48"/>
      <c r="E103" s="48"/>
      <c r="F103" s="48"/>
      <c r="G103" s="48"/>
      <c r="H103" s="48">
        <f t="shared" si="7"/>
        <v>3.6614111040739887</v>
      </c>
      <c r="I103" s="48">
        <f t="shared" si="7"/>
        <v>2.8387729188483064</v>
      </c>
      <c r="J103" s="49">
        <f t="shared" si="7"/>
        <v>0.5127156481242456</v>
      </c>
      <c r="K103" s="1"/>
      <c r="L103" s="1"/>
    </row>
    <row r="104" ht="15" customHeight="1">
      <c r="A104" s="1"/>
      <c r="B104" s="5" t="s">
        <v>134</v>
      </c>
      <c r="C104" s="48"/>
      <c r="D104" s="48">
        <f t="shared" si="8"/>
        <v>1.2764254654127476</v>
      </c>
      <c r="E104" s="48">
        <f t="shared" si="8"/>
        <v>-93.23523554485159</v>
      </c>
      <c r="F104" s="48">
        <f t="shared" si="8"/>
        <v>143.44636202895887</v>
      </c>
      <c r="G104" s="48"/>
      <c r="H104" s="48">
        <f t="shared" si="10"/>
        <v>-47.82614084544605</v>
      </c>
      <c r="I104" s="48">
        <f t="shared" si="8"/>
        <v>0.45378728018706516</v>
      </c>
      <c r="J104" s="49">
        <f t="shared" si="8"/>
        <v>-95.56129281557565</v>
      </c>
      <c r="K104" s="1"/>
      <c r="L104" s="1"/>
    </row>
    <row r="105" ht="15" customHeight="1">
      <c r="A105" s="1"/>
      <c r="B105" s="1" t="s">
        <v>91</v>
      </c>
      <c r="C105" s="37" t="s">
        <v>86</v>
      </c>
      <c r="D105" s="37" t="s">
        <v>86</v>
      </c>
      <c r="E105" s="37" t="s">
        <v>86</v>
      </c>
      <c r="F105" s="37" t="s">
        <v>86</v>
      </c>
      <c r="G105" s="37" t="s">
        <v>86</v>
      </c>
      <c r="H105" s="37" t="s">
        <v>86</v>
      </c>
      <c r="I105" s="37" t="s">
        <v>86</v>
      </c>
      <c r="J105" s="38" t="s">
        <v>86</v>
      </c>
      <c r="K105" s="1"/>
      <c r="L105" s="1" t="s">
        <v>581</v>
      </c>
    </row>
    <row r="106" ht="15" customHeight="1">
      <c r="A106" s="1"/>
      <c r="B106" s="4" t="s">
        <v>588</v>
      </c>
      <c r="C106" s="1"/>
      <c r="D106" s="1"/>
      <c r="E106" s="1"/>
      <c r="F106" s="1"/>
      <c r="G106" s="1"/>
      <c r="H106" s="1"/>
      <c r="I106" s="1"/>
      <c r="J106" s="29"/>
      <c r="K106" s="1"/>
      <c r="L106" s="1"/>
    </row>
    <row r="107" ht="15" customHeight="1">
      <c r="A107" s="1"/>
      <c r="B107" s="1" t="s">
        <v>575</v>
      </c>
      <c r="C107" s="35">
        <v>444</v>
      </c>
      <c r="D107" s="35">
        <v>460</v>
      </c>
      <c r="E107" s="35">
        <v>387</v>
      </c>
      <c r="F107" s="35">
        <v>451</v>
      </c>
      <c r="G107" s="18">
        <f t="shared" si="3"/>
        <v>1742</v>
      </c>
      <c r="H107" s="35">
        <v>473</v>
      </c>
      <c r="I107" s="35">
        <v>471</v>
      </c>
      <c r="J107" s="30">
        <f>'Segment - Collins Aerospace'!J62*E107/'Segment - Collins Aerospace'!E62</f>
        <v>417.9590694308571</v>
      </c>
      <c r="K107" s="1" t="s">
        <v>81</v>
      </c>
      <c r="L107" s="1" t="s">
        <v>576</v>
      </c>
    </row>
    <row r="108" ht="15" customHeight="1">
      <c r="A108" s="1"/>
      <c r="B108" s="5" t="s">
        <v>83</v>
      </c>
      <c r="C108" s="19"/>
      <c r="D108" s="19"/>
      <c r="E108" s="19"/>
      <c r="F108" s="19"/>
      <c r="G108" s="19"/>
      <c r="H108" s="19">
        <f t="shared" si="1"/>
        <v>0.06531531531531543</v>
      </c>
      <c r="I108" s="19">
        <f t="shared" si="1"/>
        <v>0.023913043478260843</v>
      </c>
      <c r="J108" s="32">
        <f t="shared" si="1"/>
        <v>0.07999759542857121</v>
      </c>
      <c r="K108" s="1"/>
      <c r="L108" s="1"/>
    </row>
    <row r="109" ht="15" customHeight="1">
      <c r="A109" s="1"/>
      <c r="B109" s="1" t="s">
        <v>84</v>
      </c>
      <c r="C109" s="18"/>
      <c r="D109" s="18">
        <f t="shared" si="2"/>
        <v>16</v>
      </c>
      <c r="E109" s="18">
        <f t="shared" si="2"/>
        <v>-73</v>
      </c>
      <c r="F109" s="18">
        <f t="shared" si="2"/>
        <v>64</v>
      </c>
      <c r="G109" s="18"/>
      <c r="H109" s="18">
        <f t="shared" si="4"/>
        <v>22</v>
      </c>
      <c r="I109" s="18">
        <f t="shared" si="2"/>
        <v>-2</v>
      </c>
      <c r="J109" s="36">
        <f t="shared" si="2"/>
        <v>-53.040930569142915</v>
      </c>
      <c r="K109" s="1"/>
      <c r="L109" s="1"/>
    </row>
    <row r="110" ht="15" customHeight="1">
      <c r="A110" s="1"/>
      <c r="B110" s="1" t="s">
        <v>85</v>
      </c>
      <c r="C110" s="37" t="s">
        <v>86</v>
      </c>
      <c r="D110" s="37" t="s">
        <v>86</v>
      </c>
      <c r="E110" s="37" t="s">
        <v>86</v>
      </c>
      <c r="F110" s="37" t="s">
        <v>86</v>
      </c>
      <c r="G110" s="37" t="s">
        <v>86</v>
      </c>
      <c r="H110" s="37" t="s">
        <v>86</v>
      </c>
      <c r="I110" s="37" t="s">
        <v>86</v>
      </c>
      <c r="J110" s="38" t="s">
        <v>86</v>
      </c>
      <c r="K110" s="1"/>
      <c r="L110" s="1" t="s">
        <v>87</v>
      </c>
    </row>
    <row r="111" ht="15" customHeight="1">
      <c r="A111" s="1"/>
      <c r="B111" s="1" t="s">
        <v>577</v>
      </c>
      <c r="C111" s="35">
        <v>692</v>
      </c>
      <c r="D111" s="35">
        <v>812</v>
      </c>
      <c r="E111" s="35">
        <v>781</v>
      </c>
      <c r="F111" s="35">
        <v>880</v>
      </c>
      <c r="G111" s="18">
        <f t="shared" si="3"/>
        <v>3165</v>
      </c>
      <c r="H111" s="35">
        <v>989</v>
      </c>
      <c r="I111" s="35">
        <v>1038</v>
      </c>
      <c r="J111" s="30">
        <f>'Segment - Pratt &amp; Whitney'!J69*E111/'Segment - Pratt &amp; Whitney'!E69</f>
        <v>826.6563066335035</v>
      </c>
      <c r="K111" s="1" t="s">
        <v>81</v>
      </c>
      <c r="L111" s="1" t="s">
        <v>576</v>
      </c>
    </row>
    <row r="112" ht="15" customHeight="1">
      <c r="A112" s="1"/>
      <c r="B112" s="5" t="s">
        <v>83</v>
      </c>
      <c r="C112" s="19"/>
      <c r="D112" s="19"/>
      <c r="E112" s="19"/>
      <c r="F112" s="19"/>
      <c r="G112" s="19"/>
      <c r="H112" s="19">
        <f t="shared" si="1"/>
        <v>0.4291907514450868</v>
      </c>
      <c r="I112" s="19">
        <f t="shared" si="1"/>
        <v>0.2783251231527093</v>
      </c>
      <c r="J112" s="32">
        <f t="shared" si="1"/>
        <v>0.058458779300260666</v>
      </c>
      <c r="K112" s="1"/>
      <c r="L112" s="1"/>
    </row>
    <row r="113" ht="15" customHeight="1">
      <c r="A113" s="1"/>
      <c r="B113" s="1" t="s">
        <v>84</v>
      </c>
      <c r="C113" s="18"/>
      <c r="D113" s="18">
        <f t="shared" si="2"/>
        <v>120</v>
      </c>
      <c r="E113" s="18">
        <f t="shared" si="2"/>
        <v>-31</v>
      </c>
      <c r="F113" s="18">
        <f t="shared" si="2"/>
        <v>99</v>
      </c>
      <c r="G113" s="18"/>
      <c r="H113" s="18">
        <f t="shared" si="4"/>
        <v>109</v>
      </c>
      <c r="I113" s="18">
        <f t="shared" si="2"/>
        <v>49</v>
      </c>
      <c r="J113" s="36">
        <f t="shared" si="2"/>
        <v>-211.3436933664965</v>
      </c>
      <c r="K113" s="1"/>
      <c r="L113" s="1"/>
    </row>
    <row r="114" ht="15" customHeight="1">
      <c r="A114" s="1"/>
      <c r="B114" s="1" t="s">
        <v>85</v>
      </c>
      <c r="C114" s="37" t="s">
        <v>86</v>
      </c>
      <c r="D114" s="37" t="s">
        <v>86</v>
      </c>
      <c r="E114" s="37" t="s">
        <v>86</v>
      </c>
      <c r="F114" s="37" t="s">
        <v>86</v>
      </c>
      <c r="G114" s="37" t="s">
        <v>86</v>
      </c>
      <c r="H114" s="37" t="s">
        <v>86</v>
      </c>
      <c r="I114" s="37" t="s">
        <v>86</v>
      </c>
      <c r="J114" s="38" t="s">
        <v>86</v>
      </c>
      <c r="K114" s="1"/>
      <c r="L114" s="1" t="s">
        <v>87</v>
      </c>
    </row>
    <row r="115" ht="15" customHeight="1">
      <c r="A115" s="1"/>
      <c r="B115" s="1" t="s">
        <v>578</v>
      </c>
      <c r="C115" s="35">
        <v>51</v>
      </c>
      <c r="D115" s="35">
        <v>53</v>
      </c>
      <c r="E115" s="35">
        <v>52</v>
      </c>
      <c r="F115" s="35">
        <v>47</v>
      </c>
      <c r="G115" s="18">
        <f t="shared" si="3"/>
        <v>203</v>
      </c>
      <c r="H115" s="35">
        <v>85</v>
      </c>
      <c r="I115" s="35">
        <v>58</v>
      </c>
      <c r="J115" s="30">
        <f>'Segment - Raytheon'!J51*E115/'Segment - Raytheon'!E51</f>
        <v>57.131944229903226</v>
      </c>
      <c r="K115" s="1" t="s">
        <v>81</v>
      </c>
      <c r="L115" s="1" t="s">
        <v>576</v>
      </c>
    </row>
    <row r="116" ht="15" customHeight="1">
      <c r="A116" s="1"/>
      <c r="B116" s="5" t="s">
        <v>83</v>
      </c>
      <c r="C116" s="19"/>
      <c r="D116" s="19"/>
      <c r="E116" s="19"/>
      <c r="F116" s="19"/>
      <c r="G116" s="19"/>
      <c r="H116" s="19">
        <f t="shared" si="1"/>
        <v>0.6666666666666667</v>
      </c>
      <c r="I116" s="19">
        <f t="shared" si="1"/>
        <v>0.09433962264150941</v>
      </c>
      <c r="J116" s="32">
        <f t="shared" si="1"/>
        <v>0.09869123519044676</v>
      </c>
      <c r="K116" s="1"/>
      <c r="L116" s="1"/>
    </row>
    <row r="117" ht="15" customHeight="1">
      <c r="A117" s="1"/>
      <c r="B117" s="1" t="s">
        <v>84</v>
      </c>
      <c r="C117" s="18"/>
      <c r="D117" s="18">
        <f t="shared" si="2"/>
        <v>2</v>
      </c>
      <c r="E117" s="18">
        <f t="shared" si="2"/>
        <v>-1</v>
      </c>
      <c r="F117" s="18">
        <f t="shared" si="2"/>
        <v>-5</v>
      </c>
      <c r="G117" s="18"/>
      <c r="H117" s="18">
        <f t="shared" si="4"/>
        <v>38</v>
      </c>
      <c r="I117" s="18">
        <f t="shared" si="2"/>
        <v>-27</v>
      </c>
      <c r="J117" s="36">
        <f t="shared" si="2"/>
        <v>-0.8680557700967739</v>
      </c>
      <c r="K117" s="1"/>
      <c r="L117" s="1"/>
    </row>
    <row r="118" ht="15" customHeight="1">
      <c r="A118" s="1"/>
      <c r="B118" s="1" t="s">
        <v>85</v>
      </c>
      <c r="C118" s="37" t="s">
        <v>86</v>
      </c>
      <c r="D118" s="37" t="s">
        <v>86</v>
      </c>
      <c r="E118" s="37" t="s">
        <v>86</v>
      </c>
      <c r="F118" s="37" t="s">
        <v>86</v>
      </c>
      <c r="G118" s="37" t="s">
        <v>86</v>
      </c>
      <c r="H118" s="37" t="s">
        <v>86</v>
      </c>
      <c r="I118" s="37" t="s">
        <v>86</v>
      </c>
      <c r="J118" s="38" t="s">
        <v>86</v>
      </c>
      <c r="K118" s="1"/>
      <c r="L118" s="1" t="s">
        <v>87</v>
      </c>
    </row>
    <row r="119" ht="15" customHeight="1">
      <c r="A119" s="1"/>
      <c r="B119" s="1" t="s">
        <v>579</v>
      </c>
      <c r="C119" s="35">
        <v>0</v>
      </c>
      <c r="D119" s="35">
        <v>0</v>
      </c>
      <c r="E119" s="35">
        <v>0</v>
      </c>
      <c r="F119" s="35">
        <v>0</v>
      </c>
      <c r="G119" s="18">
        <f t="shared" si="3"/>
        <v>0</v>
      </c>
      <c r="H119" s="35">
        <v>0</v>
      </c>
      <c r="I119" s="35">
        <v>0</v>
      </c>
      <c r="J119" s="30">
        <f>_xlfn.IFERROR('Revenue summary'!J36*E119/'Revenue summary'!E36,0)</f>
        <v>0</v>
      </c>
      <c r="K119" s="1" t="s">
        <v>81</v>
      </c>
      <c r="L119" s="1"/>
    </row>
    <row r="120" ht="15" customHeight="1">
      <c r="A120" s="1"/>
      <c r="B120" s="5" t="s">
        <v>83</v>
      </c>
      <c r="C120" s="43"/>
      <c r="D120" s="43"/>
      <c r="E120" s="43"/>
      <c r="F120" s="43"/>
      <c r="G120" s="43"/>
      <c r="H120" s="43" t="str">
        <f t="shared" si="1"/>
        <v>n/m</v>
      </c>
      <c r="I120" s="43" t="str">
        <f t="shared" si="1"/>
        <v>n/m</v>
      </c>
      <c r="J120" s="44" t="str">
        <f t="shared" si="1"/>
        <v>n/m</v>
      </c>
      <c r="K120" s="1"/>
      <c r="L120" s="1"/>
    </row>
    <row r="121" ht="15" customHeight="1">
      <c r="A121" s="1"/>
      <c r="B121" s="1" t="s">
        <v>84</v>
      </c>
      <c r="C121" s="18"/>
      <c r="D121" s="18">
        <f t="shared" si="2"/>
        <v>0</v>
      </c>
      <c r="E121" s="18">
        <f t="shared" si="2"/>
        <v>0</v>
      </c>
      <c r="F121" s="18">
        <f t="shared" si="2"/>
        <v>0</v>
      </c>
      <c r="G121" s="18"/>
      <c r="H121" s="18">
        <f t="shared" si="4"/>
        <v>0</v>
      </c>
      <c r="I121" s="18">
        <f t="shared" si="2"/>
        <v>0</v>
      </c>
      <c r="J121" s="36">
        <f t="shared" si="2"/>
        <v>0</v>
      </c>
      <c r="K121" s="1"/>
      <c r="L121" s="1"/>
    </row>
    <row r="122" ht="15" customHeight="1">
      <c r="A122" s="1"/>
      <c r="B122" s="1" t="s">
        <v>85</v>
      </c>
      <c r="C122" s="37" t="s">
        <v>86</v>
      </c>
      <c r="D122" s="37" t="s">
        <v>86</v>
      </c>
      <c r="E122" s="37" t="s">
        <v>86</v>
      </c>
      <c r="F122" s="37" t="s">
        <v>86</v>
      </c>
      <c r="G122" s="37" t="s">
        <v>86</v>
      </c>
      <c r="H122" s="37" t="s">
        <v>86</v>
      </c>
      <c r="I122" s="37" t="s">
        <v>86</v>
      </c>
      <c r="J122" s="38" t="s">
        <v>86</v>
      </c>
      <c r="K122" s="1"/>
      <c r="L122" s="1" t="s">
        <v>87</v>
      </c>
    </row>
    <row r="123" ht="15" customHeight="1">
      <c r="A123" s="1"/>
      <c r="B123" s="4" t="s">
        <v>589</v>
      </c>
      <c r="C123" s="33">
        <f t="shared" si="5"/>
        <v>1187</v>
      </c>
      <c r="D123" s="33">
        <f t="shared" si="5"/>
        <v>1325</v>
      </c>
      <c r="E123" s="33">
        <f t="shared" si="5"/>
        <v>1220</v>
      </c>
      <c r="F123" s="33">
        <f t="shared" si="5"/>
        <v>1378</v>
      </c>
      <c r="G123" s="33">
        <f t="shared" si="5"/>
        <v>5110</v>
      </c>
      <c r="H123" s="33">
        <f t="shared" si="5"/>
        <v>1547</v>
      </c>
      <c r="I123" s="33">
        <f t="shared" si="5"/>
        <v>1567</v>
      </c>
      <c r="J123" s="34">
        <f t="shared" si="5"/>
        <v>1301.7473202942638</v>
      </c>
      <c r="K123" s="1"/>
      <c r="L123" s="1"/>
    </row>
    <row r="124" ht="15" customHeight="1">
      <c r="A124" s="1"/>
      <c r="B124" s="5" t="s">
        <v>73</v>
      </c>
      <c r="C124" s="19"/>
      <c r="D124" s="19"/>
      <c r="E124" s="19"/>
      <c r="F124" s="19"/>
      <c r="G124" s="19"/>
      <c r="H124" s="19">
        <f t="shared" si="1"/>
        <v>0.3032855939342882</v>
      </c>
      <c r="I124" s="19">
        <f t="shared" si="1"/>
        <v>0.18264150943396218</v>
      </c>
      <c r="J124" s="32">
        <f t="shared" si="1"/>
        <v>0.06700600024119985</v>
      </c>
      <c r="K124" s="1"/>
      <c r="L124" s="1"/>
    </row>
    <row r="125" ht="15" customHeight="1">
      <c r="A125" s="1"/>
      <c r="B125" s="1" t="s">
        <v>90</v>
      </c>
      <c r="C125" s="18"/>
      <c r="D125" s="18">
        <f t="shared" si="2"/>
        <v>138</v>
      </c>
      <c r="E125" s="18">
        <f t="shared" si="2"/>
        <v>-105</v>
      </c>
      <c r="F125" s="18">
        <f t="shared" si="2"/>
        <v>158</v>
      </c>
      <c r="G125" s="18"/>
      <c r="H125" s="18">
        <f t="shared" si="4"/>
        <v>169</v>
      </c>
      <c r="I125" s="18">
        <f t="shared" si="2"/>
        <v>20</v>
      </c>
      <c r="J125" s="36">
        <f t="shared" si="2"/>
        <v>-265.2526797057362</v>
      </c>
      <c r="K125" s="1"/>
      <c r="L125" s="1"/>
    </row>
    <row r="126" ht="15" customHeight="1">
      <c r="A126" s="1"/>
      <c r="B126" s="5" t="s">
        <v>75</v>
      </c>
      <c r="C126" s="19">
        <f t="shared" si="13" ref="C126:J126">IF(COUNT(C123,C131)&lt;2,"n/a",C123/C131)</f>
        <v>0.05845562887816409</v>
      </c>
      <c r="D126" s="19">
        <f t="shared" si="13"/>
        <v>0.061396598860108426</v>
      </c>
      <c r="E126" s="19">
        <f t="shared" si="13"/>
        <v>0.054275291396031676</v>
      </c>
      <c r="F126" s="19">
        <f t="shared" si="13"/>
        <v>0.05685287564980609</v>
      </c>
      <c r="G126" s="19">
        <f t="shared" si="13"/>
        <v>0.05767299075652066</v>
      </c>
      <c r="H126" s="19">
        <f t="shared" si="13"/>
        <v>0.0700761007428882</v>
      </c>
      <c r="I126" s="19">
        <f t="shared" si="13"/>
        <v>0.06342075441152663</v>
      </c>
      <c r="J126" s="32">
        <f t="shared" si="13"/>
        <v>0.05373442485378727</v>
      </c>
      <c r="K126" s="1"/>
      <c r="L126" s="1"/>
    </row>
    <row r="127" ht="15" customHeight="1">
      <c r="A127" s="1"/>
      <c r="B127" s="5" t="s">
        <v>133</v>
      </c>
      <c r="C127" s="48"/>
      <c r="D127" s="48"/>
      <c r="E127" s="48"/>
      <c r="F127" s="48"/>
      <c r="G127" s="48"/>
      <c r="H127" s="48">
        <f t="shared" si="7"/>
        <v>116.20471864724105</v>
      </c>
      <c r="I127" s="48">
        <f t="shared" si="7"/>
        <v>20.241555514182025</v>
      </c>
      <c r="J127" s="49">
        <f t="shared" si="7"/>
        <v>-5.408665422444031</v>
      </c>
      <c r="K127" s="1"/>
      <c r="L127" s="1"/>
    </row>
    <row r="128" ht="15" customHeight="1">
      <c r="A128" s="1"/>
      <c r="B128" s="5" t="s">
        <v>134</v>
      </c>
      <c r="C128" s="48"/>
      <c r="D128" s="48">
        <f t="shared" si="8"/>
        <v>29.40969981944333</v>
      </c>
      <c r="E128" s="48">
        <f t="shared" si="8"/>
        <v>-71.2130746407675</v>
      </c>
      <c r="F128" s="48">
        <f t="shared" si="8"/>
        <v>25.77584253774412</v>
      </c>
      <c r="G128" s="48"/>
      <c r="H128" s="48">
        <f t="shared" si="10"/>
        <v>132.2322509308211</v>
      </c>
      <c r="I128" s="48">
        <f t="shared" si="8"/>
        <v>-66.5534633136157</v>
      </c>
      <c r="J128" s="49">
        <f t="shared" si="8"/>
        <v>-96.86329557739356</v>
      </c>
      <c r="K128" s="1"/>
      <c r="L128" s="1"/>
    </row>
    <row r="129" ht="15" customHeight="1">
      <c r="A129" s="1"/>
      <c r="B129" s="1" t="s">
        <v>91</v>
      </c>
      <c r="C129" s="37" t="s">
        <v>86</v>
      </c>
      <c r="D129" s="37" t="s">
        <v>86</v>
      </c>
      <c r="E129" s="37" t="s">
        <v>86</v>
      </c>
      <c r="F129" s="37" t="s">
        <v>86</v>
      </c>
      <c r="G129" s="37" t="s">
        <v>86</v>
      </c>
      <c r="H129" s="37" t="s">
        <v>86</v>
      </c>
      <c r="I129" s="37" t="s">
        <v>86</v>
      </c>
      <c r="J129" s="38" t="s">
        <v>86</v>
      </c>
      <c r="K129" s="1"/>
      <c r="L129" s="1" t="s">
        <v>581</v>
      </c>
    </row>
    <row r="130" ht="15" customHeight="1">
      <c r="A130" s="1"/>
      <c r="B130" s="4" t="s">
        <v>590</v>
      </c>
      <c r="C130" s="1"/>
      <c r="D130" s="1"/>
      <c r="E130" s="1"/>
      <c r="F130" s="1"/>
      <c r="G130" s="1"/>
      <c r="H130" s="1"/>
      <c r="I130" s="1"/>
      <c r="J130" s="29"/>
      <c r="K130" s="1"/>
      <c r="L130" s="1"/>
    </row>
    <row r="131" ht="15" customHeight="1">
      <c r="A131" s="1"/>
      <c r="B131" s="4" t="s">
        <v>591</v>
      </c>
      <c r="C131" s="33">
        <f t="shared" si="14" ref="C131:J131">C27+C51+C75+C99+C123</f>
        <v>20306</v>
      </c>
      <c r="D131" s="33">
        <f t="shared" si="14"/>
        <v>21581</v>
      </c>
      <c r="E131" s="33">
        <f t="shared" si="14"/>
        <v>22478</v>
      </c>
      <c r="F131" s="33">
        <f t="shared" si="14"/>
        <v>24238</v>
      </c>
      <c r="G131" s="33">
        <f t="shared" si="14"/>
        <v>88603</v>
      </c>
      <c r="H131" s="33">
        <f t="shared" si="14"/>
        <v>22076</v>
      </c>
      <c r="I131" s="33">
        <f t="shared" si="14"/>
        <v>24708</v>
      </c>
      <c r="J131" s="34">
        <f t="shared" si="14"/>
        <v>24225.57464486409</v>
      </c>
      <c r="K131" s="1"/>
      <c r="L131" s="1"/>
    </row>
    <row r="132" ht="15" customHeight="1">
      <c r="A132" s="1"/>
      <c r="B132" s="1" t="s">
        <v>592</v>
      </c>
      <c r="C132" s="18">
        <f t="shared" si="15" ref="C132:J132">C131-C27</f>
        <v>9040</v>
      </c>
      <c r="D132" s="18">
        <f t="shared" si="15"/>
        <v>9844</v>
      </c>
      <c r="E132" s="18">
        <f t="shared" si="15"/>
        <v>10744</v>
      </c>
      <c r="F132" s="18">
        <f t="shared" si="15"/>
        <v>11684</v>
      </c>
      <c r="G132" s="18">
        <f t="shared" si="15"/>
        <v>41312</v>
      </c>
      <c r="H132" s="18">
        <f t="shared" si="15"/>
        <v>10163</v>
      </c>
      <c r="I132" s="18">
        <f t="shared" si="15"/>
        <v>11615</v>
      </c>
      <c r="J132" s="36">
        <f t="shared" si="15"/>
        <v>11531.02390459572</v>
      </c>
      <c r="K132" s="1"/>
      <c r="L132" s="1"/>
    </row>
    <row r="133" ht="15" customHeight="1">
      <c r="A133" s="1"/>
      <c r="B133" s="5" t="s">
        <v>73</v>
      </c>
      <c r="C133" s="19"/>
      <c r="D133" s="19"/>
      <c r="E133" s="19"/>
      <c r="F133" s="19"/>
      <c r="G133" s="19"/>
      <c r="H133" s="19">
        <f t="shared" si="1"/>
        <v>0.1242256637168142</v>
      </c>
      <c r="I133" s="19">
        <f t="shared" si="1"/>
        <v>0.17990654205607481</v>
      </c>
      <c r="J133" s="32">
        <f t="shared" si="1"/>
        <v>0.07325241107555103</v>
      </c>
      <c r="K133" s="1"/>
      <c r="L133" s="1"/>
    </row>
    <row r="134" ht="15" customHeight="1">
      <c r="A134" s="1"/>
      <c r="B134" s="5" t="s">
        <v>593</v>
      </c>
      <c r="C134" s="19">
        <f t="shared" si="16" ref="C134:J134">IF(COUNT(C132,C131)&lt;2,"n/a",C132/C131)</f>
        <v>0.44518861420269873</v>
      </c>
      <c r="D134" s="19">
        <f t="shared" si="16"/>
        <v>0.456141976738798</v>
      </c>
      <c r="E134" s="19">
        <f t="shared" si="16"/>
        <v>0.47797846783521664</v>
      </c>
      <c r="F134" s="19">
        <f t="shared" si="16"/>
        <v>0.4820529746678769</v>
      </c>
      <c r="G134" s="19">
        <f t="shared" si="16"/>
        <v>0.4662596074625013</v>
      </c>
      <c r="H134" s="19">
        <f t="shared" si="16"/>
        <v>0.46036419641239357</v>
      </c>
      <c r="I134" s="19">
        <f t="shared" si="16"/>
        <v>0.4700906588959042</v>
      </c>
      <c r="J134" s="32">
        <f t="shared" si="16"/>
        <v>0.47598556788168245</v>
      </c>
      <c r="K134" s="1"/>
      <c r="L134" s="1"/>
    </row>
    <row r="135" ht="15" customHeight="1">
      <c r="A135" s="1"/>
      <c r="B135" s="5" t="s">
        <v>143</v>
      </c>
      <c r="C135" s="48"/>
      <c r="D135" s="48"/>
      <c r="E135" s="48"/>
      <c r="F135" s="48"/>
      <c r="G135" s="48"/>
      <c r="H135" s="48">
        <f t="shared" si="7"/>
        <v>151.75582209694838</v>
      </c>
      <c r="I135" s="48">
        <f t="shared" si="7"/>
        <v>139.4868215710615</v>
      </c>
      <c r="J135" s="49">
        <f t="shared" si="7"/>
        <v>-19.928999535341884</v>
      </c>
      <c r="K135" s="1"/>
      <c r="L135" s="1"/>
    </row>
    <row r="136" ht="15" customHeight="1">
      <c r="A136" s="1"/>
      <c r="B136" s="5" t="s">
        <v>128</v>
      </c>
      <c r="C136" s="48"/>
      <c r="D136" s="48">
        <f t="shared" si="8"/>
        <v>109.53362536099299</v>
      </c>
      <c r="E136" s="48">
        <f t="shared" si="8"/>
        <v>218.3649109641861</v>
      </c>
      <c r="F136" s="48">
        <f t="shared" si="8"/>
        <v>40.74506832660252</v>
      </c>
      <c r="G136" s="48"/>
      <c r="H136" s="48">
        <f t="shared" si="10"/>
        <v>-216.88778255483322</v>
      </c>
      <c r="I136" s="48">
        <f t="shared" si="8"/>
        <v>97.26462483510612</v>
      </c>
      <c r="J136" s="49">
        <f t="shared" si="8"/>
        <v>58.94908985778269</v>
      </c>
      <c r="K136" s="1"/>
      <c r="L136" s="1"/>
    </row>
    <row r="137" ht="15" customHeight="1">
      <c r="A137" s="1"/>
      <c r="B137" s="1" t="s">
        <v>594</v>
      </c>
      <c r="C137" s="17">
        <f>C131-'Income Statement'!C19</f>
        <v>0</v>
      </c>
      <c r="D137" s="17">
        <f>D131-'Income Statement'!D19</f>
        <v>0</v>
      </c>
      <c r="E137" s="17">
        <f>E131-'Income Statement'!E19</f>
        <v>0</v>
      </c>
      <c r="F137" s="17">
        <f>F131-'Income Statement'!F19</f>
        <v>0</v>
      </c>
      <c r="G137" s="17">
        <f>G131-'Income Statement'!G19</f>
        <v>0</v>
      </c>
      <c r="H137" s="17">
        <f>H131-'Income Statement'!H19</f>
        <v>0</v>
      </c>
      <c r="I137" s="17">
        <f>I131-'Income Statement'!I19</f>
        <v>0</v>
      </c>
      <c r="J137" s="30">
        <f>J131-'Income Statement'!J19</f>
        <v>0</v>
      </c>
      <c r="K137" s="1"/>
      <c r="L137" s="1"/>
    </row>
    <row r="138" ht="15" customHeight="1">
      <c r="A138" s="1"/>
      <c r="B138" s="1"/>
      <c r="C138" s="1"/>
      <c r="D138" s="1"/>
      <c r="E138" s="1"/>
      <c r="F138" s="1"/>
      <c r="G138" s="1"/>
      <c r="H138" s="1"/>
      <c r="I138" s="1"/>
      <c r="J138" s="29"/>
      <c r="K138" s="1"/>
      <c r="L138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29223BE-77C8-9358-5F47-43AB30406ED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6.00390625" customWidth="1"/>
    <col min="3" max="10" width="12.00390625" customWidth="1"/>
    <col min="11" max="11" width="20.00390625" customWidth="1"/>
    <col min="12" max="12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4" t="s">
        <v>595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5" t="s">
        <v>596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ht="15" customHeight="1">
      <c r="A6" s="1"/>
      <c r="B6" s="6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8" t="s">
        <v>12</v>
      </c>
      <c r="K6" s="6" t="s">
        <v>13</v>
      </c>
      <c r="L6" s="6" t="s">
        <v>14</v>
      </c>
    </row>
    <row r="7" ht="15" customHeight="1">
      <c r="A7" s="1"/>
      <c r="B7" s="9" t="s">
        <v>15</v>
      </c>
      <c r="C7" s="10">
        <v>45747</v>
      </c>
      <c r="D7" s="10">
        <v>45838</v>
      </c>
      <c r="E7" s="10">
        <v>45930</v>
      </c>
      <c r="F7" s="10">
        <v>46022</v>
      </c>
      <c r="G7" s="10">
        <v>46022</v>
      </c>
      <c r="H7" s="10">
        <v>46112</v>
      </c>
      <c r="I7" s="10">
        <v>46203</v>
      </c>
      <c r="J7" s="11">
        <v>46295</v>
      </c>
      <c r="K7" s="9"/>
      <c r="L7" s="9"/>
    </row>
    <row r="8" ht="15" customHeight="1">
      <c r="A8" s="1"/>
      <c r="B8" s="12" t="s">
        <v>16</v>
      </c>
      <c r="C8" s="13">
        <f>C7-EOMONTH(C7,-3)</f>
        <v>90</v>
      </c>
      <c r="D8" s="13">
        <f t="shared" si="0" ref="D8:J12">D7-C7</f>
        <v>91</v>
      </c>
      <c r="E8" s="13">
        <f t="shared" si="0"/>
        <v>92</v>
      </c>
      <c r="F8" s="13">
        <f t="shared" si="0"/>
        <v>92</v>
      </c>
      <c r="G8" s="13">
        <f>G7-EOMONTH(G7,-12)</f>
        <v>365</v>
      </c>
      <c r="H8" s="13">
        <f t="shared" si="1" ref="H8:H12">H7-F7</f>
        <v>90</v>
      </c>
      <c r="I8" s="13">
        <f t="shared" si="0"/>
        <v>91</v>
      </c>
      <c r="J8" s="14">
        <f t="shared" si="0"/>
        <v>92</v>
      </c>
      <c r="K8" s="12"/>
      <c r="L8" s="12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15" customHeight="1">
      <c r="A10" s="1"/>
      <c r="B10" s="4" t="s">
        <v>597</v>
      </c>
      <c r="C10" s="1"/>
      <c r="D10" s="1"/>
      <c r="E10" s="1"/>
      <c r="F10" s="1"/>
      <c r="G10" s="1"/>
      <c r="H10" s="1"/>
      <c r="I10" s="1"/>
      <c r="J10" s="29"/>
      <c r="K10" s="1"/>
      <c r="L10" s="1"/>
    </row>
    <row r="11" ht="15" customHeight="1">
      <c r="A11" s="1"/>
      <c r="B11" s="4" t="s">
        <v>598</v>
      </c>
      <c r="C11" s="52">
        <v>1337.1</v>
      </c>
      <c r="D11" s="52">
        <v>1340.6</v>
      </c>
      <c r="E11" s="52">
        <v>1343.1</v>
      </c>
      <c r="F11" s="52">
        <v>1344.9</v>
      </c>
      <c r="G11" s="52">
        <v>1341.4</v>
      </c>
      <c r="H11" s="52">
        <v>1348</v>
      </c>
      <c r="I11" s="52">
        <v>1350.7</v>
      </c>
      <c r="J11" s="34">
        <f>I11+J12</f>
        <v>1352.2</v>
      </c>
      <c r="K11" s="1" t="s">
        <v>599</v>
      </c>
      <c r="L11" s="1" t="s">
        <v>600</v>
      </c>
    </row>
    <row r="12" ht="15" customHeight="1">
      <c r="A12" s="1"/>
      <c r="B12" s="1" t="s">
        <v>601</v>
      </c>
      <c r="C12" s="18"/>
      <c r="D12" s="18">
        <f t="shared" si="0"/>
        <v>3.5</v>
      </c>
      <c r="E12" s="18">
        <f t="shared" si="0"/>
        <v>2.5</v>
      </c>
      <c r="F12" s="18">
        <f t="shared" si="0"/>
        <v>1.800000000000182</v>
      </c>
      <c r="G12" s="18"/>
      <c r="H12" s="18">
        <f t="shared" si="1"/>
        <v>3.099999999999909</v>
      </c>
      <c r="I12" s="18">
        <f t="shared" si="0"/>
        <v>2.7000000000000455</v>
      </c>
      <c r="J12" s="42">
        <v>1.5</v>
      </c>
      <c r="K12" s="1"/>
      <c r="L12" s="1"/>
    </row>
    <row r="13" ht="15" customHeight="1">
      <c r="A13" s="1"/>
      <c r="B13" s="5" t="s">
        <v>73</v>
      </c>
      <c r="C13" s="19"/>
      <c r="D13" s="19"/>
      <c r="E13" s="19"/>
      <c r="F13" s="19"/>
      <c r="G13" s="19"/>
      <c r="H13" s="19">
        <f t="shared" si="2" ref="H13:J13">IF(COUNT(H11,C11)&lt;2,"n/a",IF(H11*C11&lt;=0,"n/m",H11/C11-1))</f>
        <v>0.00815197068282103</v>
      </c>
      <c r="I13" s="19">
        <f t="shared" si="2"/>
        <v>0.007533940026853703</v>
      </c>
      <c r="J13" s="32">
        <f t="shared" si="2"/>
        <v>0.0067753704117341496</v>
      </c>
      <c r="K13" s="1"/>
      <c r="L13" s="1"/>
    </row>
    <row r="14" ht="15" customHeight="1">
      <c r="A14" s="1"/>
      <c r="B14" s="4" t="s">
        <v>602</v>
      </c>
      <c r="C14" s="52">
        <v>1351.8</v>
      </c>
      <c r="D14" s="52">
        <v>1354</v>
      </c>
      <c r="E14" s="52">
        <v>1358.4</v>
      </c>
      <c r="F14" s="52">
        <v>1361.7</v>
      </c>
      <c r="G14" s="52">
        <v>1356.4</v>
      </c>
      <c r="H14" s="52">
        <v>1364.6</v>
      </c>
      <c r="I14" s="52">
        <v>1365</v>
      </c>
      <c r="J14" s="34">
        <f>J11+J15</f>
        <v>1366.7</v>
      </c>
      <c r="K14" s="1" t="s">
        <v>599</v>
      </c>
      <c r="L14" s="1" t="s">
        <v>603</v>
      </c>
    </row>
    <row r="15" ht="15" customHeight="1">
      <c r="A15" s="1"/>
      <c r="B15" s="1" t="s">
        <v>604</v>
      </c>
      <c r="C15" s="18">
        <f t="shared" si="3" ref="C15:I15">C14-C11</f>
        <v>14.700000000000045</v>
      </c>
      <c r="D15" s="18">
        <f t="shared" si="3"/>
        <v>13.400000000000091</v>
      </c>
      <c r="E15" s="18">
        <f t="shared" si="3"/>
        <v>15.300000000000182</v>
      </c>
      <c r="F15" s="18">
        <f t="shared" si="3"/>
        <v>16.799999999999955</v>
      </c>
      <c r="G15" s="18">
        <f t="shared" si="3"/>
        <v>15</v>
      </c>
      <c r="H15" s="18">
        <f t="shared" si="3"/>
        <v>16.59999999999991</v>
      </c>
      <c r="I15" s="18">
        <f t="shared" si="3"/>
        <v>14.299999999999955</v>
      </c>
      <c r="J15" s="42">
        <v>14.5</v>
      </c>
      <c r="K15" s="1"/>
      <c r="L15" s="1" t="s">
        <v>605</v>
      </c>
    </row>
    <row r="16" ht="15" customHeight="1">
      <c r="A16" s="1"/>
      <c r="B16" s="5" t="s">
        <v>83</v>
      </c>
      <c r="C16" s="19"/>
      <c r="D16" s="19"/>
      <c r="E16" s="19"/>
      <c r="F16" s="19"/>
      <c r="G16" s="19"/>
      <c r="H16" s="19">
        <f t="shared" si="4" ref="H16:J36">IF(COUNT(H15,C15)&lt;2,"n/a",IF(H15*C15&lt;=0,"n/m",H15/C15-1))</f>
        <v>0.12925170068026248</v>
      </c>
      <c r="I16" s="19">
        <f t="shared" si="4"/>
        <v>0.06716417910446704</v>
      </c>
      <c r="J16" s="32">
        <f t="shared" si="4"/>
        <v>-0.052287581699357655</v>
      </c>
      <c r="K16" s="1"/>
      <c r="L16" s="1"/>
    </row>
    <row r="17" ht="15" customHeight="1">
      <c r="A17" s="1"/>
      <c r="B17" s="1" t="s">
        <v>606</v>
      </c>
      <c r="C17" s="18"/>
      <c r="D17" s="18">
        <f t="shared" si="5" ref="D17:J37">IF(COUNT(D15,C15)&lt;2,"n/a",D15-C15)</f>
        <v>-1.2999999999999545</v>
      </c>
      <c r="E17" s="18">
        <f t="shared" si="5"/>
        <v>1.900000000000091</v>
      </c>
      <c r="F17" s="18">
        <f t="shared" si="5"/>
        <v>1.4999999999997726</v>
      </c>
      <c r="G17" s="18"/>
      <c r="H17" s="18">
        <f t="shared" si="11" ref="H17:H37">IF(COUNT(H15,F15)&lt;2,"n/a",H15-F15)</f>
        <v>-0.20000000000004547</v>
      </c>
      <c r="I17" s="18">
        <f t="shared" si="5"/>
        <v>-2.2999999999999545</v>
      </c>
      <c r="J17" s="36">
        <f t="shared" si="5"/>
        <v>0.20000000000004547</v>
      </c>
      <c r="K17" s="1"/>
      <c r="L17" s="1"/>
    </row>
    <row r="18" ht="15" customHeight="1">
      <c r="A18" s="1"/>
      <c r="B18" s="5" t="s">
        <v>73</v>
      </c>
      <c r="C18" s="19"/>
      <c r="D18" s="19"/>
      <c r="E18" s="19"/>
      <c r="F18" s="19"/>
      <c r="G18" s="19"/>
      <c r="H18" s="19">
        <f t="shared" si="6" ref="H18:J18">IF(COUNT(H14,C14)&lt;2,"n/a",IF(H14*C14&lt;=0,"n/m",H14/C14-1))</f>
        <v>0.009468856339695186</v>
      </c>
      <c r="I18" s="19">
        <f t="shared" si="6"/>
        <v>0.008124076809453484</v>
      </c>
      <c r="J18" s="32">
        <f t="shared" si="6"/>
        <v>0.006110129564193212</v>
      </c>
      <c r="K18" s="1"/>
      <c r="L18" s="1"/>
    </row>
    <row r="19" ht="15" customHeight="1">
      <c r="A19" s="1"/>
      <c r="B19" s="1" t="s">
        <v>607</v>
      </c>
      <c r="C19" s="18"/>
      <c r="D19" s="18">
        <f t="shared" si="7" ref="D19:J19">IF(COUNT(D14,C14)&lt;2,"n/a",D14-C14)</f>
        <v>2.2000000000000455</v>
      </c>
      <c r="E19" s="18">
        <f t="shared" si="7"/>
        <v>4.400000000000091</v>
      </c>
      <c r="F19" s="18">
        <f t="shared" si="7"/>
        <v>3.2999999999999545</v>
      </c>
      <c r="G19" s="18"/>
      <c r="H19" s="18">
        <f>IF(COUNT(H14,F14)&lt;2,"n/a",H14-F14)</f>
        <v>2.8999999999998636</v>
      </c>
      <c r="I19" s="18">
        <f t="shared" si="7"/>
        <v>0.40000000000009095</v>
      </c>
      <c r="J19" s="36">
        <f t="shared" si="7"/>
        <v>1.7000000000000455</v>
      </c>
      <c r="K19" s="1"/>
      <c r="L19" s="1"/>
    </row>
    <row r="20" ht="15" customHeight="1">
      <c r="A20" s="1"/>
      <c r="B20" s="5" t="s">
        <v>608</v>
      </c>
      <c r="C20" s="19">
        <f t="shared" si="8" ref="C20:J20">C14/C11-1</f>
        <v>0.01099394211352922</v>
      </c>
      <c r="D20" s="19">
        <f t="shared" si="8"/>
        <v>0.009995524392063304</v>
      </c>
      <c r="E20" s="19">
        <f t="shared" si="8"/>
        <v>0.01139155684610249</v>
      </c>
      <c r="F20" s="19">
        <f t="shared" si="8"/>
        <v>0.012491635065804196</v>
      </c>
      <c r="G20" s="19">
        <f t="shared" si="8"/>
        <v>0.01118234680184882</v>
      </c>
      <c r="H20" s="19">
        <f t="shared" si="8"/>
        <v>0.012314540059347179</v>
      </c>
      <c r="I20" s="19">
        <f t="shared" si="8"/>
        <v>0.010587102983638186</v>
      </c>
      <c r="J20" s="32">
        <f t="shared" si="8"/>
        <v>0.010723265789084557</v>
      </c>
      <c r="K20" s="1"/>
      <c r="L20" s="1"/>
    </row>
    <row r="21" ht="15" customHeight="1">
      <c r="A21" s="1"/>
      <c r="B21" s="5" t="s">
        <v>133</v>
      </c>
      <c r="C21" s="48"/>
      <c r="D21" s="48"/>
      <c r="E21" s="48"/>
      <c r="F21" s="48"/>
      <c r="G21" s="48"/>
      <c r="H21" s="48">
        <f t="shared" si="9" ref="H21:J21">IF(COUNT(H20,C20)&lt;2,"n/a",(H20-C20)*10000)</f>
        <v>13.205979458179584</v>
      </c>
      <c r="I21" s="48">
        <f t="shared" si="9"/>
        <v>5.915785915748817</v>
      </c>
      <c r="J21" s="49">
        <f t="shared" si="9"/>
        <v>-6.6829105701793345</v>
      </c>
      <c r="K21" s="1"/>
      <c r="L21" s="1"/>
    </row>
    <row r="22" ht="15" customHeight="1">
      <c r="A22" s="1"/>
      <c r="B22" s="5" t="s">
        <v>134</v>
      </c>
      <c r="C22" s="48"/>
      <c r="D22" s="48">
        <f t="shared" si="10" ref="D22:J22">IF(COUNT(D20,C20)&lt;2,"n/a",(D20-C20)*10000)</f>
        <v>-9.984177214659162</v>
      </c>
      <c r="E22" s="48">
        <f t="shared" si="10"/>
        <v>13.960324540391866</v>
      </c>
      <c r="F22" s="48">
        <f t="shared" si="10"/>
        <v>11.000782197017056</v>
      </c>
      <c r="G22" s="48"/>
      <c r="H22" s="48">
        <f>IF(COUNT(H20,F20)&lt;2,"n/a",(H20-F20)*10000)</f>
        <v>-1.770950064570176</v>
      </c>
      <c r="I22" s="48">
        <f t="shared" si="10"/>
        <v>-17.27437075708993</v>
      </c>
      <c r="J22" s="49">
        <f t="shared" si="10"/>
        <v>1.361628054463715</v>
      </c>
      <c r="K22" s="1"/>
      <c r="L22" s="1"/>
    </row>
    <row r="23" ht="15" customHeight="1">
      <c r="A23" s="1"/>
      <c r="B23" s="1"/>
      <c r="C23" s="1"/>
      <c r="D23" s="1"/>
      <c r="E23" s="1"/>
      <c r="F23" s="1"/>
      <c r="G23" s="1"/>
      <c r="H23" s="1"/>
      <c r="I23" s="1"/>
      <c r="J23" s="29"/>
      <c r="K23" s="1"/>
      <c r="L23" s="1"/>
    </row>
    <row r="24" ht="15" customHeight="1">
      <c r="A24" s="1"/>
      <c r="B24" s="4" t="s">
        <v>609</v>
      </c>
      <c r="C24" s="1"/>
      <c r="D24" s="1"/>
      <c r="E24" s="1"/>
      <c r="F24" s="1"/>
      <c r="G24" s="1"/>
      <c r="H24" s="1"/>
      <c r="I24" s="1"/>
      <c r="J24" s="29"/>
      <c r="K24" s="1"/>
      <c r="L24" s="1"/>
    </row>
    <row r="25" ht="15" customHeight="1">
      <c r="A25" s="1"/>
      <c r="B25" s="1" t="s">
        <v>610</v>
      </c>
      <c r="C25" s="35">
        <v>0.396</v>
      </c>
      <c r="D25" s="35">
        <v>0</v>
      </c>
      <c r="E25" s="35">
        <v>0</v>
      </c>
      <c r="F25" s="35">
        <v>0</v>
      </c>
      <c r="G25" s="18">
        <f t="shared" si="12" ref="G25:G32">SUM(C25:F25)</f>
        <v>0.396</v>
      </c>
      <c r="H25" s="35">
        <v>0</v>
      </c>
      <c r="I25" s="35">
        <v>0</v>
      </c>
      <c r="J25" s="42">
        <v>0</v>
      </c>
      <c r="K25" s="1" t="s">
        <v>81</v>
      </c>
      <c r="L25" s="1" t="s">
        <v>611</v>
      </c>
    </row>
    <row r="26" ht="15" customHeight="1">
      <c r="A26" s="1"/>
      <c r="B26" s="5" t="s">
        <v>73</v>
      </c>
      <c r="C26" s="43"/>
      <c r="D26" s="43"/>
      <c r="E26" s="43"/>
      <c r="F26" s="43"/>
      <c r="G26" s="43"/>
      <c r="H26" s="43" t="str">
        <f t="shared" si="4"/>
        <v>n/m</v>
      </c>
      <c r="I26" s="43" t="str">
        <f t="shared" si="4"/>
        <v>n/m</v>
      </c>
      <c r="J26" s="44" t="str">
        <f t="shared" si="4"/>
        <v>n/m</v>
      </c>
      <c r="K26" s="1"/>
      <c r="L26" s="1"/>
    </row>
    <row r="27" ht="15" customHeight="1">
      <c r="A27" s="1"/>
      <c r="B27" s="1" t="s">
        <v>607</v>
      </c>
      <c r="C27" s="18"/>
      <c r="D27" s="18">
        <f t="shared" si="5"/>
        <v>-0.396</v>
      </c>
      <c r="E27" s="18">
        <f t="shared" si="5"/>
        <v>0</v>
      </c>
      <c r="F27" s="18">
        <f t="shared" si="5"/>
        <v>0</v>
      </c>
      <c r="G27" s="18"/>
      <c r="H27" s="18">
        <f t="shared" si="11"/>
        <v>0</v>
      </c>
      <c r="I27" s="18">
        <f t="shared" si="5"/>
        <v>0</v>
      </c>
      <c r="J27" s="36">
        <f t="shared" si="5"/>
        <v>0</v>
      </c>
      <c r="K27" s="1"/>
      <c r="L27" s="1"/>
    </row>
    <row r="28" ht="15" customHeight="1">
      <c r="A28" s="1"/>
      <c r="B28" s="1" t="s">
        <v>612</v>
      </c>
      <c r="C28" s="35">
        <v>50</v>
      </c>
      <c r="D28" s="35">
        <v>0</v>
      </c>
      <c r="E28" s="35">
        <v>0</v>
      </c>
      <c r="F28" s="35">
        <v>0</v>
      </c>
      <c r="G28" s="18">
        <f t="shared" si="12"/>
        <v>50</v>
      </c>
      <c r="H28" s="35">
        <v>0</v>
      </c>
      <c r="I28" s="35">
        <v>0</v>
      </c>
      <c r="J28" s="42">
        <v>0</v>
      </c>
      <c r="K28" s="1" t="s">
        <v>509</v>
      </c>
      <c r="L28" s="1"/>
    </row>
    <row r="29" ht="15" customHeight="1">
      <c r="A29" s="1"/>
      <c r="B29" s="5" t="s">
        <v>73</v>
      </c>
      <c r="C29" s="43"/>
      <c r="D29" s="43"/>
      <c r="E29" s="43"/>
      <c r="F29" s="43"/>
      <c r="G29" s="43"/>
      <c r="H29" s="43" t="str">
        <f t="shared" si="4"/>
        <v>n/m</v>
      </c>
      <c r="I29" s="43" t="str">
        <f t="shared" si="4"/>
        <v>n/m</v>
      </c>
      <c r="J29" s="44" t="str">
        <f t="shared" si="4"/>
        <v>n/m</v>
      </c>
      <c r="K29" s="1"/>
      <c r="L29" s="1"/>
    </row>
    <row r="30" ht="15" customHeight="1">
      <c r="A30" s="1"/>
      <c r="B30" s="1" t="s">
        <v>90</v>
      </c>
      <c r="C30" s="18"/>
      <c r="D30" s="18">
        <f t="shared" si="5"/>
        <v>-50</v>
      </c>
      <c r="E30" s="18">
        <f t="shared" si="5"/>
        <v>0</v>
      </c>
      <c r="F30" s="18">
        <f t="shared" si="5"/>
        <v>0</v>
      </c>
      <c r="G30" s="18"/>
      <c r="H30" s="18">
        <f t="shared" si="11"/>
        <v>0</v>
      </c>
      <c r="I30" s="18">
        <f t="shared" si="5"/>
        <v>0</v>
      </c>
      <c r="J30" s="36">
        <f t="shared" si="5"/>
        <v>0</v>
      </c>
      <c r="K30" s="1"/>
      <c r="L30" s="1"/>
    </row>
    <row r="31" ht="15" customHeight="1">
      <c r="A31" s="1"/>
      <c r="B31" s="1" t="s">
        <v>613</v>
      </c>
      <c r="C31" s="78">
        <f t="shared" si="13" ref="C31:J31">_xlfn.IFERROR(C28/C25,"n/a")</f>
        <v>126.26262626262626</v>
      </c>
      <c r="D31" s="78" t="str">
        <f t="shared" si="13"/>
        <v>n/a</v>
      </c>
      <c r="E31" s="78" t="str">
        <f t="shared" si="13"/>
        <v>n/a</v>
      </c>
      <c r="F31" s="78" t="str">
        <f t="shared" si="13"/>
        <v>n/a</v>
      </c>
      <c r="G31" s="78">
        <f t="shared" si="13"/>
        <v>126.26262626262626</v>
      </c>
      <c r="H31" s="78" t="str">
        <f t="shared" si="13"/>
        <v>n/a</v>
      </c>
      <c r="I31" s="78" t="str">
        <f t="shared" si="13"/>
        <v>n/a</v>
      </c>
      <c r="J31" s="79" t="str">
        <f t="shared" si="13"/>
        <v>n/a</v>
      </c>
      <c r="K31" s="1"/>
      <c r="L31" s="1"/>
    </row>
    <row r="32" ht="15" customHeight="1">
      <c r="A32" s="1"/>
      <c r="B32" s="1" t="s">
        <v>614</v>
      </c>
      <c r="C32" s="76">
        <v>0.63</v>
      </c>
      <c r="D32" s="76">
        <v>1.36</v>
      </c>
      <c r="E32" s="76">
        <v>0</v>
      </c>
      <c r="F32" s="76">
        <v>0.68</v>
      </c>
      <c r="G32" s="23">
        <f t="shared" si="12"/>
        <v>2.67</v>
      </c>
      <c r="H32" s="76">
        <v>0.68</v>
      </c>
      <c r="I32" s="76">
        <v>1.46</v>
      </c>
      <c r="J32" s="80">
        <v>0.73</v>
      </c>
      <c r="K32" s="1" t="s">
        <v>81</v>
      </c>
      <c r="L32" s="1" t="s">
        <v>615</v>
      </c>
    </row>
    <row r="33" ht="15" customHeight="1">
      <c r="A33" s="1"/>
      <c r="B33" s="5" t="s">
        <v>73</v>
      </c>
      <c r="C33" s="43"/>
      <c r="D33" s="43"/>
      <c r="E33" s="43"/>
      <c r="F33" s="43"/>
      <c r="G33" s="43"/>
      <c r="H33" s="43">
        <f t="shared" si="4"/>
        <v>0.07936507936507953</v>
      </c>
      <c r="I33" s="43">
        <f t="shared" si="4"/>
        <v>0.07352941176470584</v>
      </c>
      <c r="J33" s="44" t="str">
        <f t="shared" si="4"/>
        <v>n/m</v>
      </c>
      <c r="K33" s="1"/>
      <c r="L33" s="1"/>
    </row>
    <row r="34" ht="15" customHeight="1">
      <c r="A34" s="1"/>
      <c r="B34" s="1" t="s">
        <v>361</v>
      </c>
      <c r="C34" s="23"/>
      <c r="D34" s="23">
        <f t="shared" si="5"/>
        <v>0.7300000000000001</v>
      </c>
      <c r="E34" s="23">
        <f t="shared" si="5"/>
        <v>-1.36</v>
      </c>
      <c r="F34" s="23">
        <f t="shared" si="5"/>
        <v>0.68</v>
      </c>
      <c r="G34" s="23"/>
      <c r="H34" s="23">
        <f t="shared" si="11"/>
        <v>0</v>
      </c>
      <c r="I34" s="23">
        <f t="shared" si="5"/>
        <v>0.7799999999999999</v>
      </c>
      <c r="J34" s="73">
        <f t="shared" si="5"/>
        <v>-0.73</v>
      </c>
      <c r="K34" s="1"/>
      <c r="L34" s="1"/>
    </row>
    <row r="35" ht="15" customHeight="1">
      <c r="A35" s="1"/>
      <c r="B35" s="1" t="s">
        <v>616</v>
      </c>
      <c r="C35" s="17">
        <f>-'Cash Flow Statement'!C84</f>
        <v>840</v>
      </c>
      <c r="D35" s="17">
        <f>-'Cash Flow Statement'!D84</f>
        <v>910</v>
      </c>
      <c r="E35" s="17">
        <f>-'Cash Flow Statement'!E84</f>
        <v>910</v>
      </c>
      <c r="F35" s="17">
        <f>-'Cash Flow Statement'!F84</f>
        <v>914</v>
      </c>
      <c r="G35" s="17">
        <f>-'Cash Flow Statement'!G84</f>
        <v>3574</v>
      </c>
      <c r="H35" s="17">
        <f>-'Cash Flow Statement'!H84</f>
        <v>915</v>
      </c>
      <c r="I35" s="17">
        <f>-'Cash Flow Statement'!I84</f>
        <v>983</v>
      </c>
      <c r="J35" s="36">
        <f>J32*J11</f>
        <v>987.106</v>
      </c>
      <c r="K35" s="1"/>
      <c r="L35" s="1" t="s">
        <v>617</v>
      </c>
    </row>
    <row r="36" ht="15" customHeight="1">
      <c r="A36" s="1"/>
      <c r="B36" s="5" t="s">
        <v>73</v>
      </c>
      <c r="C36" s="19"/>
      <c r="D36" s="19"/>
      <c r="E36" s="19"/>
      <c r="F36" s="19"/>
      <c r="G36" s="19"/>
      <c r="H36" s="19">
        <f t="shared" si="4"/>
        <v>0.08928571428571419</v>
      </c>
      <c r="I36" s="19">
        <f t="shared" si="4"/>
        <v>0.08021978021978016</v>
      </c>
      <c r="J36" s="32">
        <f t="shared" si="4"/>
        <v>0.08473186813186806</v>
      </c>
      <c r="K36" s="1"/>
      <c r="L36" s="1"/>
    </row>
    <row r="37" ht="15" customHeight="1">
      <c r="A37" s="1"/>
      <c r="B37" s="1" t="s">
        <v>90</v>
      </c>
      <c r="C37" s="18"/>
      <c r="D37" s="18">
        <f t="shared" si="5"/>
        <v>70</v>
      </c>
      <c r="E37" s="18">
        <f t="shared" si="5"/>
        <v>0</v>
      </c>
      <c r="F37" s="18">
        <f t="shared" si="5"/>
        <v>4</v>
      </c>
      <c r="G37" s="18"/>
      <c r="H37" s="18">
        <f t="shared" si="11"/>
        <v>1</v>
      </c>
      <c r="I37" s="18">
        <f t="shared" si="5"/>
        <v>68</v>
      </c>
      <c r="J37" s="36">
        <f t="shared" si="5"/>
        <v>4.1059999999999945</v>
      </c>
      <c r="K37" s="1"/>
      <c r="L37" s="1"/>
    </row>
    <row r="38" ht="15" customHeight="1">
      <c r="A38" s="1"/>
      <c r="B38" s="1"/>
      <c r="C38" s="1"/>
      <c r="D38" s="1"/>
      <c r="E38" s="1"/>
      <c r="F38" s="1"/>
      <c r="G38" s="1"/>
      <c r="H38" s="1"/>
      <c r="I38" s="1"/>
      <c r="J38" s="29"/>
      <c r="K38" s="1"/>
      <c r="L38" s="1"/>
    </row>
    <row r="39" ht="15" customHeight="1">
      <c r="A39" s="1"/>
      <c r="B39" s="4" t="s">
        <v>618</v>
      </c>
      <c r="C39" s="1"/>
      <c r="D39" s="1"/>
      <c r="E39" s="1"/>
      <c r="F39" s="1"/>
      <c r="G39" s="1"/>
      <c r="H39" s="1"/>
      <c r="I39" s="1"/>
      <c r="J39" s="29"/>
      <c r="K39" s="1"/>
      <c r="L39" s="1"/>
    </row>
    <row r="40" ht="15" customHeight="1">
      <c r="A40" s="1"/>
      <c r="B40" s="4" t="s">
        <v>619</v>
      </c>
      <c r="C40" s="33"/>
      <c r="D40" s="33"/>
      <c r="E40" s="33"/>
      <c r="F40" s="33"/>
      <c r="G40" s="33"/>
      <c r="H40" s="33"/>
      <c r="I40" s="33"/>
      <c r="J40" s="34">
        <f>J14</f>
        <v>1366.7</v>
      </c>
      <c r="K40" s="1"/>
      <c r="L40" s="1"/>
    </row>
    <row r="41" ht="15" customHeight="1">
      <c r="A41" s="1"/>
      <c r="B41" s="1"/>
      <c r="C41" s="1"/>
      <c r="D41" s="1"/>
      <c r="E41" s="1"/>
      <c r="F41" s="1"/>
      <c r="G41" s="1"/>
      <c r="H41" s="1"/>
      <c r="I41" s="1"/>
      <c r="J41" s="29"/>
      <c r="K41" s="1"/>
      <c r="L41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C157637-E8A8-2718-39F2-342063951BF4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6.00390625" customWidth="1"/>
    <col min="3" max="10" width="12.00390625" customWidth="1"/>
    <col min="11" max="11" width="20.00390625" customWidth="1"/>
    <col min="12" max="12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4" t="s">
        <v>620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ht="15" customHeight="1">
      <c r="A6" s="1"/>
      <c r="B6" s="6" t="s">
        <v>621</v>
      </c>
      <c r="C6" s="7" t="s">
        <v>622</v>
      </c>
      <c r="D6" s="7" t="s">
        <v>4</v>
      </c>
      <c r="E6" s="7" t="s">
        <v>623</v>
      </c>
      <c r="F6" s="7" t="s">
        <v>624</v>
      </c>
      <c r="G6" s="7" t="s">
        <v>625</v>
      </c>
      <c r="H6" s="7" t="s">
        <v>626</v>
      </c>
      <c r="I6" s="7" t="s">
        <v>627</v>
      </c>
      <c r="J6" s="7" t="s">
        <v>628</v>
      </c>
      <c r="K6" s="81" t="s">
        <v>13</v>
      </c>
      <c r="L6" s="81" t="s">
        <v>14</v>
      </c>
    </row>
    <row r="7" ht="15" customHeight="1">
      <c r="A7" s="1"/>
      <c r="B7" s="9" t="s">
        <v>629</v>
      </c>
      <c r="C7" s="82" t="s">
        <v>630</v>
      </c>
      <c r="D7" s="82"/>
      <c r="E7" s="82"/>
      <c r="F7" s="82"/>
      <c r="G7" s="82"/>
      <c r="H7" s="82"/>
      <c r="I7" s="82"/>
      <c r="J7" s="82"/>
      <c r="K7" s="9"/>
      <c r="L7" s="9"/>
    </row>
    <row r="8" ht="15" customHeight="1">
      <c r="A8" s="1"/>
      <c r="B8" s="12"/>
      <c r="C8" s="83"/>
      <c r="D8" s="83"/>
      <c r="E8" s="83"/>
      <c r="F8" s="83"/>
      <c r="G8" s="83"/>
      <c r="H8" s="83"/>
      <c r="I8" s="83"/>
      <c r="J8" s="83"/>
      <c r="K8" s="12"/>
      <c r="L8" s="12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21" customHeight="1">
      <c r="A10" s="1"/>
      <c r="B10" s="15" t="s">
        <v>38</v>
      </c>
      <c r="C10" s="16" t="s">
        <v>622</v>
      </c>
      <c r="D10" s="16" t="s">
        <v>4</v>
      </c>
      <c r="E10" s="16" t="s">
        <v>623</v>
      </c>
      <c r="F10" s="16" t="s">
        <v>624</v>
      </c>
      <c r="G10" s="16" t="s">
        <v>625</v>
      </c>
      <c r="H10" s="16" t="s">
        <v>626</v>
      </c>
      <c r="I10" s="16" t="s">
        <v>627</v>
      </c>
      <c r="J10" s="16" t="s">
        <v>628</v>
      </c>
      <c r="K10" s="15" t="s">
        <v>13</v>
      </c>
      <c r="L10" s="15" t="s">
        <v>14</v>
      </c>
    </row>
    <row r="11" ht="15" customHeight="1">
      <c r="A11" s="1"/>
      <c r="B11" s="1" t="s">
        <v>631</v>
      </c>
      <c r="C11" s="84" t="s">
        <v>632</v>
      </c>
      <c r="D11" s="37" t="s">
        <v>633</v>
      </c>
      <c r="E11" s="35">
        <v>83000</v>
      </c>
      <c r="F11" s="35">
        <v>84000</v>
      </c>
      <c r="G11" s="18">
        <f t="shared" si="0" ref="G11:G43">AVERAGE(E11:F11)</f>
        <v>83500</v>
      </c>
      <c r="H11" s="17">
        <f>'Revenue summary'!G50</f>
        <v>88603</v>
      </c>
      <c r="I11" s="55" t="str">
        <f t="shared" si="1" ref="I11:I43">IF(H11="","n/a (open)",IF(H11&gt;F11,"Beat",IF(H11&lt;E11,"Miss","In range")))</f>
        <v>Beat</v>
      </c>
      <c r="J11" s="19">
        <f t="shared" si="2" ref="J11:J43">IF(H11="","n/a",H11/G11-1)</f>
        <v>0.061113772455089865</v>
      </c>
      <c r="K11" s="1" t="s">
        <v>635</v>
      </c>
      <c r="L11" s="1" t="s">
        <v>636</v>
      </c>
    </row>
    <row r="12" ht="15" customHeight="1">
      <c r="A12" s="1"/>
      <c r="B12" s="1" t="s">
        <v>637</v>
      </c>
      <c r="C12" s="84" t="s">
        <v>632</v>
      </c>
      <c r="D12" s="37" t="s">
        <v>633</v>
      </c>
      <c r="E12" s="85">
        <v>0.04</v>
      </c>
      <c r="F12" s="85">
        <v>0.06</v>
      </c>
      <c r="G12" s="86">
        <f t="shared" si="0"/>
        <v>0.05</v>
      </c>
      <c r="H12" s="87">
        <f>'Revenue summary'!G74/'Revenue summary'!G52</f>
        <v>0.11006336006336007</v>
      </c>
      <c r="I12" s="55" t="str">
        <f t="shared" si="1"/>
        <v>Beat</v>
      </c>
      <c r="J12" s="19">
        <f t="shared" si="3" ref="J12:J38">IF(H12="","n/a",H12-G12)</f>
        <v>0.06006336006336006</v>
      </c>
      <c r="K12" s="1" t="s">
        <v>635</v>
      </c>
      <c r="L12" s="1"/>
    </row>
    <row r="13" ht="15" customHeight="1">
      <c r="A13" s="1"/>
      <c r="B13" s="1" t="s">
        <v>638</v>
      </c>
      <c r="C13" s="84" t="s">
        <v>632</v>
      </c>
      <c r="D13" s="37" t="s">
        <v>633</v>
      </c>
      <c r="E13" s="76">
        <v>6</v>
      </c>
      <c r="F13" s="76">
        <v>6.15</v>
      </c>
      <c r="G13" s="23">
        <f t="shared" si="0"/>
        <v>6.075</v>
      </c>
      <c r="H13" s="22">
        <f>'Income Statement'!G192</f>
        <v>6.28944264228841</v>
      </c>
      <c r="I13" s="78" t="str">
        <f t="shared" si="1"/>
        <v>Beat</v>
      </c>
      <c r="J13" s="19">
        <f t="shared" si="2"/>
        <v>0.035299200376692985</v>
      </c>
      <c r="K13" s="1" t="s">
        <v>635</v>
      </c>
      <c r="L13" s="1"/>
    </row>
    <row r="14" ht="15" customHeight="1">
      <c r="A14" s="1"/>
      <c r="B14" s="1" t="s">
        <v>639</v>
      </c>
      <c r="C14" s="84" t="s">
        <v>632</v>
      </c>
      <c r="D14" s="37" t="s">
        <v>633</v>
      </c>
      <c r="E14" s="35">
        <v>7000</v>
      </c>
      <c r="F14" s="35">
        <v>7500</v>
      </c>
      <c r="G14" s="18">
        <f t="shared" si="0"/>
        <v>7250</v>
      </c>
      <c r="H14" s="17">
        <f>'Cash Flow Statement'!G111</f>
        <v>7940</v>
      </c>
      <c r="I14" s="55" t="str">
        <f t="shared" si="1"/>
        <v>Beat</v>
      </c>
      <c r="J14" s="19">
        <f t="shared" si="2"/>
        <v>0.09517241379310337</v>
      </c>
      <c r="K14" s="1" t="s">
        <v>635</v>
      </c>
      <c r="L14" s="1"/>
    </row>
    <row r="15" ht="15" customHeight="1">
      <c r="A15" s="1"/>
      <c r="B15" s="1" t="s">
        <v>631</v>
      </c>
      <c r="C15" s="84" t="s">
        <v>640</v>
      </c>
      <c r="D15" s="37" t="s">
        <v>633</v>
      </c>
      <c r="E15" s="35">
        <v>84750</v>
      </c>
      <c r="F15" s="35">
        <v>85500</v>
      </c>
      <c r="G15" s="18">
        <f t="shared" si="0"/>
        <v>85125</v>
      </c>
      <c r="H15" s="17">
        <f>'Revenue summary'!G50</f>
        <v>88603</v>
      </c>
      <c r="I15" s="55" t="str">
        <f t="shared" si="1"/>
        <v>Beat</v>
      </c>
      <c r="J15" s="19">
        <f t="shared" si="2"/>
        <v>0.04085756240822325</v>
      </c>
      <c r="K15" s="1" t="s">
        <v>415</v>
      </c>
      <c r="L15" s="1" t="s">
        <v>641</v>
      </c>
    </row>
    <row r="16" ht="15" customHeight="1">
      <c r="A16" s="1"/>
      <c r="B16" s="1" t="s">
        <v>637</v>
      </c>
      <c r="C16" s="84" t="s">
        <v>640</v>
      </c>
      <c r="D16" s="37" t="s">
        <v>633</v>
      </c>
      <c r="E16" s="85">
        <v>0.06</v>
      </c>
      <c r="F16" s="85">
        <v>0.07</v>
      </c>
      <c r="G16" s="86">
        <f t="shared" si="0"/>
        <v>0.065</v>
      </c>
      <c r="H16" s="87">
        <f>'Revenue summary'!G74/'Revenue summary'!G52</f>
        <v>0.11006336006336007</v>
      </c>
      <c r="I16" s="55" t="str">
        <f t="shared" si="1"/>
        <v>Beat</v>
      </c>
      <c r="J16" s="19">
        <f t="shared" si="3"/>
        <v>0.045063360063360064</v>
      </c>
      <c r="K16" s="1" t="s">
        <v>415</v>
      </c>
      <c r="L16" s="1"/>
    </row>
    <row r="17" ht="15" customHeight="1">
      <c r="A17" s="1"/>
      <c r="B17" s="1" t="s">
        <v>638</v>
      </c>
      <c r="C17" s="84" t="s">
        <v>640</v>
      </c>
      <c r="D17" s="37" t="s">
        <v>633</v>
      </c>
      <c r="E17" s="76">
        <v>5.8</v>
      </c>
      <c r="F17" s="76">
        <v>5.95</v>
      </c>
      <c r="G17" s="23">
        <f t="shared" si="0"/>
        <v>5.875</v>
      </c>
      <c r="H17" s="22">
        <f>'Income Statement'!G192</f>
        <v>6.28944264228841</v>
      </c>
      <c r="I17" s="78" t="str">
        <f t="shared" si="1"/>
        <v>Beat</v>
      </c>
      <c r="J17" s="19">
        <f t="shared" si="2"/>
        <v>0.07054342847462292</v>
      </c>
      <c r="K17" s="1" t="s">
        <v>415</v>
      </c>
      <c r="L17" s="1" t="s">
        <v>642</v>
      </c>
    </row>
    <row r="18" ht="15" customHeight="1">
      <c r="A18" s="1"/>
      <c r="B18" s="1" t="s">
        <v>639</v>
      </c>
      <c r="C18" s="84" t="s">
        <v>640</v>
      </c>
      <c r="D18" s="37" t="s">
        <v>633</v>
      </c>
      <c r="E18" s="35">
        <v>7000</v>
      </c>
      <c r="F18" s="35">
        <v>7500</v>
      </c>
      <c r="G18" s="18">
        <f t="shared" si="0"/>
        <v>7250</v>
      </c>
      <c r="H18" s="17">
        <f>'Cash Flow Statement'!G111</f>
        <v>7940</v>
      </c>
      <c r="I18" s="55" t="str">
        <f t="shared" si="1"/>
        <v>Beat</v>
      </c>
      <c r="J18" s="19">
        <f t="shared" si="2"/>
        <v>0.09517241379310337</v>
      </c>
      <c r="K18" s="1" t="s">
        <v>415</v>
      </c>
      <c r="L18" s="1" t="s">
        <v>643</v>
      </c>
    </row>
    <row r="19" ht="15" customHeight="1">
      <c r="A19" s="1"/>
      <c r="B19" s="1" t="s">
        <v>631</v>
      </c>
      <c r="C19" s="84" t="s">
        <v>644</v>
      </c>
      <c r="D19" s="37" t="s">
        <v>633</v>
      </c>
      <c r="E19" s="35">
        <v>86500</v>
      </c>
      <c r="F19" s="35">
        <v>87000</v>
      </c>
      <c r="G19" s="18">
        <f t="shared" si="0"/>
        <v>86750</v>
      </c>
      <c r="H19" s="17">
        <f>'Revenue summary'!G50</f>
        <v>88603</v>
      </c>
      <c r="I19" s="55" t="str">
        <f t="shared" si="1"/>
        <v>Beat</v>
      </c>
      <c r="J19" s="19">
        <f t="shared" si="2"/>
        <v>0.02136023054755043</v>
      </c>
      <c r="K19" s="1" t="s">
        <v>645</v>
      </c>
      <c r="L19" s="1" t="s">
        <v>646</v>
      </c>
    </row>
    <row r="20" ht="15" customHeight="1">
      <c r="A20" s="1"/>
      <c r="B20" s="1" t="s">
        <v>637</v>
      </c>
      <c r="C20" s="84" t="s">
        <v>644</v>
      </c>
      <c r="D20" s="37" t="s">
        <v>633</v>
      </c>
      <c r="E20" s="85">
        <v>0.08</v>
      </c>
      <c r="F20" s="85">
        <v>0.09</v>
      </c>
      <c r="G20" s="86">
        <f t="shared" si="0"/>
        <v>0.08499999999999999</v>
      </c>
      <c r="H20" s="87">
        <f>'Revenue summary'!G74/'Revenue summary'!G52</f>
        <v>0.11006336006336007</v>
      </c>
      <c r="I20" s="55" t="str">
        <f t="shared" si="1"/>
        <v>Beat</v>
      </c>
      <c r="J20" s="19">
        <f t="shared" si="3"/>
        <v>0.025063360063360074</v>
      </c>
      <c r="K20" s="1" t="s">
        <v>645</v>
      </c>
      <c r="L20" s="1"/>
    </row>
    <row r="21" ht="15" customHeight="1">
      <c r="A21" s="1"/>
      <c r="B21" s="1" t="s">
        <v>638</v>
      </c>
      <c r="C21" s="84" t="s">
        <v>644</v>
      </c>
      <c r="D21" s="37" t="s">
        <v>633</v>
      </c>
      <c r="E21" s="76">
        <v>6.1</v>
      </c>
      <c r="F21" s="76">
        <v>6.2</v>
      </c>
      <c r="G21" s="23">
        <f t="shared" si="0"/>
        <v>6.15</v>
      </c>
      <c r="H21" s="22">
        <f>'Income Statement'!G192</f>
        <v>6.28944264228841</v>
      </c>
      <c r="I21" s="78" t="str">
        <f t="shared" si="1"/>
        <v>Beat</v>
      </c>
      <c r="J21" s="19">
        <f t="shared" si="2"/>
        <v>0.02267360037209909</v>
      </c>
      <c r="K21" s="1" t="s">
        <v>645</v>
      </c>
      <c r="L21" s="1" t="s">
        <v>646</v>
      </c>
    </row>
    <row r="22" ht="15" customHeight="1">
      <c r="A22" s="1"/>
      <c r="B22" s="1" t="s">
        <v>639</v>
      </c>
      <c r="C22" s="84" t="s">
        <v>644</v>
      </c>
      <c r="D22" s="37" t="s">
        <v>633</v>
      </c>
      <c r="E22" s="35">
        <v>7000</v>
      </c>
      <c r="F22" s="35">
        <v>7500</v>
      </c>
      <c r="G22" s="18">
        <f t="shared" si="0"/>
        <v>7250</v>
      </c>
      <c r="H22" s="17">
        <f>'Cash Flow Statement'!G111</f>
        <v>7940</v>
      </c>
      <c r="I22" s="55" t="str">
        <f t="shared" si="1"/>
        <v>Beat</v>
      </c>
      <c r="J22" s="19">
        <f t="shared" si="2"/>
        <v>0.09517241379310337</v>
      </c>
      <c r="K22" s="1" t="s">
        <v>645</v>
      </c>
      <c r="L22" s="1" t="s">
        <v>643</v>
      </c>
    </row>
    <row r="23" ht="15" customHeight="1">
      <c r="A23" s="1"/>
      <c r="B23" s="1" t="s">
        <v>631</v>
      </c>
      <c r="C23" s="84" t="s">
        <v>647</v>
      </c>
      <c r="D23" s="37" t="s">
        <v>648</v>
      </c>
      <c r="E23" s="35">
        <v>92000</v>
      </c>
      <c r="F23" s="35">
        <v>93000</v>
      </c>
      <c r="G23" s="18">
        <f t="shared" si="0"/>
        <v>92500</v>
      </c>
      <c r="H23" s="18"/>
      <c r="I23" s="37" t="str">
        <f t="shared" si="1"/>
        <v>n/a (open)</v>
      </c>
      <c r="J23" s="43" t="str">
        <f t="shared" si="2"/>
        <v>n/a</v>
      </c>
      <c r="K23" s="1" t="s">
        <v>650</v>
      </c>
      <c r="L23" s="1" t="s">
        <v>651</v>
      </c>
    </row>
    <row r="24" ht="15" customHeight="1">
      <c r="A24" s="1"/>
      <c r="B24" s="1" t="s">
        <v>637</v>
      </c>
      <c r="C24" s="84" t="s">
        <v>647</v>
      </c>
      <c r="D24" s="37" t="s">
        <v>648</v>
      </c>
      <c r="E24" s="85">
        <v>0.05</v>
      </c>
      <c r="F24" s="85">
        <v>0.06</v>
      </c>
      <c r="G24" s="86">
        <f t="shared" si="0"/>
        <v>0.055</v>
      </c>
      <c r="H24" s="86"/>
      <c r="I24" s="37" t="str">
        <f t="shared" si="1"/>
        <v>n/a (open)</v>
      </c>
      <c r="J24" s="43" t="str">
        <f t="shared" si="3"/>
        <v>n/a</v>
      </c>
      <c r="K24" s="1" t="s">
        <v>650</v>
      </c>
      <c r="L24" s="1"/>
    </row>
    <row r="25" ht="15" customHeight="1">
      <c r="A25" s="1"/>
      <c r="B25" s="1" t="s">
        <v>638</v>
      </c>
      <c r="C25" s="84" t="s">
        <v>647</v>
      </c>
      <c r="D25" s="37" t="s">
        <v>648</v>
      </c>
      <c r="E25" s="76">
        <v>6.6</v>
      </c>
      <c r="F25" s="76">
        <v>6.8</v>
      </c>
      <c r="G25" s="23">
        <f t="shared" si="0"/>
        <v>6.699999999999999</v>
      </c>
      <c r="H25" s="23"/>
      <c r="I25" s="37" t="str">
        <f t="shared" si="1"/>
        <v>n/a (open)</v>
      </c>
      <c r="J25" s="43" t="str">
        <f t="shared" si="2"/>
        <v>n/a</v>
      </c>
      <c r="K25" s="1" t="s">
        <v>650</v>
      </c>
      <c r="L25" s="1"/>
    </row>
    <row r="26" ht="15" customHeight="1">
      <c r="A26" s="1"/>
      <c r="B26" s="1" t="s">
        <v>639</v>
      </c>
      <c r="C26" s="84" t="s">
        <v>647</v>
      </c>
      <c r="D26" s="37" t="s">
        <v>648</v>
      </c>
      <c r="E26" s="35">
        <v>8250</v>
      </c>
      <c r="F26" s="35">
        <v>8750</v>
      </c>
      <c r="G26" s="18">
        <f t="shared" si="0"/>
        <v>8500</v>
      </c>
      <c r="H26" s="18"/>
      <c r="I26" s="37" t="str">
        <f t="shared" si="1"/>
        <v>n/a (open)</v>
      </c>
      <c r="J26" s="43" t="str">
        <f t="shared" si="2"/>
        <v>n/a</v>
      </c>
      <c r="K26" s="1" t="s">
        <v>650</v>
      </c>
      <c r="L26" s="1"/>
    </row>
    <row r="27" ht="15" customHeight="1">
      <c r="A27" s="1"/>
      <c r="B27" s="1" t="s">
        <v>631</v>
      </c>
      <c r="C27" s="84" t="s">
        <v>652</v>
      </c>
      <c r="D27" s="37" t="s">
        <v>648</v>
      </c>
      <c r="E27" s="35">
        <v>92500</v>
      </c>
      <c r="F27" s="35">
        <v>93500</v>
      </c>
      <c r="G27" s="18">
        <f t="shared" si="0"/>
        <v>93000</v>
      </c>
      <c r="H27" s="18"/>
      <c r="I27" s="37" t="str">
        <f t="shared" si="1"/>
        <v>n/a (open)</v>
      </c>
      <c r="J27" s="43" t="str">
        <f t="shared" si="2"/>
        <v>n/a</v>
      </c>
      <c r="K27" s="1" t="s">
        <v>653</v>
      </c>
      <c r="L27" s="1" t="s">
        <v>646</v>
      </c>
    </row>
    <row r="28" ht="15" customHeight="1">
      <c r="A28" s="1"/>
      <c r="B28" s="1" t="s">
        <v>637</v>
      </c>
      <c r="C28" s="84" t="s">
        <v>652</v>
      </c>
      <c r="D28" s="37" t="s">
        <v>648</v>
      </c>
      <c r="E28" s="85">
        <v>0.05</v>
      </c>
      <c r="F28" s="85">
        <v>0.06</v>
      </c>
      <c r="G28" s="86">
        <f t="shared" si="0"/>
        <v>0.055</v>
      </c>
      <c r="H28" s="86"/>
      <c r="I28" s="37" t="str">
        <f t="shared" si="1"/>
        <v>n/a (open)</v>
      </c>
      <c r="J28" s="43" t="str">
        <f t="shared" si="3"/>
        <v>n/a</v>
      </c>
      <c r="K28" s="1" t="s">
        <v>653</v>
      </c>
      <c r="L28" s="1" t="s">
        <v>654</v>
      </c>
    </row>
    <row r="29" ht="15" customHeight="1">
      <c r="A29" s="1"/>
      <c r="B29" s="1" t="s">
        <v>638</v>
      </c>
      <c r="C29" s="84" t="s">
        <v>652</v>
      </c>
      <c r="D29" s="37" t="s">
        <v>648</v>
      </c>
      <c r="E29" s="76">
        <v>6.7</v>
      </c>
      <c r="F29" s="76">
        <v>6.9</v>
      </c>
      <c r="G29" s="23">
        <f t="shared" si="0"/>
        <v>6.800000000000001</v>
      </c>
      <c r="H29" s="23"/>
      <c r="I29" s="37" t="str">
        <f t="shared" si="1"/>
        <v>n/a (open)</v>
      </c>
      <c r="J29" s="43" t="str">
        <f t="shared" si="2"/>
        <v>n/a</v>
      </c>
      <c r="K29" s="1" t="s">
        <v>653</v>
      </c>
      <c r="L29" s="1" t="s">
        <v>646</v>
      </c>
    </row>
    <row r="30" ht="15" customHeight="1">
      <c r="A30" s="1"/>
      <c r="B30" s="1" t="s">
        <v>639</v>
      </c>
      <c r="C30" s="84" t="s">
        <v>652</v>
      </c>
      <c r="D30" s="37" t="s">
        <v>648</v>
      </c>
      <c r="E30" s="35">
        <v>8250</v>
      </c>
      <c r="F30" s="35">
        <v>8750</v>
      </c>
      <c r="G30" s="18">
        <f t="shared" si="0"/>
        <v>8500</v>
      </c>
      <c r="H30" s="18"/>
      <c r="I30" s="37" t="str">
        <f t="shared" si="1"/>
        <v>n/a (open)</v>
      </c>
      <c r="J30" s="43" t="str">
        <f t="shared" si="2"/>
        <v>n/a</v>
      </c>
      <c r="K30" s="1" t="s">
        <v>653</v>
      </c>
      <c r="L30" s="1" t="s">
        <v>643</v>
      </c>
    </row>
    <row r="31" ht="15" customHeight="1">
      <c r="A31" s="1"/>
      <c r="B31" s="1" t="s">
        <v>631</v>
      </c>
      <c r="C31" s="84" t="s">
        <v>655</v>
      </c>
      <c r="D31" s="37" t="s">
        <v>648</v>
      </c>
      <c r="E31" s="35">
        <v>95000</v>
      </c>
      <c r="F31" s="35">
        <v>96000</v>
      </c>
      <c r="G31" s="18">
        <f t="shared" si="0"/>
        <v>95500</v>
      </c>
      <c r="H31" s="18"/>
      <c r="I31" s="37" t="str">
        <f t="shared" si="1"/>
        <v>n/a (open)</v>
      </c>
      <c r="J31" s="43" t="str">
        <f t="shared" si="2"/>
        <v>n/a</v>
      </c>
      <c r="K31" s="1" t="s">
        <v>656</v>
      </c>
      <c r="L31" s="1" t="s">
        <v>657</v>
      </c>
    </row>
    <row r="32" ht="15" customHeight="1">
      <c r="A32" s="1"/>
      <c r="B32" s="1" t="s">
        <v>637</v>
      </c>
      <c r="C32" s="84" t="s">
        <v>655</v>
      </c>
      <c r="D32" s="37" t="s">
        <v>648</v>
      </c>
      <c r="E32" s="85">
        <v>0.08</v>
      </c>
      <c r="F32" s="85">
        <v>0.09</v>
      </c>
      <c r="G32" s="86">
        <f t="shared" si="0"/>
        <v>0.08499999999999999</v>
      </c>
      <c r="H32" s="86"/>
      <c r="I32" s="37" t="str">
        <f t="shared" si="1"/>
        <v>n/a (open)</v>
      </c>
      <c r="J32" s="43" t="str">
        <f t="shared" si="3"/>
        <v>n/a</v>
      </c>
      <c r="K32" s="1" t="s">
        <v>656</v>
      </c>
      <c r="L32" s="1" t="s">
        <v>646</v>
      </c>
    </row>
    <row r="33" ht="15" customHeight="1">
      <c r="A33" s="1"/>
      <c r="B33" s="1" t="s">
        <v>638</v>
      </c>
      <c r="C33" s="84" t="s">
        <v>655</v>
      </c>
      <c r="D33" s="37" t="s">
        <v>648</v>
      </c>
      <c r="E33" s="76">
        <v>7.1</v>
      </c>
      <c r="F33" s="76">
        <v>7.25</v>
      </c>
      <c r="G33" s="23">
        <f t="shared" si="0"/>
        <v>7.175</v>
      </c>
      <c r="H33" s="23"/>
      <c r="I33" s="37" t="str">
        <f t="shared" si="1"/>
        <v>n/a (open)</v>
      </c>
      <c r="J33" s="43" t="str">
        <f t="shared" si="2"/>
        <v>n/a</v>
      </c>
      <c r="K33" s="1" t="s">
        <v>656</v>
      </c>
      <c r="L33" s="1" t="s">
        <v>658</v>
      </c>
    </row>
    <row r="34" ht="15" customHeight="1">
      <c r="A34" s="1"/>
      <c r="B34" s="1" t="s">
        <v>639</v>
      </c>
      <c r="C34" s="84" t="s">
        <v>655</v>
      </c>
      <c r="D34" s="37" t="s">
        <v>648</v>
      </c>
      <c r="E34" s="35">
        <v>8500</v>
      </c>
      <c r="F34" s="35">
        <v>8750</v>
      </c>
      <c r="G34" s="18">
        <f t="shared" si="0"/>
        <v>8625</v>
      </c>
      <c r="H34" s="18"/>
      <c r="I34" s="37" t="str">
        <f t="shared" si="1"/>
        <v>n/a (open)</v>
      </c>
      <c r="J34" s="43" t="str">
        <f t="shared" si="2"/>
        <v>n/a</v>
      </c>
      <c r="K34" s="1" t="s">
        <v>656</v>
      </c>
      <c r="L34" s="1" t="s">
        <v>646</v>
      </c>
    </row>
    <row r="35" ht="15" customHeight="1">
      <c r="A35" s="1"/>
      <c r="B35" s="1" t="s">
        <v>659</v>
      </c>
      <c r="C35" s="84" t="s">
        <v>655</v>
      </c>
      <c r="D35" s="37" t="s">
        <v>648</v>
      </c>
      <c r="E35" s="35">
        <v>550</v>
      </c>
      <c r="F35" s="35">
        <v>625</v>
      </c>
      <c r="G35" s="18">
        <f t="shared" si="0"/>
        <v>587.5</v>
      </c>
      <c r="H35" s="18"/>
      <c r="I35" s="37" t="str">
        <f t="shared" si="1"/>
        <v>n/a (open)</v>
      </c>
      <c r="J35" s="43" t="str">
        <f t="shared" si="2"/>
        <v>n/a</v>
      </c>
      <c r="K35" s="1" t="s">
        <v>261</v>
      </c>
      <c r="L35" s="1" t="s">
        <v>660</v>
      </c>
    </row>
    <row r="36" ht="15" customHeight="1">
      <c r="A36" s="1"/>
      <c r="B36" s="1" t="s">
        <v>661</v>
      </c>
      <c r="C36" s="84" t="s">
        <v>655</v>
      </c>
      <c r="D36" s="37" t="s">
        <v>648</v>
      </c>
      <c r="E36" s="35">
        <v>275</v>
      </c>
      <c r="F36" s="35">
        <v>350</v>
      </c>
      <c r="G36" s="18">
        <f t="shared" si="0"/>
        <v>312.5</v>
      </c>
      <c r="H36" s="18"/>
      <c r="I36" s="37" t="str">
        <f t="shared" si="1"/>
        <v>n/a (open)</v>
      </c>
      <c r="J36" s="43" t="str">
        <f t="shared" si="2"/>
        <v>n/a</v>
      </c>
      <c r="K36" s="1" t="s">
        <v>261</v>
      </c>
      <c r="L36" s="1" t="s">
        <v>662</v>
      </c>
    </row>
    <row r="37" ht="15" customHeight="1">
      <c r="A37" s="1"/>
      <c r="B37" s="1" t="s">
        <v>663</v>
      </c>
      <c r="C37" s="84" t="s">
        <v>655</v>
      </c>
      <c r="D37" s="37" t="s">
        <v>648</v>
      </c>
      <c r="E37" s="35">
        <v>575</v>
      </c>
      <c r="F37" s="35">
        <v>650</v>
      </c>
      <c r="G37" s="18">
        <f t="shared" si="0"/>
        <v>612.5</v>
      </c>
      <c r="H37" s="18"/>
      <c r="I37" s="37" t="str">
        <f t="shared" si="1"/>
        <v>n/a (open)</v>
      </c>
      <c r="J37" s="43" t="str">
        <f t="shared" si="2"/>
        <v>n/a</v>
      </c>
      <c r="K37" s="1" t="s">
        <v>261</v>
      </c>
      <c r="L37" s="1" t="s">
        <v>664</v>
      </c>
    </row>
    <row r="38" ht="15" customHeight="1">
      <c r="A38" s="1"/>
      <c r="B38" s="1" t="s">
        <v>435</v>
      </c>
      <c r="C38" s="84" t="s">
        <v>655</v>
      </c>
      <c r="D38" s="37" t="s">
        <v>648</v>
      </c>
      <c r="E38" s="85">
        <v>0.18</v>
      </c>
      <c r="F38" s="85">
        <v>0.185</v>
      </c>
      <c r="G38" s="86">
        <f t="shared" si="0"/>
        <v>0.1825</v>
      </c>
      <c r="H38" s="86"/>
      <c r="I38" s="37" t="str">
        <f t="shared" si="1"/>
        <v>n/a (open)</v>
      </c>
      <c r="J38" s="43" t="str">
        <f t="shared" si="3"/>
        <v>n/a</v>
      </c>
      <c r="K38" s="1" t="s">
        <v>261</v>
      </c>
      <c r="L38" s="1" t="s">
        <v>665</v>
      </c>
    </row>
    <row r="39" ht="15" customHeight="1">
      <c r="A39" s="1"/>
      <c r="B39" s="1" t="s">
        <v>666</v>
      </c>
      <c r="C39" s="84" t="s">
        <v>655</v>
      </c>
      <c r="D39" s="37" t="s">
        <v>648</v>
      </c>
      <c r="E39" s="35">
        <v>1625</v>
      </c>
      <c r="F39" s="35">
        <v>1625</v>
      </c>
      <c r="G39" s="18">
        <f t="shared" si="0"/>
        <v>1625</v>
      </c>
      <c r="H39" s="18"/>
      <c r="I39" s="37" t="str">
        <f t="shared" si="1"/>
        <v>n/a (open)</v>
      </c>
      <c r="J39" s="43" t="str">
        <f t="shared" si="2"/>
        <v>n/a</v>
      </c>
      <c r="K39" s="1" t="s">
        <v>261</v>
      </c>
      <c r="L39" s="1" t="s">
        <v>667</v>
      </c>
    </row>
    <row r="40" ht="15" customHeight="1">
      <c r="A40" s="1"/>
      <c r="B40" s="1" t="s">
        <v>668</v>
      </c>
      <c r="C40" s="84" t="s">
        <v>655</v>
      </c>
      <c r="D40" s="37" t="s">
        <v>648</v>
      </c>
      <c r="E40" s="35">
        <v>225</v>
      </c>
      <c r="F40" s="35">
        <v>225</v>
      </c>
      <c r="G40" s="18">
        <f t="shared" si="0"/>
        <v>225</v>
      </c>
      <c r="H40" s="18"/>
      <c r="I40" s="37" t="str">
        <f t="shared" si="1"/>
        <v>n/a (open)</v>
      </c>
      <c r="J40" s="43" t="str">
        <f t="shared" si="2"/>
        <v>n/a</v>
      </c>
      <c r="K40" s="1" t="s">
        <v>261</v>
      </c>
      <c r="L40" s="1" t="s">
        <v>669</v>
      </c>
    </row>
    <row r="41" ht="15" customHeight="1">
      <c r="A41" s="1"/>
      <c r="B41" s="1" t="s">
        <v>670</v>
      </c>
      <c r="C41" s="84" t="s">
        <v>655</v>
      </c>
      <c r="D41" s="37" t="s">
        <v>648</v>
      </c>
      <c r="E41" s="35">
        <v>650</v>
      </c>
      <c r="F41" s="35">
        <v>650</v>
      </c>
      <c r="G41" s="18">
        <f t="shared" si="0"/>
        <v>650</v>
      </c>
      <c r="H41" s="18"/>
      <c r="I41" s="37" t="str">
        <f t="shared" si="1"/>
        <v>n/a (open)</v>
      </c>
      <c r="J41" s="43" t="str">
        <f t="shared" si="2"/>
        <v>n/a</v>
      </c>
      <c r="K41" s="1" t="s">
        <v>261</v>
      </c>
      <c r="L41" s="1" t="s">
        <v>671</v>
      </c>
    </row>
    <row r="42" ht="15" customHeight="1">
      <c r="A42" s="1"/>
      <c r="B42" s="1" t="s">
        <v>672</v>
      </c>
      <c r="C42" s="84" t="s">
        <v>655</v>
      </c>
      <c r="D42" s="37" t="s">
        <v>648</v>
      </c>
      <c r="E42" s="35">
        <v>1400</v>
      </c>
      <c r="F42" s="35">
        <v>1400</v>
      </c>
      <c r="G42" s="18">
        <f t="shared" si="0"/>
        <v>1400</v>
      </c>
      <c r="H42" s="18"/>
      <c r="I42" s="37" t="str">
        <f t="shared" si="1"/>
        <v>n/a (open)</v>
      </c>
      <c r="J42" s="43" t="str">
        <f t="shared" si="2"/>
        <v>n/a</v>
      </c>
      <c r="K42" s="1" t="s">
        <v>261</v>
      </c>
      <c r="L42" s="1" t="s">
        <v>673</v>
      </c>
    </row>
    <row r="43" ht="15" customHeight="1">
      <c r="A43" s="1"/>
      <c r="B43" s="1" t="s">
        <v>674</v>
      </c>
      <c r="C43" s="84" t="s">
        <v>655</v>
      </c>
      <c r="D43" s="37" t="s">
        <v>648</v>
      </c>
      <c r="E43" s="35">
        <v>3100</v>
      </c>
      <c r="F43" s="35">
        <v>3100</v>
      </c>
      <c r="G43" s="18">
        <f t="shared" si="0"/>
        <v>3100</v>
      </c>
      <c r="H43" s="18"/>
      <c r="I43" s="37" t="str">
        <f t="shared" si="1"/>
        <v>n/a (open)</v>
      </c>
      <c r="J43" s="43" t="str">
        <f t="shared" si="2"/>
        <v>n/a</v>
      </c>
      <c r="K43" s="1" t="s">
        <v>261</v>
      </c>
      <c r="L43" s="1" t="s">
        <v>675</v>
      </c>
    </row>
    <row r="44" ht="1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ht="15" customHeight="1">
      <c r="A45" s="1"/>
      <c r="B45" s="4" t="s">
        <v>676</v>
      </c>
      <c r="C45" s="1"/>
      <c r="D45" s="1"/>
      <c r="E45" s="1"/>
      <c r="F45" s="1"/>
      <c r="G45" s="1"/>
      <c r="H45" s="1"/>
      <c r="I45" s="1"/>
      <c r="J45" s="1"/>
      <c r="K45" s="1"/>
      <c r="L45" s="1"/>
    </row>
    <row r="46" ht="1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ht="15" customHeight="1">
      <c r="A47" s="1"/>
      <c r="B47" s="4" t="s">
        <v>677</v>
      </c>
      <c r="C47" s="1"/>
      <c r="D47" s="1"/>
      <c r="E47" s="1"/>
      <c r="F47" s="1"/>
      <c r="G47" s="1"/>
      <c r="H47" s="1"/>
      <c r="I47" s="1"/>
      <c r="J47" s="88" t="s">
        <v>12</v>
      </c>
      <c r="K47" s="1"/>
      <c r="L47" s="1"/>
    </row>
    <row r="48" ht="15" customHeight="1">
      <c r="A48" s="1"/>
      <c r="B48" s="1" t="s">
        <v>678</v>
      </c>
      <c r="C48" s="18"/>
      <c r="D48" s="18"/>
      <c r="E48" s="18"/>
      <c r="F48" s="18"/>
      <c r="G48" s="18"/>
      <c r="H48" s="18"/>
      <c r="I48" s="18"/>
      <c r="J48" s="18">
        <f>G31</f>
        <v>95500</v>
      </c>
      <c r="K48" s="1"/>
      <c r="L48" s="1"/>
    </row>
    <row r="49" ht="15" customHeight="1">
      <c r="A49" s="1"/>
      <c r="B49" s="1" t="s">
        <v>679</v>
      </c>
      <c r="C49" s="18"/>
      <c r="D49" s="18"/>
      <c r="E49" s="18"/>
      <c r="F49" s="18"/>
      <c r="G49" s="18"/>
      <c r="H49" s="18"/>
      <c r="I49" s="18"/>
      <c r="J49" s="17">
        <f>-('Income Statement'!H19+'Income Statement'!I19)</f>
        <v>-46784</v>
      </c>
      <c r="K49" s="1"/>
      <c r="L49" s="1"/>
    </row>
    <row r="50" ht="15" customHeight="1">
      <c r="A50" s="1"/>
      <c r="B50" s="4" t="s">
        <v>680</v>
      </c>
      <c r="C50" s="33"/>
      <c r="D50" s="33"/>
      <c r="E50" s="33"/>
      <c r="F50" s="33"/>
      <c r="G50" s="33"/>
      <c r="H50" s="33"/>
      <c r="I50" s="33"/>
      <c r="J50" s="33">
        <f t="shared" si="4" ref="J50:J55">J48+J49</f>
        <v>48716</v>
      </c>
      <c r="K50" s="1"/>
      <c r="L50" s="1"/>
    </row>
    <row r="51" ht="15" customHeight="1">
      <c r="A51" s="1"/>
      <c r="B51" s="5" t="s">
        <v>681</v>
      </c>
      <c r="C51" s="19"/>
      <c r="D51" s="19"/>
      <c r="E51" s="19"/>
      <c r="F51" s="19"/>
      <c r="G51" s="19"/>
      <c r="H51" s="19"/>
      <c r="I51" s="19"/>
      <c r="J51" s="28">
        <f>'Income Statement'!E19/('Income Statement'!E19+'Income Statement'!F19)</f>
        <v>0.48116277078516995</v>
      </c>
      <c r="K51" s="1"/>
      <c r="L51" s="1"/>
    </row>
    <row r="52" ht="15" customHeight="1">
      <c r="A52" s="1"/>
      <c r="B52" s="4" t="s">
        <v>682</v>
      </c>
      <c r="C52" s="33"/>
      <c r="D52" s="33"/>
      <c r="E52" s="33"/>
      <c r="F52" s="33"/>
      <c r="G52" s="33"/>
      <c r="H52" s="33"/>
      <c r="I52" s="33"/>
      <c r="J52" s="33">
        <f t="shared" si="5" ref="J52:J57">J50*J51</f>
        <v>23440.32554157034</v>
      </c>
      <c r="K52" s="1"/>
      <c r="L52" s="1"/>
    </row>
    <row r="53" ht="15" customHeight="1">
      <c r="A53" s="1"/>
      <c r="B53" s="1" t="s">
        <v>683</v>
      </c>
      <c r="C53" s="23"/>
      <c r="D53" s="23"/>
      <c r="E53" s="23"/>
      <c r="F53" s="23"/>
      <c r="G53" s="23"/>
      <c r="H53" s="23"/>
      <c r="I53" s="23"/>
      <c r="J53" s="23">
        <f>G33</f>
        <v>7.175</v>
      </c>
      <c r="K53" s="1"/>
      <c r="L53" s="1"/>
    </row>
    <row r="54" ht="15" customHeight="1">
      <c r="A54" s="1"/>
      <c r="B54" s="1" t="s">
        <v>684</v>
      </c>
      <c r="C54" s="23"/>
      <c r="D54" s="23"/>
      <c r="E54" s="23"/>
      <c r="F54" s="23"/>
      <c r="G54" s="23"/>
      <c r="H54" s="23"/>
      <c r="I54" s="23"/>
      <c r="J54" s="22">
        <f>-('Income Statement'!H192+'Income Statement'!I192)</f>
        <v>-3.6664548212547627</v>
      </c>
      <c r="K54" s="1"/>
      <c r="L54" s="1" t="s">
        <v>685</v>
      </c>
    </row>
    <row r="55" ht="15" customHeight="1">
      <c r="A55" s="1"/>
      <c r="B55" s="4" t="s">
        <v>686</v>
      </c>
      <c r="C55" s="74"/>
      <c r="D55" s="74"/>
      <c r="E55" s="74"/>
      <c r="F55" s="74"/>
      <c r="G55" s="74"/>
      <c r="H55" s="74"/>
      <c r="I55" s="74"/>
      <c r="J55" s="74">
        <f t="shared" si="4"/>
        <v>3.508545178745237</v>
      </c>
      <c r="K55" s="1"/>
      <c r="L55" s="1"/>
    </row>
    <row r="56" ht="15" customHeight="1">
      <c r="A56" s="1"/>
      <c r="B56" s="5" t="s">
        <v>687</v>
      </c>
      <c r="C56" s="19"/>
      <c r="D56" s="19"/>
      <c r="E56" s="19"/>
      <c r="F56" s="19"/>
      <c r="G56" s="19"/>
      <c r="H56" s="19"/>
      <c r="I56" s="19"/>
      <c r="J56" s="28">
        <f>'Income Statement'!E192/('Income Statement'!E192+'Income Statement'!F192)</f>
        <v>0.5232195229934682</v>
      </c>
      <c r="K56" s="1"/>
      <c r="L56" s="1" t="s">
        <v>688</v>
      </c>
    </row>
    <row r="57" ht="15" customHeight="1">
      <c r="A57" s="1"/>
      <c r="B57" s="4" t="s">
        <v>689</v>
      </c>
      <c r="C57" s="74"/>
      <c r="D57" s="74"/>
      <c r="E57" s="74"/>
      <c r="F57" s="74"/>
      <c r="G57" s="74"/>
      <c r="H57" s="74"/>
      <c r="I57" s="74"/>
      <c r="J57" s="74">
        <f t="shared" si="5"/>
        <v>1.8357393348241156</v>
      </c>
      <c r="K57" s="1"/>
      <c r="L57" s="1" t="s">
        <v>690</v>
      </c>
    </row>
    <row r="58" ht="15" customHeight="1">
      <c r="A58" s="1"/>
      <c r="B58" s="1" t="s">
        <v>691</v>
      </c>
      <c r="C58" s="18"/>
      <c r="D58" s="18"/>
      <c r="E58" s="18"/>
      <c r="F58" s="18"/>
      <c r="G58" s="18"/>
      <c r="H58" s="18"/>
      <c r="I58" s="18"/>
      <c r="J58" s="17">
        <f>J57*'Income Statement'!J94</f>
        <v>2508.904948904119</v>
      </c>
      <c r="K58" s="1"/>
      <c r="L58" s="1"/>
    </row>
    <row r="59" ht="15" customHeight="1">
      <c r="A59" s="1"/>
      <c r="B59" s="1" t="s">
        <v>692</v>
      </c>
      <c r="C59" s="18"/>
      <c r="D59" s="18"/>
      <c r="E59" s="18"/>
      <c r="F59" s="18"/>
      <c r="G59" s="18"/>
      <c r="H59" s="18"/>
      <c r="I59" s="18"/>
      <c r="J59" s="17">
        <f>J58-('Income Statement'!J187-'Income Statement'!J87)</f>
        <v>2101.264948904119</v>
      </c>
      <c r="K59" s="1"/>
      <c r="L59" s="1"/>
    </row>
    <row r="60" ht="15" customHeight="1">
      <c r="A60" s="1"/>
      <c r="B60" s="1" t="s">
        <v>693</v>
      </c>
      <c r="C60" s="23"/>
      <c r="D60" s="23"/>
      <c r="E60" s="23"/>
      <c r="F60" s="23"/>
      <c r="G60" s="23"/>
      <c r="H60" s="23"/>
      <c r="I60" s="23"/>
      <c r="J60" s="22">
        <f>J59/'Income Statement'!J94</f>
        <v>1.5374734388703586</v>
      </c>
      <c r="K60" s="1"/>
      <c r="L60" s="1"/>
    </row>
    <row r="61" ht="1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D3F81828-2508-7568-CD41-114C457146D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6.00390625" customWidth="1"/>
    <col min="3" max="10" width="12.00390625" customWidth="1"/>
    <col min="11" max="11" width="20.00390625" customWidth="1"/>
    <col min="12" max="12" width="8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4" t="s">
        <v>694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ht="15" customHeight="1">
      <c r="A6" s="1"/>
      <c r="B6" s="6" t="s">
        <v>621</v>
      </c>
      <c r="C6" s="7" t="s">
        <v>695</v>
      </c>
      <c r="D6" s="81" t="s">
        <v>696</v>
      </c>
      <c r="E6" s="81" t="s">
        <v>697</v>
      </c>
      <c r="F6" s="81"/>
      <c r="G6" s="81"/>
      <c r="H6" s="81"/>
      <c r="I6" s="81"/>
      <c r="J6" s="81"/>
      <c r="K6" s="81"/>
      <c r="L6" s="81" t="s">
        <v>698</v>
      </c>
    </row>
    <row r="7" ht="15" customHeight="1">
      <c r="A7" s="1"/>
      <c r="B7" s="9" t="s">
        <v>629</v>
      </c>
      <c r="C7" s="82" t="s">
        <v>699</v>
      </c>
      <c r="D7" s="82"/>
      <c r="E7" s="82"/>
      <c r="F7" s="82"/>
      <c r="G7" s="82"/>
      <c r="H7" s="82"/>
      <c r="I7" s="82"/>
      <c r="J7" s="82"/>
      <c r="K7" s="9"/>
      <c r="L7" s="9"/>
    </row>
    <row r="8" ht="15" customHeight="1">
      <c r="A8" s="1"/>
      <c r="B8" s="12"/>
      <c r="C8" s="83"/>
      <c r="D8" s="83"/>
      <c r="E8" s="83"/>
      <c r="F8" s="83"/>
      <c r="G8" s="83"/>
      <c r="H8" s="83"/>
      <c r="I8" s="83"/>
      <c r="J8" s="83"/>
      <c r="K8" s="12"/>
      <c r="L8" s="12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21" customHeight="1">
      <c r="A10" s="1"/>
      <c r="B10" s="15" t="s">
        <v>700</v>
      </c>
      <c r="C10" s="16" t="s">
        <v>695</v>
      </c>
      <c r="D10" s="15" t="s">
        <v>696</v>
      </c>
      <c r="E10" s="15" t="s">
        <v>697</v>
      </c>
      <c r="F10" s="15"/>
      <c r="G10" s="15"/>
      <c r="H10" s="15"/>
      <c r="I10" s="15"/>
      <c r="J10" s="15"/>
      <c r="K10" s="15"/>
      <c r="L10" s="15" t="s">
        <v>698</v>
      </c>
    </row>
    <row r="11" ht="15" customHeight="1">
      <c r="A11" s="1"/>
      <c r="B11" s="1" t="s">
        <v>701</v>
      </c>
      <c r="C11" s="84" t="s">
        <v>702</v>
      </c>
      <c r="D11" s="1" t="s">
        <v>703</v>
      </c>
      <c r="E11" s="1" t="s">
        <v>704</v>
      </c>
      <c r="F11" s="1"/>
      <c r="G11" s="1"/>
      <c r="H11" s="1"/>
      <c r="I11" s="1"/>
      <c r="J11" s="1"/>
      <c r="K11" s="1"/>
      <c r="L11" s="1" t="s">
        <v>705</v>
      </c>
    </row>
    <row r="12" ht="15" customHeight="1">
      <c r="A12" s="1"/>
      <c r="B12" s="1" t="s">
        <v>706</v>
      </c>
      <c r="C12" s="84" t="s">
        <v>702</v>
      </c>
      <c r="D12" s="1" t="s">
        <v>703</v>
      </c>
      <c r="E12" s="1" t="s">
        <v>707</v>
      </c>
      <c r="F12" s="1"/>
      <c r="G12" s="1"/>
      <c r="H12" s="1"/>
      <c r="I12" s="1"/>
      <c r="J12" s="1"/>
      <c r="K12" s="1"/>
      <c r="L12" s="1" t="s">
        <v>708</v>
      </c>
    </row>
    <row r="13" ht="15" customHeight="1">
      <c r="A13" s="1"/>
      <c r="B13" s="1" t="s">
        <v>709</v>
      </c>
      <c r="C13" s="84" t="s">
        <v>632</v>
      </c>
      <c r="D13" s="1" t="s">
        <v>710</v>
      </c>
      <c r="E13" s="1" t="s">
        <v>711</v>
      </c>
      <c r="F13" s="1"/>
      <c r="G13" s="1"/>
      <c r="H13" s="1"/>
      <c r="I13" s="1"/>
      <c r="J13" s="1"/>
      <c r="K13" s="1"/>
      <c r="L13" s="1" t="s">
        <v>712</v>
      </c>
    </row>
    <row r="14" ht="15" customHeight="1">
      <c r="A14" s="1"/>
      <c r="B14" s="1" t="s">
        <v>713</v>
      </c>
      <c r="C14" s="84" t="s">
        <v>640</v>
      </c>
      <c r="D14" s="1" t="s">
        <v>710</v>
      </c>
      <c r="E14" s="1" t="s">
        <v>714</v>
      </c>
      <c r="F14" s="1"/>
      <c r="G14" s="1"/>
      <c r="H14" s="1"/>
      <c r="I14" s="1"/>
      <c r="J14" s="1"/>
      <c r="K14" s="1"/>
      <c r="L14" s="1" t="s">
        <v>715</v>
      </c>
    </row>
    <row r="15" ht="15" customHeight="1">
      <c r="A15" s="1"/>
      <c r="B15" s="1" t="s">
        <v>716</v>
      </c>
      <c r="C15" s="84" t="s">
        <v>644</v>
      </c>
      <c r="D15" s="1" t="s">
        <v>710</v>
      </c>
      <c r="E15" s="1" t="s">
        <v>717</v>
      </c>
      <c r="F15" s="1"/>
      <c r="G15" s="1"/>
      <c r="H15" s="1"/>
      <c r="I15" s="1"/>
      <c r="J15" s="1"/>
      <c r="K15" s="1"/>
      <c r="L15" s="1" t="s">
        <v>718</v>
      </c>
    </row>
    <row r="16" ht="15" customHeight="1">
      <c r="A16" s="1"/>
      <c r="B16" s="1" t="s">
        <v>719</v>
      </c>
      <c r="C16" s="84" t="s">
        <v>647</v>
      </c>
      <c r="D16" s="1" t="s">
        <v>710</v>
      </c>
      <c r="E16" s="1" t="s">
        <v>720</v>
      </c>
      <c r="F16" s="1"/>
      <c r="G16" s="1"/>
      <c r="H16" s="1"/>
      <c r="I16" s="1"/>
      <c r="J16" s="1"/>
      <c r="K16" s="1"/>
      <c r="L16" s="1" t="s">
        <v>721</v>
      </c>
    </row>
    <row r="17" ht="15" customHeight="1">
      <c r="A17" s="1"/>
      <c r="B17" s="1" t="s">
        <v>722</v>
      </c>
      <c r="C17" s="84" t="s">
        <v>652</v>
      </c>
      <c r="D17" s="1" t="s">
        <v>710</v>
      </c>
      <c r="E17" s="1" t="s">
        <v>723</v>
      </c>
      <c r="F17" s="1"/>
      <c r="G17" s="1"/>
      <c r="H17" s="1"/>
      <c r="I17" s="1"/>
      <c r="J17" s="1"/>
      <c r="K17" s="1"/>
      <c r="L17" s="1" t="s">
        <v>724</v>
      </c>
    </row>
    <row r="18" ht="15" customHeight="1">
      <c r="A18" s="1"/>
      <c r="B18" s="1" t="s">
        <v>725</v>
      </c>
      <c r="C18" s="84" t="s">
        <v>655</v>
      </c>
      <c r="D18" s="1" t="s">
        <v>710</v>
      </c>
      <c r="E18" s="1" t="s">
        <v>726</v>
      </c>
      <c r="F18" s="1"/>
      <c r="G18" s="1"/>
      <c r="H18" s="1"/>
      <c r="I18" s="1"/>
      <c r="J18" s="1"/>
      <c r="K18" s="1"/>
      <c r="L18" s="1" t="s">
        <v>727</v>
      </c>
    </row>
    <row r="19" ht="15" customHeight="1">
      <c r="A19" s="1"/>
      <c r="B19" s="1" t="s">
        <v>728</v>
      </c>
      <c r="C19" s="84" t="s">
        <v>632</v>
      </c>
      <c r="D19" s="1" t="s">
        <v>710</v>
      </c>
      <c r="E19" s="1" t="s">
        <v>729</v>
      </c>
      <c r="F19" s="1"/>
      <c r="G19" s="1"/>
      <c r="H19" s="1"/>
      <c r="I19" s="1"/>
      <c r="J19" s="1"/>
      <c r="K19" s="1"/>
      <c r="L19" s="1" t="s">
        <v>730</v>
      </c>
    </row>
    <row r="20" ht="15" customHeight="1">
      <c r="A20" s="1"/>
      <c r="B20" s="1" t="s">
        <v>731</v>
      </c>
      <c r="C20" s="84" t="s">
        <v>640</v>
      </c>
      <c r="D20" s="1" t="s">
        <v>710</v>
      </c>
      <c r="E20" s="1" t="s">
        <v>732</v>
      </c>
      <c r="F20" s="1"/>
      <c r="G20" s="1"/>
      <c r="H20" s="1"/>
      <c r="I20" s="1"/>
      <c r="J20" s="1"/>
      <c r="K20" s="1"/>
      <c r="L20" s="1" t="s">
        <v>733</v>
      </c>
    </row>
    <row r="21" ht="15" customHeight="1">
      <c r="A21" s="1"/>
      <c r="B21" s="1" t="s">
        <v>734</v>
      </c>
      <c r="C21" s="84" t="s">
        <v>644</v>
      </c>
      <c r="D21" s="1" t="s">
        <v>710</v>
      </c>
      <c r="E21" s="1" t="s">
        <v>735</v>
      </c>
      <c r="F21" s="1"/>
      <c r="G21" s="1"/>
      <c r="H21" s="1"/>
      <c r="I21" s="1"/>
      <c r="J21" s="1"/>
      <c r="K21" s="1"/>
      <c r="L21" s="1" t="s">
        <v>736</v>
      </c>
    </row>
    <row r="22" ht="15" customHeight="1">
      <c r="A22" s="1"/>
      <c r="B22" s="1" t="s">
        <v>737</v>
      </c>
      <c r="C22" s="84" t="s">
        <v>738</v>
      </c>
      <c r="D22" s="1" t="s">
        <v>710</v>
      </c>
      <c r="E22" s="1" t="s">
        <v>739</v>
      </c>
      <c r="F22" s="1"/>
      <c r="G22" s="1"/>
      <c r="H22" s="1"/>
      <c r="I22" s="1"/>
      <c r="J22" s="1"/>
      <c r="K22" s="1"/>
      <c r="L22" s="1" t="s">
        <v>740</v>
      </c>
    </row>
    <row r="23" ht="15" customHeight="1">
      <c r="A23" s="1"/>
      <c r="B23" s="1" t="s">
        <v>741</v>
      </c>
      <c r="C23" s="84" t="s">
        <v>652</v>
      </c>
      <c r="D23" s="1" t="s">
        <v>710</v>
      </c>
      <c r="E23" s="1" t="s">
        <v>742</v>
      </c>
      <c r="F23" s="1"/>
      <c r="G23" s="1"/>
      <c r="H23" s="1"/>
      <c r="I23" s="1"/>
      <c r="J23" s="1"/>
      <c r="K23" s="1"/>
      <c r="L23" s="1" t="s">
        <v>743</v>
      </c>
    </row>
    <row r="24" ht="15" customHeight="1">
      <c r="A24" s="1"/>
      <c r="B24" s="1" t="s">
        <v>744</v>
      </c>
      <c r="C24" s="84" t="s">
        <v>655</v>
      </c>
      <c r="D24" s="1" t="s">
        <v>710</v>
      </c>
      <c r="E24" s="1" t="s">
        <v>745</v>
      </c>
      <c r="F24" s="1"/>
      <c r="G24" s="1"/>
      <c r="H24" s="1"/>
      <c r="I24" s="1"/>
      <c r="J24" s="1"/>
      <c r="K24" s="1"/>
      <c r="L24" s="1" t="s">
        <v>746</v>
      </c>
    </row>
    <row r="25" ht="15" customHeight="1">
      <c r="A25" s="1"/>
      <c r="B25" s="1" t="s">
        <v>747</v>
      </c>
      <c r="C25" s="84" t="s">
        <v>655</v>
      </c>
      <c r="D25" s="1" t="s">
        <v>748</v>
      </c>
      <c r="E25" s="1" t="s">
        <v>749</v>
      </c>
      <c r="F25" s="1"/>
      <c r="G25" s="1"/>
      <c r="H25" s="1"/>
      <c r="I25" s="1"/>
      <c r="J25" s="1"/>
      <c r="K25" s="1"/>
      <c r="L25" s="1" t="s">
        <v>750</v>
      </c>
    </row>
    <row r="26" ht="15" customHeight="1">
      <c r="A26" s="1"/>
      <c r="B26" s="1" t="s">
        <v>751</v>
      </c>
      <c r="C26" s="84" t="s">
        <v>655</v>
      </c>
      <c r="D26" s="1" t="s">
        <v>752</v>
      </c>
      <c r="E26" s="1" t="s">
        <v>753</v>
      </c>
      <c r="F26" s="1"/>
      <c r="G26" s="1"/>
      <c r="H26" s="1"/>
      <c r="I26" s="1"/>
      <c r="J26" s="1"/>
      <c r="K26" s="1"/>
      <c r="L26" s="1" t="s">
        <v>754</v>
      </c>
    </row>
    <row r="27" ht="15" customHeight="1">
      <c r="A27" s="1"/>
      <c r="B27" s="1" t="s">
        <v>755</v>
      </c>
      <c r="C27" s="84" t="s">
        <v>652</v>
      </c>
      <c r="D27" s="1" t="s">
        <v>756</v>
      </c>
      <c r="E27" s="1" t="s">
        <v>757</v>
      </c>
      <c r="F27" s="1"/>
      <c r="G27" s="1"/>
      <c r="H27" s="1"/>
      <c r="I27" s="1"/>
      <c r="J27" s="1"/>
      <c r="K27" s="1"/>
      <c r="L27" s="1" t="s">
        <v>758</v>
      </c>
    </row>
    <row r="28" ht="15" customHeight="1">
      <c r="A28" s="1"/>
      <c r="B28" s="1" t="s">
        <v>759</v>
      </c>
      <c r="C28" s="84" t="s">
        <v>647</v>
      </c>
      <c r="D28" s="1" t="s">
        <v>760</v>
      </c>
      <c r="E28" s="1" t="s">
        <v>761</v>
      </c>
      <c r="F28" s="1"/>
      <c r="G28" s="1"/>
      <c r="H28" s="1"/>
      <c r="I28" s="1"/>
      <c r="J28" s="1"/>
      <c r="K28" s="1"/>
      <c r="L28" s="1" t="s">
        <v>762</v>
      </c>
    </row>
    <row r="29" ht="15" customHeight="1">
      <c r="A29" s="1"/>
      <c r="B29" s="1" t="s">
        <v>763</v>
      </c>
      <c r="C29" s="84" t="s">
        <v>644</v>
      </c>
      <c r="D29" s="1" t="s">
        <v>760</v>
      </c>
      <c r="E29" s="1" t="s">
        <v>764</v>
      </c>
      <c r="F29" s="1"/>
      <c r="G29" s="1"/>
      <c r="H29" s="1"/>
      <c r="I29" s="1"/>
      <c r="J29" s="1"/>
      <c r="K29" s="1"/>
      <c r="L29" s="1" t="s">
        <v>765</v>
      </c>
    </row>
    <row r="30" ht="15" customHeight="1">
      <c r="A30" s="1"/>
      <c r="B30" s="1" t="s">
        <v>766</v>
      </c>
      <c r="C30" s="84" t="s">
        <v>767</v>
      </c>
      <c r="D30" s="1" t="s">
        <v>752</v>
      </c>
      <c r="E30" s="1" t="s">
        <v>768</v>
      </c>
      <c r="F30" s="1"/>
      <c r="G30" s="1"/>
      <c r="H30" s="1"/>
      <c r="I30" s="1"/>
      <c r="J30" s="1"/>
      <c r="K30" s="1"/>
      <c r="L30" s="1" t="s">
        <v>769</v>
      </c>
    </row>
    <row r="31" ht="15" customHeight="1">
      <c r="A31" s="1"/>
      <c r="B31" s="1" t="s">
        <v>770</v>
      </c>
      <c r="C31" s="84" t="s">
        <v>771</v>
      </c>
      <c r="D31" s="1" t="s">
        <v>772</v>
      </c>
      <c r="E31" s="1" t="s">
        <v>773</v>
      </c>
      <c r="F31" s="1"/>
      <c r="G31" s="1"/>
      <c r="H31" s="1"/>
      <c r="I31" s="1"/>
      <c r="J31" s="1"/>
      <c r="K31" s="1"/>
      <c r="L31" s="1" t="s">
        <v>774</v>
      </c>
    </row>
    <row r="32" ht="15" customHeight="1">
      <c r="A32" s="1"/>
      <c r="B32" s="1" t="s">
        <v>775</v>
      </c>
      <c r="C32" s="84" t="s">
        <v>776</v>
      </c>
      <c r="D32" s="1" t="s">
        <v>777</v>
      </c>
      <c r="E32" s="1" t="s">
        <v>778</v>
      </c>
      <c r="F32" s="1"/>
      <c r="G32" s="1"/>
      <c r="H32" s="1"/>
      <c r="I32" s="1"/>
      <c r="J32" s="1"/>
      <c r="K32" s="1"/>
      <c r="L32" s="1" t="s">
        <v>779</v>
      </c>
    </row>
    <row r="33" ht="15" customHeight="1">
      <c r="A33" s="1"/>
      <c r="B33" s="1" t="s">
        <v>780</v>
      </c>
      <c r="C33" s="84" t="s">
        <v>781</v>
      </c>
      <c r="D33" s="1" t="s">
        <v>782</v>
      </c>
      <c r="E33" s="1" t="s">
        <v>783</v>
      </c>
      <c r="F33" s="1"/>
      <c r="G33" s="1"/>
      <c r="H33" s="1"/>
      <c r="I33" s="1"/>
      <c r="J33" s="1"/>
      <c r="K33" s="1"/>
      <c r="L33" s="1" t="s">
        <v>784</v>
      </c>
    </row>
    <row r="34" ht="15" customHeight="1">
      <c r="A34" s="1"/>
      <c r="B34" s="1" t="s">
        <v>785</v>
      </c>
      <c r="C34" s="84" t="s">
        <v>786</v>
      </c>
      <c r="D34" s="1" t="s">
        <v>787</v>
      </c>
      <c r="E34" s="1" t="s">
        <v>788</v>
      </c>
      <c r="F34" s="1"/>
      <c r="G34" s="1"/>
      <c r="H34" s="1"/>
      <c r="I34" s="1"/>
      <c r="J34" s="1"/>
      <c r="K34" s="1"/>
      <c r="L34" s="1" t="s">
        <v>789</v>
      </c>
    </row>
    <row r="35" ht="15" customHeight="1">
      <c r="A35" s="1"/>
      <c r="B35" s="1" t="s">
        <v>790</v>
      </c>
      <c r="C35" s="84" t="s">
        <v>791</v>
      </c>
      <c r="D35" s="1" t="s">
        <v>792</v>
      </c>
      <c r="E35" s="1" t="s">
        <v>788</v>
      </c>
      <c r="F35" s="1"/>
      <c r="G35" s="1"/>
      <c r="H35" s="1"/>
      <c r="I35" s="1"/>
      <c r="J35" s="1"/>
      <c r="K35" s="1"/>
      <c r="L35" s="1" t="s">
        <v>793</v>
      </c>
    </row>
    <row r="36" ht="15" customHeight="1">
      <c r="A36" s="1"/>
      <c r="B36" s="1" t="s">
        <v>794</v>
      </c>
      <c r="C36" s="84" t="s">
        <v>795</v>
      </c>
      <c r="D36" s="1" t="s">
        <v>796</v>
      </c>
      <c r="E36" s="1" t="s">
        <v>797</v>
      </c>
      <c r="F36" s="1"/>
      <c r="G36" s="1"/>
      <c r="H36" s="1"/>
      <c r="I36" s="1"/>
      <c r="J36" s="1"/>
      <c r="K36" s="1"/>
      <c r="L36" s="1" t="s">
        <v>798</v>
      </c>
    </row>
    <row r="37" ht="15" customHeight="1">
      <c r="A37" s="1"/>
      <c r="B37" s="1" t="s">
        <v>799</v>
      </c>
      <c r="C37" s="84" t="s">
        <v>781</v>
      </c>
      <c r="D37" s="1" t="s">
        <v>756</v>
      </c>
      <c r="E37" s="1" t="s">
        <v>800</v>
      </c>
      <c r="F37" s="1"/>
      <c r="G37" s="1"/>
      <c r="H37" s="1"/>
      <c r="I37" s="1"/>
      <c r="J37" s="1"/>
      <c r="K37" s="1"/>
      <c r="L37" s="1" t="s">
        <v>801</v>
      </c>
    </row>
    <row r="38" ht="15" customHeight="1">
      <c r="A38" s="1"/>
      <c r="B38" s="1" t="s">
        <v>802</v>
      </c>
      <c r="C38" s="84" t="s">
        <v>786</v>
      </c>
      <c r="D38" s="1" t="s">
        <v>803</v>
      </c>
      <c r="E38" s="1" t="s">
        <v>804</v>
      </c>
      <c r="F38" s="1"/>
      <c r="G38" s="1"/>
      <c r="H38" s="1"/>
      <c r="I38" s="1"/>
      <c r="J38" s="1"/>
      <c r="K38" s="1"/>
      <c r="L38" s="1" t="s">
        <v>805</v>
      </c>
    </row>
    <row r="39" ht="15" customHeight="1">
      <c r="A39" s="1"/>
      <c r="B39" s="1" t="s">
        <v>806</v>
      </c>
      <c r="C39" s="84" t="s">
        <v>807</v>
      </c>
      <c r="D39" s="1" t="s">
        <v>808</v>
      </c>
      <c r="E39" s="1" t="s">
        <v>809</v>
      </c>
      <c r="F39" s="1"/>
      <c r="G39" s="1"/>
      <c r="H39" s="1"/>
      <c r="I39" s="1"/>
      <c r="J39" s="1"/>
      <c r="K39" s="1"/>
      <c r="L39" s="1" t="s">
        <v>810</v>
      </c>
    </row>
    <row r="40" ht="15" customHeight="1">
      <c r="A40" s="1"/>
      <c r="B40" s="1" t="s">
        <v>811</v>
      </c>
      <c r="C40" s="84" t="s">
        <v>812</v>
      </c>
      <c r="D40" s="1" t="s">
        <v>813</v>
      </c>
      <c r="E40" s="1" t="s">
        <v>809</v>
      </c>
      <c r="F40" s="1"/>
      <c r="G40" s="1"/>
      <c r="H40" s="1"/>
      <c r="I40" s="1"/>
      <c r="J40" s="1"/>
      <c r="K40" s="1"/>
      <c r="L40" s="1" t="s">
        <v>814</v>
      </c>
    </row>
    <row r="41" ht="15" customHeight="1">
      <c r="A41" s="1"/>
      <c r="B41" s="1" t="s">
        <v>815</v>
      </c>
      <c r="C41" s="84" t="s">
        <v>816</v>
      </c>
      <c r="D41" s="1" t="s">
        <v>817</v>
      </c>
      <c r="E41" s="1" t="s">
        <v>818</v>
      </c>
      <c r="F41" s="1"/>
      <c r="G41" s="1"/>
      <c r="H41" s="1"/>
      <c r="I41" s="1"/>
      <c r="J41" s="1"/>
      <c r="K41" s="1"/>
      <c r="L41" s="1" t="s">
        <v>819</v>
      </c>
    </row>
    <row r="42" ht="15" customHeight="1">
      <c r="A42" s="1"/>
      <c r="B42" s="1" t="s">
        <v>820</v>
      </c>
      <c r="C42" s="84" t="s">
        <v>821</v>
      </c>
      <c r="D42" s="1" t="s">
        <v>822</v>
      </c>
      <c r="E42" s="1" t="s">
        <v>823</v>
      </c>
      <c r="F42" s="1"/>
      <c r="G42" s="1"/>
      <c r="H42" s="1"/>
      <c r="I42" s="1"/>
      <c r="J42" s="1"/>
      <c r="K42" s="1"/>
      <c r="L42" s="1" t="s">
        <v>824</v>
      </c>
    </row>
    <row r="43" ht="15" customHeight="1">
      <c r="A43" s="1"/>
      <c r="B43" s="1" t="s">
        <v>825</v>
      </c>
      <c r="C43" s="84" t="s">
        <v>826</v>
      </c>
      <c r="D43" s="1" t="s">
        <v>827</v>
      </c>
      <c r="E43" s="1" t="s">
        <v>828</v>
      </c>
      <c r="F43" s="1"/>
      <c r="G43" s="1"/>
      <c r="H43" s="1"/>
      <c r="I43" s="1"/>
      <c r="J43" s="1"/>
      <c r="K43" s="1"/>
      <c r="L43" s="1" t="s">
        <v>829</v>
      </c>
    </row>
    <row r="44" ht="15" customHeight="1">
      <c r="A44" s="1"/>
      <c r="B44" s="1" t="s">
        <v>830</v>
      </c>
      <c r="C44" s="84" t="s">
        <v>791</v>
      </c>
      <c r="D44" s="1" t="s">
        <v>831</v>
      </c>
      <c r="E44" s="1" t="s">
        <v>832</v>
      </c>
      <c r="F44" s="1"/>
      <c r="G44" s="1"/>
      <c r="H44" s="1"/>
      <c r="I44" s="1"/>
      <c r="J44" s="1"/>
      <c r="K44" s="1"/>
      <c r="L44" s="1" t="s">
        <v>833</v>
      </c>
    </row>
    <row r="45" ht="1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ht="15" customHeight="1">
      <c r="A46" s="1"/>
      <c r="B46" s="1" t="s">
        <v>834</v>
      </c>
      <c r="C46" s="1"/>
      <c r="D46" s="1"/>
      <c r="E46" s="1"/>
      <c r="F46" s="1"/>
      <c r="G46" s="1"/>
      <c r="H46" s="1"/>
      <c r="I46" s="1"/>
      <c r="J46" s="1"/>
      <c r="K46" s="1"/>
      <c r="L46" s="1"/>
    </row>
    <row r="47" ht="15" customHeight="1">
      <c r="A47" s="1"/>
      <c r="B47" s="1" t="s">
        <v>835</v>
      </c>
      <c r="C47" s="1"/>
      <c r="D47" s="1"/>
      <c r="E47" s="1"/>
      <c r="F47" s="1"/>
      <c r="G47" s="1"/>
      <c r="H47" s="1"/>
      <c r="I47" s="1"/>
      <c r="J47" s="1"/>
      <c r="K47" s="1"/>
      <c r="L47" s="1"/>
    </row>
    <row r="48" ht="15" customHeight="1">
      <c r="A48" s="1"/>
      <c r="B48" s="1" t="s">
        <v>836</v>
      </c>
      <c r="C48" s="1"/>
      <c r="D48" s="1"/>
      <c r="E48" s="1"/>
      <c r="F48" s="1"/>
      <c r="G48" s="1"/>
      <c r="H48" s="1"/>
      <c r="I48" s="1"/>
      <c r="J48" s="1"/>
      <c r="K48" s="1"/>
      <c r="L48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E58E7B5C-1DD8-A3F8-E083-C5E05015B109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6.00390625" customWidth="1"/>
    <col min="3" max="10" width="12.00390625" customWidth="1"/>
    <col min="11" max="11" width="20.00390625" customWidth="1"/>
    <col min="12" max="12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4" t="s">
        <v>837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ht="15" customHeight="1">
      <c r="A6" s="1"/>
      <c r="B6" s="6" t="s">
        <v>621</v>
      </c>
      <c r="C6" s="81" t="s">
        <v>838</v>
      </c>
      <c r="D6" s="81"/>
      <c r="E6" s="81"/>
      <c r="F6" s="81"/>
      <c r="G6" s="81"/>
      <c r="H6" s="81"/>
      <c r="I6" s="81"/>
      <c r="J6" s="81"/>
      <c r="K6" s="81" t="s">
        <v>13</v>
      </c>
      <c r="L6" s="81" t="s">
        <v>14</v>
      </c>
    </row>
    <row r="7" ht="15" customHeight="1">
      <c r="A7" s="1"/>
      <c r="B7" s="9" t="s">
        <v>629</v>
      </c>
      <c r="C7" s="82" t="s">
        <v>839</v>
      </c>
      <c r="D7" s="82"/>
      <c r="E7" s="82"/>
      <c r="F7" s="82"/>
      <c r="G7" s="82"/>
      <c r="H7" s="82"/>
      <c r="I7" s="82"/>
      <c r="J7" s="82"/>
      <c r="K7" s="9"/>
      <c r="L7" s="9"/>
    </row>
    <row r="8" ht="15" customHeight="1">
      <c r="A8" s="1"/>
      <c r="B8" s="12"/>
      <c r="C8" s="83"/>
      <c r="D8" s="83"/>
      <c r="E8" s="83"/>
      <c r="F8" s="83"/>
      <c r="G8" s="83"/>
      <c r="H8" s="83"/>
      <c r="I8" s="83"/>
      <c r="J8" s="83"/>
      <c r="K8" s="12"/>
      <c r="L8" s="12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15" customHeight="1">
      <c r="A10" s="1"/>
      <c r="B10" s="4" t="s">
        <v>840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ht="15" customHeight="1">
      <c r="A11" s="1"/>
      <c r="B11" s="1" t="s">
        <v>841</v>
      </c>
      <c r="C11" s="89" t="s">
        <v>842</v>
      </c>
      <c r="D11" s="1"/>
      <c r="E11" s="1"/>
      <c r="F11" s="1"/>
      <c r="G11" s="1"/>
      <c r="H11" s="1"/>
      <c r="I11" s="1"/>
      <c r="J11" s="1"/>
      <c r="K11" s="90" t="s">
        <v>843</v>
      </c>
      <c r="L11" s="1"/>
    </row>
    <row r="12" ht="15" customHeight="1">
      <c r="A12" s="1"/>
      <c r="B12" s="1" t="s">
        <v>844</v>
      </c>
      <c r="C12" s="89" t="s">
        <v>748</v>
      </c>
      <c r="D12" s="1"/>
      <c r="E12" s="1"/>
      <c r="F12" s="1"/>
      <c r="G12" s="1"/>
      <c r="H12" s="1"/>
      <c r="I12" s="1"/>
      <c r="J12" s="1"/>
      <c r="K12" s="90" t="s">
        <v>843</v>
      </c>
      <c r="L12" s="1"/>
    </row>
    <row r="13" ht="15" customHeight="1">
      <c r="A13" s="1"/>
      <c r="B13" s="1" t="s">
        <v>845</v>
      </c>
      <c r="C13" s="89" t="s">
        <v>18</v>
      </c>
      <c r="D13" s="1"/>
      <c r="E13" s="1"/>
      <c r="F13" s="1"/>
      <c r="G13" s="1"/>
      <c r="H13" s="1"/>
      <c r="I13" s="1"/>
      <c r="J13" s="1"/>
      <c r="K13" s="90" t="s">
        <v>843</v>
      </c>
      <c r="L13" s="1"/>
    </row>
    <row r="14" ht="15" customHeight="1">
      <c r="A14" s="1"/>
      <c r="B14" s="1" t="s">
        <v>846</v>
      </c>
      <c r="C14" s="89" t="s">
        <v>847</v>
      </c>
      <c r="D14" s="1"/>
      <c r="E14" s="1"/>
      <c r="F14" s="1"/>
      <c r="G14" s="1"/>
      <c r="H14" s="1"/>
      <c r="I14" s="1"/>
      <c r="J14" s="1"/>
      <c r="K14" s="90" t="s">
        <v>843</v>
      </c>
      <c r="L14" s="1"/>
    </row>
    <row r="15" ht="15" customHeight="1">
      <c r="A15" s="1"/>
      <c r="B15" s="1" t="s">
        <v>848</v>
      </c>
      <c r="C15" s="91" t="s">
        <v>795</v>
      </c>
      <c r="D15" s="1"/>
      <c r="E15" s="1"/>
      <c r="F15" s="1"/>
      <c r="G15" s="1"/>
      <c r="H15" s="1"/>
      <c r="I15" s="1"/>
      <c r="J15" s="1"/>
      <c r="K15" s="90" t="s">
        <v>843</v>
      </c>
      <c r="L15" s="1"/>
    </row>
    <row r="16" ht="15" customHeight="1">
      <c r="A16" s="1"/>
      <c r="B16" s="1" t="s">
        <v>849</v>
      </c>
      <c r="C16" s="91" t="s">
        <v>702</v>
      </c>
      <c r="D16" s="1"/>
      <c r="E16" s="1"/>
      <c r="F16" s="1"/>
      <c r="G16" s="1"/>
      <c r="H16" s="1"/>
      <c r="I16" s="1"/>
      <c r="J16" s="1"/>
      <c r="K16" s="90" t="s">
        <v>843</v>
      </c>
      <c r="L16" s="1"/>
    </row>
    <row r="17" ht="15" customHeight="1">
      <c r="A17" s="1"/>
      <c r="B17" s="1" t="s">
        <v>850</v>
      </c>
      <c r="C17" s="92">
        <v>19</v>
      </c>
      <c r="D17" s="1"/>
      <c r="E17" s="1"/>
      <c r="F17" s="1"/>
      <c r="G17" s="1"/>
      <c r="H17" s="1"/>
      <c r="I17" s="1"/>
      <c r="J17" s="1"/>
      <c r="K17" s="90" t="s">
        <v>843</v>
      </c>
      <c r="L17" s="1"/>
    </row>
    <row r="18" ht="15" customHeight="1">
      <c r="A18" s="1"/>
      <c r="B18" s="1" t="s">
        <v>851</v>
      </c>
      <c r="C18" s="93">
        <v>1.78</v>
      </c>
      <c r="D18" s="1"/>
      <c r="E18" s="1"/>
      <c r="F18" s="1"/>
      <c r="G18" s="1"/>
      <c r="H18" s="1"/>
      <c r="I18" s="1"/>
      <c r="J18" s="1"/>
      <c r="K18" s="90" t="s">
        <v>843</v>
      </c>
      <c r="L18" s="1"/>
    </row>
    <row r="19" ht="15" customHeight="1">
      <c r="A19" s="1"/>
      <c r="B19" s="1" t="s">
        <v>852</v>
      </c>
      <c r="C19" s="89" t="s">
        <v>853</v>
      </c>
      <c r="D19" s="1"/>
      <c r="E19" s="1"/>
      <c r="F19" s="1"/>
      <c r="G19" s="1"/>
      <c r="H19" s="1"/>
      <c r="I19" s="1"/>
      <c r="J19" s="1"/>
      <c r="K19" s="90" t="s">
        <v>843</v>
      </c>
      <c r="L19" s="1"/>
    </row>
    <row r="20" ht="15" customHeight="1">
      <c r="A20" s="1"/>
      <c r="B20" s="1" t="s">
        <v>854</v>
      </c>
      <c r="C20" s="94">
        <v>24105.4</v>
      </c>
      <c r="D20" s="1"/>
      <c r="E20" s="1"/>
      <c r="F20" s="1"/>
      <c r="G20" s="1"/>
      <c r="H20" s="1"/>
      <c r="I20" s="1"/>
      <c r="J20" s="1"/>
      <c r="K20" s="90" t="s">
        <v>843</v>
      </c>
      <c r="L20" s="1"/>
    </row>
    <row r="21" ht="15" customHeight="1">
      <c r="A21" s="1"/>
      <c r="B21" s="1" t="s">
        <v>855</v>
      </c>
      <c r="C21" s="89" t="s">
        <v>856</v>
      </c>
      <c r="D21" s="1"/>
      <c r="E21" s="1"/>
      <c r="F21" s="1"/>
      <c r="G21" s="1"/>
      <c r="H21" s="1"/>
      <c r="I21" s="1"/>
      <c r="J21" s="1"/>
      <c r="K21" s="90" t="s">
        <v>843</v>
      </c>
      <c r="L21" s="1"/>
    </row>
    <row r="22" ht="15" customHeight="1">
      <c r="A22" s="1"/>
      <c r="B22" s="1" t="s">
        <v>857</v>
      </c>
      <c r="C22" s="89" t="s">
        <v>858</v>
      </c>
      <c r="D22" s="1"/>
      <c r="E22" s="1"/>
      <c r="F22" s="1"/>
      <c r="G22" s="1"/>
      <c r="H22" s="1"/>
      <c r="I22" s="1"/>
      <c r="J22" s="1"/>
      <c r="K22" s="90" t="s">
        <v>843</v>
      </c>
      <c r="L22" s="1"/>
    </row>
    <row r="23" ht="15" customHeight="1">
      <c r="A23" s="1"/>
      <c r="B23" s="1" t="s">
        <v>859</v>
      </c>
      <c r="C23" s="89" t="s">
        <v>860</v>
      </c>
      <c r="D23" s="1"/>
      <c r="E23" s="1"/>
      <c r="F23" s="1"/>
      <c r="G23" s="1"/>
      <c r="H23" s="1"/>
      <c r="I23" s="1"/>
      <c r="J23" s="1"/>
      <c r="K23" s="90" t="s">
        <v>843</v>
      </c>
      <c r="L23" s="1"/>
    </row>
    <row r="24" ht="15" customHeight="1">
      <c r="A24" s="1"/>
      <c r="B24" s="1" t="s">
        <v>861</v>
      </c>
      <c r="C24" s="89" t="s">
        <v>856</v>
      </c>
      <c r="D24" s="1"/>
      <c r="E24" s="1"/>
      <c r="F24" s="1"/>
      <c r="G24" s="1"/>
      <c r="H24" s="1"/>
      <c r="I24" s="1"/>
      <c r="J24" s="1"/>
      <c r="K24" s="90" t="s">
        <v>843</v>
      </c>
      <c r="L24" s="1"/>
    </row>
    <row r="25" ht="15" customHeight="1">
      <c r="A25" s="1"/>
      <c r="B25" s="1" t="s">
        <v>862</v>
      </c>
      <c r="C25" s="89" t="s">
        <v>856</v>
      </c>
      <c r="D25" s="1"/>
      <c r="E25" s="1"/>
      <c r="F25" s="1"/>
      <c r="G25" s="1"/>
      <c r="H25" s="1"/>
      <c r="I25" s="1"/>
      <c r="J25" s="1"/>
      <c r="K25" s="90" t="s">
        <v>843</v>
      </c>
      <c r="L25" s="1"/>
    </row>
    <row r="26" ht="15" customHeight="1">
      <c r="A26" s="1"/>
      <c r="B26" s="1" t="s">
        <v>863</v>
      </c>
      <c r="C26" s="89" t="s">
        <v>864</v>
      </c>
      <c r="D26" s="1"/>
      <c r="E26" s="1"/>
      <c r="F26" s="1"/>
      <c r="G26" s="1"/>
      <c r="H26" s="1"/>
      <c r="I26" s="1"/>
      <c r="J26" s="1"/>
      <c r="K26" s="90" t="s">
        <v>843</v>
      </c>
      <c r="L26" s="1"/>
    </row>
    <row r="27" ht="15" customHeight="1">
      <c r="A27" s="1"/>
      <c r="B27" s="1" t="s">
        <v>865</v>
      </c>
      <c r="C27" s="89" t="s">
        <v>856</v>
      </c>
      <c r="D27" s="1"/>
      <c r="E27" s="1"/>
      <c r="F27" s="1"/>
      <c r="G27" s="1"/>
      <c r="H27" s="1"/>
      <c r="I27" s="1"/>
      <c r="J27" s="1"/>
      <c r="K27" s="90" t="s">
        <v>843</v>
      </c>
      <c r="L27" s="1"/>
    </row>
    <row r="28" ht="15" customHeight="1">
      <c r="A28" s="1"/>
      <c r="B28" s="1" t="s">
        <v>866</v>
      </c>
      <c r="C28" s="89" t="s">
        <v>867</v>
      </c>
      <c r="D28" s="1"/>
      <c r="E28" s="1"/>
      <c r="F28" s="1"/>
      <c r="G28" s="1"/>
      <c r="H28" s="1"/>
      <c r="I28" s="1"/>
      <c r="J28" s="1"/>
      <c r="K28" s="90" t="s">
        <v>843</v>
      </c>
      <c r="L28" s="1"/>
    </row>
    <row r="29" ht="15" customHeight="1">
      <c r="A29" s="1"/>
      <c r="B29" s="1" t="s">
        <v>868</v>
      </c>
      <c r="C29" s="89" t="s">
        <v>748</v>
      </c>
      <c r="D29" s="1"/>
      <c r="E29" s="1"/>
      <c r="F29" s="1"/>
      <c r="G29" s="1"/>
      <c r="H29" s="1"/>
      <c r="I29" s="1"/>
      <c r="J29" s="1"/>
      <c r="K29" s="90" t="s">
        <v>843</v>
      </c>
      <c r="L29" s="1"/>
    </row>
    <row r="30" ht="60" customHeight="1">
      <c r="A30" s="1"/>
      <c r="B30" s="95" t="s">
        <v>869</v>
      </c>
      <c r="C30" s="96" t="s">
        <v>870</v>
      </c>
      <c r="D30" s="97"/>
      <c r="E30" s="97"/>
      <c r="F30" s="97"/>
      <c r="G30" s="97"/>
      <c r="H30" s="97"/>
      <c r="I30" s="97"/>
      <c r="J30" s="97"/>
      <c r="K30" s="98" t="s">
        <v>843</v>
      </c>
      <c r="L30" s="95"/>
    </row>
    <row r="31" ht="30" customHeight="1">
      <c r="A31" s="1"/>
      <c r="B31" s="95" t="s">
        <v>871</v>
      </c>
      <c r="C31" s="96" t="s">
        <v>872</v>
      </c>
      <c r="D31" s="97"/>
      <c r="E31" s="97"/>
      <c r="F31" s="97"/>
      <c r="G31" s="97"/>
      <c r="H31" s="97"/>
      <c r="I31" s="97"/>
      <c r="J31" s="97"/>
      <c r="K31" s="98" t="s">
        <v>843</v>
      </c>
      <c r="L31" s="95"/>
    </row>
    <row r="32" ht="15" customHeight="1">
      <c r="A32" s="1"/>
      <c r="B32" s="1" t="s">
        <v>873</v>
      </c>
      <c r="C32" s="89" t="s">
        <v>874</v>
      </c>
      <c r="D32" s="1"/>
      <c r="E32" s="1"/>
      <c r="F32" s="1"/>
      <c r="G32" s="1"/>
      <c r="H32" s="1"/>
      <c r="I32" s="1"/>
      <c r="J32" s="1"/>
      <c r="K32" s="90" t="s">
        <v>843</v>
      </c>
      <c r="L32" s="1"/>
    </row>
    <row r="33" ht="15" customHeight="1">
      <c r="A33" s="1"/>
      <c r="B33" s="1" t="s">
        <v>875</v>
      </c>
      <c r="C33" s="89" t="s">
        <v>847</v>
      </c>
      <c r="D33" s="1"/>
      <c r="E33" s="1"/>
      <c r="F33" s="1"/>
      <c r="G33" s="1"/>
      <c r="H33" s="1"/>
      <c r="I33" s="1"/>
      <c r="J33" s="1"/>
      <c r="K33" s="90" t="s">
        <v>843</v>
      </c>
      <c r="L33" s="1"/>
    </row>
    <row r="34" ht="1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ht="15" customHeight="1">
      <c r="A35" s="1"/>
      <c r="B35" s="4" t="s">
        <v>876</v>
      </c>
      <c r="C35" s="1"/>
      <c r="D35" s="1"/>
      <c r="E35" s="1"/>
      <c r="F35" s="1"/>
      <c r="G35" s="1"/>
      <c r="H35" s="1"/>
      <c r="I35" s="1"/>
      <c r="J35" s="1"/>
      <c r="K35" s="1"/>
      <c r="L35" s="1"/>
    </row>
    <row r="36" ht="15" customHeight="1">
      <c r="A36" s="1"/>
      <c r="B36" s="1" t="s">
        <v>844</v>
      </c>
      <c r="C36" s="89" t="s">
        <v>748</v>
      </c>
      <c r="D36" s="1"/>
      <c r="E36" s="1"/>
      <c r="F36" s="1"/>
      <c r="G36" s="1"/>
      <c r="H36" s="1"/>
      <c r="I36" s="1"/>
      <c r="J36" s="1"/>
      <c r="K36" s="90" t="s">
        <v>843</v>
      </c>
      <c r="L36" s="1"/>
    </row>
    <row r="37" ht="15" customHeight="1">
      <c r="A37" s="1"/>
      <c r="B37" s="1" t="s">
        <v>877</v>
      </c>
      <c r="C37" s="89" t="s">
        <v>18</v>
      </c>
      <c r="D37" s="1"/>
      <c r="E37" s="1"/>
      <c r="F37" s="1"/>
      <c r="G37" s="1"/>
      <c r="H37" s="1"/>
      <c r="I37" s="1"/>
      <c r="J37" s="1"/>
      <c r="K37" s="90" t="s">
        <v>843</v>
      </c>
      <c r="L37" s="1"/>
    </row>
    <row r="38" ht="15" customHeight="1">
      <c r="A38" s="1"/>
      <c r="B38" s="1" t="s">
        <v>878</v>
      </c>
      <c r="C38" s="89" t="s">
        <v>879</v>
      </c>
      <c r="D38" s="1"/>
      <c r="E38" s="1"/>
      <c r="F38" s="1"/>
      <c r="G38" s="1"/>
      <c r="H38" s="1"/>
      <c r="I38" s="1"/>
      <c r="J38" s="1"/>
      <c r="K38" s="90" t="s">
        <v>843</v>
      </c>
      <c r="L38" s="1"/>
    </row>
    <row r="39" ht="15" customHeight="1">
      <c r="A39" s="1"/>
      <c r="B39" s="1" t="s">
        <v>880</v>
      </c>
      <c r="C39" s="89">
        <v>159230</v>
      </c>
      <c r="D39" s="1"/>
      <c r="E39" s="1"/>
      <c r="F39" s="1"/>
      <c r="G39" s="1"/>
      <c r="H39" s="1"/>
      <c r="I39" s="1"/>
      <c r="J39" s="1"/>
      <c r="K39" s="90" t="s">
        <v>843</v>
      </c>
      <c r="L39" s="1"/>
    </row>
    <row r="40" ht="15" customHeight="1">
      <c r="A40" s="1"/>
      <c r="B40" s="1" t="s">
        <v>881</v>
      </c>
      <c r="C40" s="89" t="s">
        <v>856</v>
      </c>
      <c r="D40" s="1"/>
      <c r="E40" s="1"/>
      <c r="F40" s="1"/>
      <c r="G40" s="1"/>
      <c r="H40" s="1"/>
      <c r="I40" s="1"/>
      <c r="J40" s="1"/>
      <c r="K40" s="90" t="s">
        <v>843</v>
      </c>
      <c r="L40" s="1"/>
    </row>
    <row r="41" ht="15" customHeight="1">
      <c r="A41" s="1"/>
      <c r="B41" s="1" t="s">
        <v>882</v>
      </c>
      <c r="C41" s="89" t="s">
        <v>883</v>
      </c>
      <c r="D41" s="1"/>
      <c r="E41" s="1"/>
      <c r="F41" s="1"/>
      <c r="G41" s="1"/>
      <c r="H41" s="1"/>
      <c r="I41" s="1"/>
      <c r="J41" s="1"/>
      <c r="K41" s="90" t="s">
        <v>843</v>
      </c>
      <c r="L41" s="1"/>
    </row>
    <row r="42" ht="15" customHeight="1">
      <c r="A42" s="1"/>
      <c r="B42" s="1" t="s">
        <v>884</v>
      </c>
      <c r="C42" s="89" t="s">
        <v>847</v>
      </c>
      <c r="D42" s="1"/>
      <c r="E42" s="1"/>
      <c r="F42" s="1"/>
      <c r="G42" s="1"/>
      <c r="H42" s="1"/>
      <c r="I42" s="1"/>
      <c r="J42" s="1"/>
      <c r="K42" s="90" t="s">
        <v>843</v>
      </c>
      <c r="L42" s="1"/>
    </row>
    <row r="43" ht="15" customHeight="1">
      <c r="A43" s="1"/>
      <c r="B43" s="1" t="s">
        <v>885</v>
      </c>
      <c r="C43" s="91" t="s">
        <v>795</v>
      </c>
      <c r="D43" s="1"/>
      <c r="E43" s="1"/>
      <c r="F43" s="1"/>
      <c r="G43" s="1"/>
      <c r="H43" s="1"/>
      <c r="I43" s="1"/>
      <c r="J43" s="1"/>
      <c r="K43" s="90" t="s">
        <v>843</v>
      </c>
      <c r="L43" s="1"/>
    </row>
    <row r="44" ht="15" customHeight="1">
      <c r="A44" s="1"/>
      <c r="B44" s="1" t="s">
        <v>886</v>
      </c>
      <c r="C44" s="91" t="s">
        <v>887</v>
      </c>
      <c r="D44" s="1"/>
      <c r="E44" s="1"/>
      <c r="F44" s="1"/>
      <c r="G44" s="1"/>
      <c r="H44" s="1"/>
      <c r="I44" s="1"/>
      <c r="J44" s="1"/>
      <c r="K44" s="90" t="s">
        <v>843</v>
      </c>
      <c r="L44" s="1"/>
    </row>
    <row r="45" ht="15" customHeight="1">
      <c r="A45" s="1"/>
      <c r="B45" s="1" t="s">
        <v>852</v>
      </c>
      <c r="C45" s="89" t="s">
        <v>888</v>
      </c>
      <c r="D45" s="1"/>
      <c r="E45" s="1"/>
      <c r="F45" s="1"/>
      <c r="G45" s="1"/>
      <c r="H45" s="1"/>
      <c r="I45" s="1"/>
      <c r="J45" s="1"/>
      <c r="K45" s="90" t="s">
        <v>843</v>
      </c>
      <c r="L45" s="1"/>
    </row>
    <row r="46" ht="15" customHeight="1">
      <c r="A46" s="1"/>
      <c r="B46" s="1" t="s">
        <v>889</v>
      </c>
      <c r="C46" s="92">
        <v>19</v>
      </c>
      <c r="D46" s="1"/>
      <c r="E46" s="1"/>
      <c r="F46" s="1"/>
      <c r="G46" s="1"/>
      <c r="H46" s="1"/>
      <c r="I46" s="1"/>
      <c r="J46" s="1"/>
      <c r="K46" s="90" t="s">
        <v>843</v>
      </c>
      <c r="L46" s="1"/>
    </row>
    <row r="47" ht="15" customHeight="1">
      <c r="A47" s="1"/>
      <c r="B47" s="1" t="s">
        <v>890</v>
      </c>
      <c r="C47" s="92">
        <v>19</v>
      </c>
      <c r="D47" s="1"/>
      <c r="E47" s="1"/>
      <c r="F47" s="1"/>
      <c r="G47" s="1"/>
      <c r="H47" s="1"/>
      <c r="I47" s="1"/>
      <c r="J47" s="1"/>
      <c r="K47" s="90" t="s">
        <v>843</v>
      </c>
      <c r="L47" s="1"/>
    </row>
    <row r="48" ht="15" customHeight="1">
      <c r="A48" s="1"/>
      <c r="B48" s="1" t="s">
        <v>891</v>
      </c>
      <c r="C48" s="99"/>
      <c r="D48" s="1"/>
      <c r="E48" s="1"/>
      <c r="F48" s="1"/>
      <c r="G48" s="1"/>
      <c r="H48" s="1"/>
      <c r="I48" s="1"/>
      <c r="J48" s="1"/>
      <c r="K48" s="90" t="s">
        <v>843</v>
      </c>
      <c r="L48" s="90" t="s">
        <v>892</v>
      </c>
    </row>
    <row r="49" ht="15" customHeight="1">
      <c r="A49" s="1"/>
      <c r="B49" s="1" t="s">
        <v>893</v>
      </c>
      <c r="C49" s="93">
        <v>1.78</v>
      </c>
      <c r="D49" s="1"/>
      <c r="E49" s="1"/>
      <c r="F49" s="1"/>
      <c r="G49" s="1"/>
      <c r="H49" s="1"/>
      <c r="I49" s="1"/>
      <c r="J49" s="1"/>
      <c r="K49" s="90" t="s">
        <v>843</v>
      </c>
      <c r="L49" s="1"/>
    </row>
    <row r="50" ht="15" customHeight="1">
      <c r="A50" s="1"/>
      <c r="B50" s="1" t="s">
        <v>894</v>
      </c>
      <c r="C50" s="93">
        <v>1.78</v>
      </c>
      <c r="D50" s="1"/>
      <c r="E50" s="1"/>
      <c r="F50" s="1"/>
      <c r="G50" s="1"/>
      <c r="H50" s="1"/>
      <c r="I50" s="1"/>
      <c r="J50" s="1"/>
      <c r="K50" s="90" t="s">
        <v>843</v>
      </c>
      <c r="L50" s="1"/>
    </row>
    <row r="51" ht="15" customHeight="1">
      <c r="A51" s="1"/>
      <c r="B51" s="1" t="s">
        <v>895</v>
      </c>
      <c r="C51" s="93">
        <v>1.84</v>
      </c>
      <c r="D51" s="1"/>
      <c r="E51" s="1"/>
      <c r="F51" s="1"/>
      <c r="G51" s="1"/>
      <c r="H51" s="1"/>
      <c r="I51" s="1"/>
      <c r="J51" s="1"/>
      <c r="K51" s="90" t="s">
        <v>843</v>
      </c>
      <c r="L51" s="1"/>
    </row>
    <row r="52" ht="15" customHeight="1">
      <c r="A52" s="1"/>
      <c r="B52" s="1" t="s">
        <v>896</v>
      </c>
      <c r="C52" s="93">
        <v>1.72</v>
      </c>
      <c r="D52" s="1"/>
      <c r="E52" s="1"/>
      <c r="F52" s="1"/>
      <c r="G52" s="1"/>
      <c r="H52" s="1"/>
      <c r="I52" s="1"/>
      <c r="J52" s="1"/>
      <c r="K52" s="90" t="s">
        <v>843</v>
      </c>
      <c r="L52" s="1"/>
    </row>
    <row r="53" ht="15" customHeight="1">
      <c r="A53" s="1"/>
      <c r="B53" s="1" t="s">
        <v>897</v>
      </c>
      <c r="C53" s="93">
        <v>0.03</v>
      </c>
      <c r="D53" s="1"/>
      <c r="E53" s="1"/>
      <c r="F53" s="1"/>
      <c r="G53" s="1"/>
      <c r="H53" s="1"/>
      <c r="I53" s="1"/>
      <c r="J53" s="1"/>
      <c r="K53" s="90" t="s">
        <v>843</v>
      </c>
      <c r="L53" s="1"/>
    </row>
    <row r="54" ht="15" customHeight="1">
      <c r="A54" s="1"/>
      <c r="B54" s="1" t="s">
        <v>898</v>
      </c>
      <c r="C54" s="92">
        <v>19</v>
      </c>
      <c r="D54" s="1"/>
      <c r="E54" s="1"/>
      <c r="F54" s="1"/>
      <c r="G54" s="1"/>
      <c r="H54" s="1"/>
      <c r="I54" s="1"/>
      <c r="J54" s="1"/>
      <c r="K54" s="90" t="s">
        <v>843</v>
      </c>
      <c r="L54" s="1"/>
    </row>
    <row r="55" ht="15" customHeight="1">
      <c r="A55" s="1"/>
      <c r="B55" s="1" t="s">
        <v>899</v>
      </c>
      <c r="C55" s="99"/>
      <c r="D55" s="1"/>
      <c r="E55" s="1"/>
      <c r="F55" s="1"/>
      <c r="G55" s="1"/>
      <c r="H55" s="1"/>
      <c r="I55" s="1"/>
      <c r="J55" s="1"/>
      <c r="K55" s="90" t="s">
        <v>843</v>
      </c>
      <c r="L55" s="90" t="s">
        <v>892</v>
      </c>
    </row>
    <row r="56" ht="15" customHeight="1">
      <c r="A56" s="1"/>
      <c r="B56" s="1" t="s">
        <v>900</v>
      </c>
      <c r="C56" s="99"/>
      <c r="D56" s="1"/>
      <c r="E56" s="1"/>
      <c r="F56" s="1"/>
      <c r="G56" s="1"/>
      <c r="H56" s="1"/>
      <c r="I56" s="1"/>
      <c r="J56" s="1"/>
      <c r="K56" s="90" t="s">
        <v>843</v>
      </c>
      <c r="L56" s="90" t="s">
        <v>892</v>
      </c>
    </row>
    <row r="57" ht="15" customHeight="1">
      <c r="A57" s="1"/>
      <c r="B57" s="1" t="s">
        <v>901</v>
      </c>
      <c r="C57" s="99"/>
      <c r="D57" s="1"/>
      <c r="E57" s="1"/>
      <c r="F57" s="1"/>
      <c r="G57" s="1"/>
      <c r="H57" s="1"/>
      <c r="I57" s="1"/>
      <c r="J57" s="1"/>
      <c r="K57" s="90" t="s">
        <v>843</v>
      </c>
      <c r="L57" s="90" t="s">
        <v>892</v>
      </c>
    </row>
    <row r="58" ht="15" customHeight="1">
      <c r="A58" s="1"/>
      <c r="B58" s="1" t="s">
        <v>902</v>
      </c>
      <c r="C58" s="93">
        <v>1.52</v>
      </c>
      <c r="D58" s="1"/>
      <c r="E58" s="1"/>
      <c r="F58" s="1"/>
      <c r="G58" s="1"/>
      <c r="H58" s="1"/>
      <c r="I58" s="1"/>
      <c r="J58" s="1"/>
      <c r="K58" s="90" t="s">
        <v>843</v>
      </c>
      <c r="L58" s="1"/>
    </row>
    <row r="59" ht="15" customHeight="1">
      <c r="A59" s="1"/>
      <c r="B59" s="1" t="s">
        <v>903</v>
      </c>
      <c r="C59" s="93">
        <v>1.49</v>
      </c>
      <c r="D59" s="1"/>
      <c r="E59" s="1"/>
      <c r="F59" s="1"/>
      <c r="G59" s="1"/>
      <c r="H59" s="1"/>
      <c r="I59" s="1"/>
      <c r="J59" s="1"/>
      <c r="K59" s="90" t="s">
        <v>843</v>
      </c>
      <c r="L59" s="1"/>
    </row>
    <row r="60" ht="15" customHeight="1">
      <c r="A60" s="1"/>
      <c r="B60" s="1" t="s">
        <v>904</v>
      </c>
      <c r="C60" s="93">
        <v>1.81</v>
      </c>
      <c r="D60" s="1"/>
      <c r="E60" s="1"/>
      <c r="F60" s="1"/>
      <c r="G60" s="1"/>
      <c r="H60" s="1"/>
      <c r="I60" s="1"/>
      <c r="J60" s="1"/>
      <c r="K60" s="90" t="s">
        <v>843</v>
      </c>
      <c r="L60" s="1"/>
    </row>
    <row r="61" ht="15" customHeight="1">
      <c r="A61" s="1"/>
      <c r="B61" s="1" t="s">
        <v>905</v>
      </c>
      <c r="C61" s="93">
        <v>1.44</v>
      </c>
      <c r="D61" s="1"/>
      <c r="E61" s="1"/>
      <c r="F61" s="1"/>
      <c r="G61" s="1"/>
      <c r="H61" s="1"/>
      <c r="I61" s="1"/>
      <c r="J61" s="1"/>
      <c r="K61" s="90" t="s">
        <v>843</v>
      </c>
      <c r="L61" s="1"/>
    </row>
    <row r="62" ht="15" customHeight="1">
      <c r="A62" s="1"/>
      <c r="B62" s="1" t="s">
        <v>906</v>
      </c>
      <c r="C62" s="93">
        <v>0.1</v>
      </c>
      <c r="D62" s="1"/>
      <c r="E62" s="1"/>
      <c r="F62" s="1"/>
      <c r="G62" s="1"/>
      <c r="H62" s="1"/>
      <c r="I62" s="1"/>
      <c r="J62" s="1"/>
      <c r="K62" s="90" t="s">
        <v>843</v>
      </c>
      <c r="L62" s="1"/>
    </row>
    <row r="63" ht="15" customHeight="1">
      <c r="A63" s="1"/>
      <c r="B63" s="1" t="s">
        <v>907</v>
      </c>
      <c r="C63" s="92">
        <v>11</v>
      </c>
      <c r="D63" s="1"/>
      <c r="E63" s="1"/>
      <c r="F63" s="1"/>
      <c r="G63" s="1"/>
      <c r="H63" s="1"/>
      <c r="I63" s="1"/>
      <c r="J63" s="1"/>
      <c r="K63" s="90" t="s">
        <v>843</v>
      </c>
      <c r="L63" s="1"/>
    </row>
    <row r="64" ht="15" customHeight="1">
      <c r="A64" s="1"/>
      <c r="B64" s="1" t="s">
        <v>908</v>
      </c>
      <c r="C64" s="99"/>
      <c r="D64" s="1"/>
      <c r="E64" s="1"/>
      <c r="F64" s="1"/>
      <c r="G64" s="1"/>
      <c r="H64" s="1"/>
      <c r="I64" s="1"/>
      <c r="J64" s="1"/>
      <c r="K64" s="90" t="s">
        <v>843</v>
      </c>
      <c r="L64" s="90" t="s">
        <v>892</v>
      </c>
    </row>
    <row r="65" ht="15" customHeight="1">
      <c r="A65" s="1"/>
      <c r="B65" s="1" t="s">
        <v>909</v>
      </c>
      <c r="C65" s="99"/>
      <c r="D65" s="1"/>
      <c r="E65" s="1"/>
      <c r="F65" s="1"/>
      <c r="G65" s="1"/>
      <c r="H65" s="1"/>
      <c r="I65" s="1"/>
      <c r="J65" s="1"/>
      <c r="K65" s="90" t="s">
        <v>843</v>
      </c>
      <c r="L65" s="90" t="s">
        <v>892</v>
      </c>
    </row>
    <row r="66" ht="15" customHeight="1">
      <c r="A66" s="1"/>
      <c r="B66" s="1" t="s">
        <v>910</v>
      </c>
      <c r="C66" s="99"/>
      <c r="D66" s="1"/>
      <c r="E66" s="1"/>
      <c r="F66" s="1"/>
      <c r="G66" s="1"/>
      <c r="H66" s="1"/>
      <c r="I66" s="1"/>
      <c r="J66" s="1"/>
      <c r="K66" s="90" t="s">
        <v>843</v>
      </c>
      <c r="L66" s="90" t="s">
        <v>892</v>
      </c>
    </row>
    <row r="67" ht="15" customHeight="1">
      <c r="A67" s="1"/>
      <c r="B67" s="1" t="s">
        <v>911</v>
      </c>
      <c r="C67" s="94">
        <v>24105.4</v>
      </c>
      <c r="D67" s="1"/>
      <c r="E67" s="1"/>
      <c r="F67" s="1"/>
      <c r="G67" s="1"/>
      <c r="H67" s="1"/>
      <c r="I67" s="1"/>
      <c r="J67" s="1"/>
      <c r="K67" s="90" t="s">
        <v>843</v>
      </c>
      <c r="L67" s="1"/>
    </row>
    <row r="68" ht="15" customHeight="1">
      <c r="A68" s="1"/>
      <c r="B68" s="1" t="s">
        <v>912</v>
      </c>
      <c r="C68" s="94">
        <v>24129.95</v>
      </c>
      <c r="D68" s="1"/>
      <c r="E68" s="1"/>
      <c r="F68" s="1"/>
      <c r="G68" s="1"/>
      <c r="H68" s="1"/>
      <c r="I68" s="1"/>
      <c r="J68" s="1"/>
      <c r="K68" s="90" t="s">
        <v>843</v>
      </c>
      <c r="L68" s="1"/>
    </row>
    <row r="69" ht="15" customHeight="1">
      <c r="A69" s="1"/>
      <c r="B69" s="1" t="s">
        <v>913</v>
      </c>
      <c r="C69" s="94">
        <v>24556.36</v>
      </c>
      <c r="D69" s="1"/>
      <c r="E69" s="1"/>
      <c r="F69" s="1"/>
      <c r="G69" s="1"/>
      <c r="H69" s="1"/>
      <c r="I69" s="1"/>
      <c r="J69" s="1"/>
      <c r="K69" s="90" t="s">
        <v>843</v>
      </c>
      <c r="L69" s="1"/>
    </row>
    <row r="70" ht="15" customHeight="1">
      <c r="A70" s="1"/>
      <c r="B70" s="1" t="s">
        <v>914</v>
      </c>
      <c r="C70" s="94">
        <v>23493</v>
      </c>
      <c r="D70" s="1"/>
      <c r="E70" s="1"/>
      <c r="F70" s="1"/>
      <c r="G70" s="1"/>
      <c r="H70" s="1"/>
      <c r="I70" s="1"/>
      <c r="J70" s="1"/>
      <c r="K70" s="90" t="s">
        <v>843</v>
      </c>
      <c r="L70" s="1"/>
    </row>
    <row r="71" ht="15" customHeight="1">
      <c r="A71" s="1"/>
      <c r="B71" s="1" t="s">
        <v>915</v>
      </c>
      <c r="C71" s="94">
        <v>268.35</v>
      </c>
      <c r="D71" s="1"/>
      <c r="E71" s="1"/>
      <c r="F71" s="1"/>
      <c r="G71" s="1"/>
      <c r="H71" s="1"/>
      <c r="I71" s="1"/>
      <c r="J71" s="1"/>
      <c r="K71" s="90" t="s">
        <v>843</v>
      </c>
      <c r="L71" s="1"/>
    </row>
    <row r="72" ht="15" customHeight="1">
      <c r="A72" s="1"/>
      <c r="B72" s="1" t="s">
        <v>916</v>
      </c>
      <c r="C72" s="92">
        <v>18</v>
      </c>
      <c r="D72" s="1"/>
      <c r="E72" s="1"/>
      <c r="F72" s="1"/>
      <c r="G72" s="1"/>
      <c r="H72" s="1"/>
      <c r="I72" s="1"/>
      <c r="J72" s="1"/>
      <c r="K72" s="90" t="s">
        <v>843</v>
      </c>
      <c r="L72" s="1"/>
    </row>
    <row r="73" ht="15" customHeight="1">
      <c r="A73" s="1"/>
      <c r="B73" s="1" t="s">
        <v>917</v>
      </c>
      <c r="C73" s="99"/>
      <c r="D73" s="1"/>
      <c r="E73" s="1"/>
      <c r="F73" s="1"/>
      <c r="G73" s="1"/>
      <c r="H73" s="1"/>
      <c r="I73" s="1"/>
      <c r="J73" s="1"/>
      <c r="K73" s="90" t="s">
        <v>843</v>
      </c>
      <c r="L73" s="90" t="s">
        <v>892</v>
      </c>
    </row>
    <row r="74" ht="15" customHeight="1">
      <c r="A74" s="1"/>
      <c r="B74" s="1" t="s">
        <v>918</v>
      </c>
      <c r="C74" s="99"/>
      <c r="D74" s="1"/>
      <c r="E74" s="1"/>
      <c r="F74" s="1"/>
      <c r="G74" s="1"/>
      <c r="H74" s="1"/>
      <c r="I74" s="1"/>
      <c r="J74" s="1"/>
      <c r="K74" s="90" t="s">
        <v>843</v>
      </c>
      <c r="L74" s="90" t="s">
        <v>892</v>
      </c>
    </row>
    <row r="75" ht="15" customHeight="1">
      <c r="A75" s="1"/>
      <c r="B75" s="1" t="s">
        <v>919</v>
      </c>
      <c r="C75" s="99"/>
      <c r="D75" s="1"/>
      <c r="E75" s="1"/>
      <c r="F75" s="1"/>
      <c r="G75" s="1"/>
      <c r="H75" s="1"/>
      <c r="I75" s="1"/>
      <c r="J75" s="1"/>
      <c r="K75" s="90" t="s">
        <v>843</v>
      </c>
      <c r="L75" s="90" t="s">
        <v>892</v>
      </c>
    </row>
    <row r="76" ht="15" customHeight="1">
      <c r="A76" s="1"/>
      <c r="B76" s="1" t="s">
        <v>920</v>
      </c>
      <c r="C76" s="94">
        <v>3974.67</v>
      </c>
      <c r="D76" s="1"/>
      <c r="E76" s="1"/>
      <c r="F76" s="1"/>
      <c r="G76" s="1"/>
      <c r="H76" s="1"/>
      <c r="I76" s="1"/>
      <c r="J76" s="1"/>
      <c r="K76" s="90" t="s">
        <v>843</v>
      </c>
      <c r="L76" s="1" t="s">
        <v>921</v>
      </c>
    </row>
    <row r="77" ht="15" customHeight="1">
      <c r="A77" s="1"/>
      <c r="B77" s="1" t="s">
        <v>922</v>
      </c>
      <c r="C77" s="94">
        <v>3204.22</v>
      </c>
      <c r="D77" s="1"/>
      <c r="E77" s="1"/>
      <c r="F77" s="1"/>
      <c r="G77" s="1"/>
      <c r="H77" s="1"/>
      <c r="I77" s="1"/>
      <c r="J77" s="1"/>
      <c r="K77" s="90" t="s">
        <v>843</v>
      </c>
      <c r="L77" s="1"/>
    </row>
    <row r="78" ht="15" customHeight="1">
      <c r="A78" s="1"/>
      <c r="B78" s="1" t="s">
        <v>923</v>
      </c>
      <c r="C78" s="94">
        <v>3159.12</v>
      </c>
      <c r="D78" s="1"/>
      <c r="E78" s="1"/>
      <c r="F78" s="1"/>
      <c r="G78" s="1"/>
      <c r="H78" s="1"/>
      <c r="I78" s="1"/>
      <c r="J78" s="1"/>
      <c r="K78" s="90" t="s">
        <v>843</v>
      </c>
      <c r="L78" s="1"/>
    </row>
    <row r="79" ht="15" customHeight="1">
      <c r="A79" s="1"/>
      <c r="B79" s="1" t="s">
        <v>924</v>
      </c>
      <c r="C79" s="94">
        <v>2711.3</v>
      </c>
      <c r="D79" s="1"/>
      <c r="E79" s="1"/>
      <c r="F79" s="1"/>
      <c r="G79" s="1"/>
      <c r="H79" s="1"/>
      <c r="I79" s="1"/>
      <c r="J79" s="1"/>
      <c r="K79" s="90" t="s">
        <v>843</v>
      </c>
      <c r="L79" s="1"/>
    </row>
    <row r="80" ht="15" customHeight="1">
      <c r="A80" s="1"/>
      <c r="B80" s="1" t="s">
        <v>925</v>
      </c>
      <c r="C80" s="94">
        <v>2438.37</v>
      </c>
      <c r="D80" s="1"/>
      <c r="E80" s="1"/>
      <c r="F80" s="1"/>
      <c r="G80" s="1"/>
      <c r="H80" s="1"/>
      <c r="I80" s="1"/>
      <c r="J80" s="1"/>
      <c r="K80" s="90" t="s">
        <v>843</v>
      </c>
      <c r="L80" s="1"/>
    </row>
    <row r="81" ht="15" customHeight="1">
      <c r="A81" s="1"/>
      <c r="B81" s="1" t="s">
        <v>926</v>
      </c>
      <c r="C81" s="94">
        <v>2081.12</v>
      </c>
      <c r="D81" s="1"/>
      <c r="E81" s="1"/>
      <c r="F81" s="1"/>
      <c r="G81" s="1"/>
      <c r="H81" s="1"/>
      <c r="I81" s="1"/>
      <c r="J81" s="1"/>
      <c r="K81" s="90" t="s">
        <v>843</v>
      </c>
      <c r="L81" s="1"/>
    </row>
    <row r="82" ht="15" customHeight="1">
      <c r="A82" s="1"/>
      <c r="B82" s="1" t="s">
        <v>927</v>
      </c>
      <c r="C82" s="99"/>
      <c r="D82" s="1"/>
      <c r="E82" s="1"/>
      <c r="F82" s="1"/>
      <c r="G82" s="1"/>
      <c r="H82" s="1"/>
      <c r="I82" s="1"/>
      <c r="J82" s="1"/>
      <c r="K82" s="90" t="s">
        <v>843</v>
      </c>
      <c r="L82" s="90" t="s">
        <v>892</v>
      </c>
    </row>
    <row r="83" ht="15" customHeight="1">
      <c r="A83" s="1"/>
      <c r="B83" s="1" t="s">
        <v>928</v>
      </c>
      <c r="C83" s="99"/>
      <c r="D83" s="1"/>
      <c r="E83" s="1"/>
      <c r="F83" s="1"/>
      <c r="G83" s="1"/>
      <c r="H83" s="1"/>
      <c r="I83" s="1"/>
      <c r="J83" s="1"/>
      <c r="K83" s="90" t="s">
        <v>843</v>
      </c>
      <c r="L83" s="90" t="s">
        <v>892</v>
      </c>
    </row>
    <row r="84" ht="15" customHeight="1">
      <c r="A84" s="1"/>
      <c r="B84" s="1" t="s">
        <v>929</v>
      </c>
      <c r="C84" s="94">
        <v>1140.75</v>
      </c>
      <c r="D84" s="1"/>
      <c r="E84" s="1"/>
      <c r="F84" s="1"/>
      <c r="G84" s="1"/>
      <c r="H84" s="1"/>
      <c r="I84" s="1"/>
      <c r="J84" s="1"/>
      <c r="K84" s="90" t="s">
        <v>843</v>
      </c>
      <c r="L84" s="1"/>
    </row>
    <row r="85" ht="15" customHeight="1">
      <c r="A85" s="1"/>
      <c r="B85" s="1" t="s">
        <v>930</v>
      </c>
      <c r="C85" s="99"/>
      <c r="D85" s="1"/>
      <c r="E85" s="1"/>
      <c r="F85" s="1"/>
      <c r="G85" s="1"/>
      <c r="H85" s="1"/>
      <c r="I85" s="1"/>
      <c r="J85" s="1"/>
      <c r="K85" s="90" t="s">
        <v>843</v>
      </c>
      <c r="L85" s="90" t="s">
        <v>892</v>
      </c>
    </row>
    <row r="86" ht="15" customHeight="1">
      <c r="A86" s="1"/>
      <c r="B86" s="1" t="s">
        <v>931</v>
      </c>
      <c r="C86" s="99"/>
      <c r="D86" s="1"/>
      <c r="E86" s="1"/>
      <c r="F86" s="1"/>
      <c r="G86" s="1"/>
      <c r="H86" s="1"/>
      <c r="I86" s="1"/>
      <c r="J86" s="1"/>
      <c r="K86" s="90" t="s">
        <v>843</v>
      </c>
      <c r="L86" s="90" t="s">
        <v>892</v>
      </c>
    </row>
    <row r="87" ht="15" customHeight="1">
      <c r="A87" s="1"/>
      <c r="B87" s="1" t="s">
        <v>932</v>
      </c>
      <c r="C87" s="99"/>
      <c r="D87" s="1"/>
      <c r="E87" s="1"/>
      <c r="F87" s="1"/>
      <c r="G87" s="1"/>
      <c r="H87" s="1"/>
      <c r="I87" s="1"/>
      <c r="J87" s="1"/>
      <c r="K87" s="90" t="s">
        <v>843</v>
      </c>
      <c r="L87" s="90" t="s">
        <v>892</v>
      </c>
    </row>
    <row r="88" ht="15" customHeight="1">
      <c r="A88" s="1"/>
      <c r="B88" s="1" t="s">
        <v>933</v>
      </c>
      <c r="C88" s="94">
        <v>-414.11</v>
      </c>
      <c r="D88" s="1"/>
      <c r="E88" s="1"/>
      <c r="F88" s="1"/>
      <c r="G88" s="1"/>
      <c r="H88" s="1"/>
      <c r="I88" s="1"/>
      <c r="J88" s="1"/>
      <c r="K88" s="90" t="s">
        <v>843</v>
      </c>
      <c r="L88" s="1"/>
    </row>
    <row r="89" ht="15" customHeight="1">
      <c r="A89" s="1"/>
      <c r="B89" s="1" t="s">
        <v>934</v>
      </c>
      <c r="C89" s="94">
        <v>28242.23</v>
      </c>
      <c r="D89" s="1"/>
      <c r="E89" s="1"/>
      <c r="F89" s="1"/>
      <c r="G89" s="1"/>
      <c r="H89" s="1"/>
      <c r="I89" s="1"/>
      <c r="J89" s="1"/>
      <c r="K89" s="90" t="s">
        <v>843</v>
      </c>
      <c r="L89" s="1"/>
    </row>
    <row r="90" ht="15" customHeight="1">
      <c r="A90" s="1"/>
      <c r="B90" s="1" t="s">
        <v>935</v>
      </c>
      <c r="C90" s="99"/>
      <c r="D90" s="1"/>
      <c r="E90" s="1"/>
      <c r="F90" s="1"/>
      <c r="G90" s="1"/>
      <c r="H90" s="1"/>
      <c r="I90" s="1"/>
      <c r="J90" s="1"/>
      <c r="K90" s="90" t="s">
        <v>843</v>
      </c>
      <c r="L90" s="90" t="s">
        <v>892</v>
      </c>
    </row>
    <row r="91" ht="15" customHeight="1">
      <c r="A91" s="1"/>
      <c r="B91" s="1" t="s">
        <v>936</v>
      </c>
      <c r="C91" s="99"/>
      <c r="D91" s="1"/>
      <c r="E91" s="1"/>
      <c r="F91" s="1"/>
      <c r="G91" s="1"/>
      <c r="H91" s="1"/>
      <c r="I91" s="1"/>
      <c r="J91" s="1"/>
      <c r="K91" s="90" t="s">
        <v>843</v>
      </c>
      <c r="L91" s="90" t="s">
        <v>892</v>
      </c>
    </row>
    <row r="92" ht="15" customHeight="1">
      <c r="A92" s="1"/>
      <c r="B92" s="1" t="s">
        <v>937</v>
      </c>
      <c r="C92" s="93">
        <v>227.78</v>
      </c>
      <c r="D92" s="1"/>
      <c r="E92" s="1"/>
      <c r="F92" s="1"/>
      <c r="G92" s="1"/>
      <c r="H92" s="1"/>
      <c r="I92" s="1"/>
      <c r="J92" s="1"/>
      <c r="K92" s="90" t="s">
        <v>843</v>
      </c>
      <c r="L92" s="1"/>
    </row>
    <row r="93" ht="15" customHeight="1">
      <c r="A93" s="1"/>
      <c r="B93" s="1" t="s">
        <v>938</v>
      </c>
      <c r="C93" s="93">
        <v>235</v>
      </c>
      <c r="D93" s="1"/>
      <c r="E93" s="1"/>
      <c r="F93" s="1"/>
      <c r="G93" s="1"/>
      <c r="H93" s="1"/>
      <c r="I93" s="1"/>
      <c r="J93" s="1"/>
      <c r="K93" s="90" t="s">
        <v>843</v>
      </c>
      <c r="L93" s="1"/>
    </row>
    <row r="94" ht="15" customHeight="1">
      <c r="A94" s="1"/>
      <c r="B94" s="1" t="s">
        <v>939</v>
      </c>
      <c r="C94" s="93">
        <v>250</v>
      </c>
      <c r="D94" s="1"/>
      <c r="E94" s="1"/>
      <c r="F94" s="1"/>
      <c r="G94" s="1"/>
      <c r="H94" s="1"/>
      <c r="I94" s="1"/>
      <c r="J94" s="1"/>
      <c r="K94" s="90" t="s">
        <v>843</v>
      </c>
      <c r="L94" s="1"/>
    </row>
    <row r="95" ht="15" customHeight="1">
      <c r="A95" s="1"/>
      <c r="B95" s="1" t="s">
        <v>940</v>
      </c>
      <c r="C95" s="93">
        <v>200</v>
      </c>
      <c r="D95" s="1"/>
      <c r="E95" s="1"/>
      <c r="F95" s="1"/>
      <c r="G95" s="1"/>
      <c r="H95" s="1"/>
      <c r="I95" s="1"/>
      <c r="J95" s="1"/>
      <c r="K95" s="90" t="s">
        <v>843</v>
      </c>
      <c r="L95" s="1"/>
    </row>
    <row r="96" ht="15" customHeight="1">
      <c r="A96" s="1"/>
      <c r="B96" s="1" t="s">
        <v>941</v>
      </c>
      <c r="C96" s="93">
        <v>14.31</v>
      </c>
      <c r="D96" s="1"/>
      <c r="E96" s="1"/>
      <c r="F96" s="1"/>
      <c r="G96" s="1"/>
      <c r="H96" s="1"/>
      <c r="I96" s="1"/>
      <c r="J96" s="1"/>
      <c r="K96" s="90" t="s">
        <v>843</v>
      </c>
      <c r="L96" s="1"/>
    </row>
    <row r="97" ht="15" customHeight="1">
      <c r="A97" s="1"/>
      <c r="B97" s="1" t="s">
        <v>942</v>
      </c>
      <c r="C97" s="92">
        <v>23</v>
      </c>
      <c r="D97" s="1"/>
      <c r="E97" s="1"/>
      <c r="F97" s="1"/>
      <c r="G97" s="1"/>
      <c r="H97" s="1"/>
      <c r="I97" s="1"/>
      <c r="J97" s="1"/>
      <c r="K97" s="90" t="s">
        <v>843</v>
      </c>
      <c r="L97" s="1"/>
    </row>
    <row r="98" ht="15" customHeight="1">
      <c r="A98" s="1"/>
      <c r="B98" s="1" t="s">
        <v>943</v>
      </c>
      <c r="C98" s="89" t="s">
        <v>944</v>
      </c>
      <c r="D98" s="1"/>
      <c r="E98" s="1"/>
      <c r="F98" s="1"/>
      <c r="G98" s="1"/>
      <c r="H98" s="1"/>
      <c r="I98" s="1"/>
      <c r="J98" s="1"/>
      <c r="K98" s="90" t="s">
        <v>843</v>
      </c>
      <c r="L98" s="1"/>
    </row>
    <row r="99" ht="15" customHeight="1">
      <c r="A99" s="1"/>
      <c r="B99" s="1" t="s">
        <v>945</v>
      </c>
      <c r="C99" s="100">
        <v>1.92</v>
      </c>
      <c r="D99" s="1"/>
      <c r="E99" s="1"/>
      <c r="F99" s="1"/>
      <c r="G99" s="1"/>
      <c r="H99" s="1"/>
      <c r="I99" s="1"/>
      <c r="J99" s="1"/>
      <c r="K99" s="90" t="s">
        <v>843</v>
      </c>
      <c r="L99" s="1"/>
    </row>
    <row r="100" ht="15" customHeight="1">
      <c r="A100" s="1"/>
      <c r="B100" s="1" t="s">
        <v>946</v>
      </c>
      <c r="C100" s="93">
        <v>193.92</v>
      </c>
      <c r="D100" s="1"/>
      <c r="E100" s="1"/>
      <c r="F100" s="1"/>
      <c r="G100" s="1"/>
      <c r="H100" s="1"/>
      <c r="I100" s="1"/>
      <c r="J100" s="1"/>
      <c r="K100" s="90" t="s">
        <v>843</v>
      </c>
      <c r="L100" s="1"/>
    </row>
    <row r="101" ht="15" customHeight="1">
      <c r="A101" s="1"/>
      <c r="B101" s="1" t="s">
        <v>947</v>
      </c>
      <c r="C101" s="89" t="s">
        <v>948</v>
      </c>
      <c r="D101" s="1"/>
      <c r="E101" s="1"/>
      <c r="F101" s="1"/>
      <c r="G101" s="1"/>
      <c r="H101" s="1"/>
      <c r="I101" s="1"/>
      <c r="J101" s="1"/>
      <c r="K101" s="90" t="s">
        <v>843</v>
      </c>
      <c r="L101" s="1"/>
    </row>
    <row r="102" ht="15" customHeight="1">
      <c r="A102" s="1"/>
      <c r="B102" s="1" t="s">
        <v>949</v>
      </c>
      <c r="C102" s="91" t="s">
        <v>702</v>
      </c>
      <c r="D102" s="1"/>
      <c r="E102" s="1"/>
      <c r="F102" s="1"/>
      <c r="G102" s="1"/>
      <c r="H102" s="1"/>
      <c r="I102" s="1"/>
      <c r="J102" s="1"/>
      <c r="K102" s="90" t="s">
        <v>843</v>
      </c>
      <c r="L102" s="1"/>
    </row>
    <row r="103" ht="45" customHeight="1">
      <c r="A103" s="1"/>
      <c r="B103" s="95" t="s">
        <v>950</v>
      </c>
      <c r="C103" s="96" t="s">
        <v>951</v>
      </c>
      <c r="D103" s="97"/>
      <c r="E103" s="97"/>
      <c r="F103" s="97"/>
      <c r="G103" s="97"/>
      <c r="H103" s="97"/>
      <c r="I103" s="97"/>
      <c r="J103" s="97"/>
      <c r="K103" s="98" t="s">
        <v>843</v>
      </c>
      <c r="L103" s="95"/>
    </row>
    <row r="104" ht="1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ht="15" customHeight="1">
      <c r="A105" s="1"/>
      <c r="B105" s="4" t="s">
        <v>952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ht="37.5" customHeight="1">
      <c r="A106" s="1"/>
      <c r="B106" s="15" t="s">
        <v>848</v>
      </c>
      <c r="C106" s="101" t="s">
        <v>953</v>
      </c>
      <c r="D106" s="101" t="s">
        <v>954</v>
      </c>
      <c r="E106" s="101" t="s">
        <v>955</v>
      </c>
      <c r="F106" s="101" t="s">
        <v>956</v>
      </c>
      <c r="G106" s="101" t="s">
        <v>957</v>
      </c>
      <c r="H106" s="101" t="s">
        <v>958</v>
      </c>
      <c r="I106" s="101" t="s">
        <v>959</v>
      </c>
      <c r="J106" s="101" t="s">
        <v>960</v>
      </c>
      <c r="K106" s="101" t="s">
        <v>961</v>
      </c>
      <c r="L106" s="101" t="s">
        <v>962</v>
      </c>
    </row>
    <row r="107" ht="15" customHeight="1">
      <c r="A107" s="1"/>
      <c r="B107" s="102" t="s">
        <v>963</v>
      </c>
      <c r="C107" s="91" t="s">
        <v>632</v>
      </c>
      <c r="D107" s="76">
        <v>1.37</v>
      </c>
      <c r="E107" s="76">
        <v>1.47</v>
      </c>
      <c r="F107" s="76">
        <v>1.06</v>
      </c>
      <c r="G107" s="76">
        <v>1.14</v>
      </c>
      <c r="H107" s="35">
        <v>19796.52</v>
      </c>
      <c r="I107" s="35">
        <v>20306</v>
      </c>
      <c r="J107" s="23">
        <f t="shared" si="0" ref="J107:J112">E107-D107</f>
        <v>0.09999999999999987</v>
      </c>
      <c r="K107" s="21">
        <f t="shared" si="1" ref="K107:K112">IF(E107&gt;D107,1,0)</f>
        <v>1</v>
      </c>
      <c r="L107" s="18">
        <f t="shared" si="2" ref="L107:L112">I107-H107</f>
        <v>509.47999999999956</v>
      </c>
    </row>
    <row r="108" ht="15" customHeight="1">
      <c r="A108" s="1"/>
      <c r="B108" s="102" t="s">
        <v>964</v>
      </c>
      <c r="C108" s="91" t="s">
        <v>640</v>
      </c>
      <c r="D108" s="76">
        <v>1.43</v>
      </c>
      <c r="E108" s="76">
        <v>1.56</v>
      </c>
      <c r="F108" s="76">
        <v>1.1</v>
      </c>
      <c r="G108" s="76">
        <v>1.22</v>
      </c>
      <c r="H108" s="35">
        <v>20632.09</v>
      </c>
      <c r="I108" s="35">
        <v>21581</v>
      </c>
      <c r="J108" s="23">
        <f t="shared" si="0"/>
        <v>0.13000000000000012</v>
      </c>
      <c r="K108" s="21">
        <f t="shared" si="1"/>
        <v>1</v>
      </c>
      <c r="L108" s="18">
        <f t="shared" si="2"/>
        <v>948.9099999999999</v>
      </c>
    </row>
    <row r="109" ht="15" customHeight="1">
      <c r="A109" s="1"/>
      <c r="B109" s="102" t="s">
        <v>965</v>
      </c>
      <c r="C109" s="91" t="s">
        <v>644</v>
      </c>
      <c r="D109" s="76">
        <v>1.41</v>
      </c>
      <c r="E109" s="76">
        <v>1.7</v>
      </c>
      <c r="F109" s="76">
        <v>1.13</v>
      </c>
      <c r="G109" s="76">
        <v>1.41</v>
      </c>
      <c r="H109" s="35">
        <v>21322.5</v>
      </c>
      <c r="I109" s="35">
        <v>22478</v>
      </c>
      <c r="J109" s="23">
        <f t="shared" si="0"/>
        <v>0.29000000000000004</v>
      </c>
      <c r="K109" s="21">
        <f t="shared" si="1"/>
        <v>1</v>
      </c>
      <c r="L109" s="18">
        <f t="shared" si="2"/>
        <v>1155.5</v>
      </c>
    </row>
    <row r="110" ht="15" customHeight="1">
      <c r="A110" s="1"/>
      <c r="B110" s="102" t="s">
        <v>966</v>
      </c>
      <c r="C110" s="91" t="s">
        <v>647</v>
      </c>
      <c r="D110" s="76">
        <v>1.47</v>
      </c>
      <c r="E110" s="76">
        <v>1.55</v>
      </c>
      <c r="F110" s="76">
        <v>1.15</v>
      </c>
      <c r="G110" s="76">
        <v>1.19</v>
      </c>
      <c r="H110" s="35">
        <v>22704.06</v>
      </c>
      <c r="I110" s="35">
        <v>24238</v>
      </c>
      <c r="J110" s="23">
        <f t="shared" si="0"/>
        <v>0.08000000000000007</v>
      </c>
      <c r="K110" s="21">
        <f t="shared" si="1"/>
        <v>1</v>
      </c>
      <c r="L110" s="18">
        <f t="shared" si="2"/>
        <v>1533.9399999999987</v>
      </c>
    </row>
    <row r="111" ht="15" customHeight="1">
      <c r="A111" s="1"/>
      <c r="B111" s="102" t="s">
        <v>967</v>
      </c>
      <c r="C111" s="91" t="s">
        <v>652</v>
      </c>
      <c r="D111" s="76">
        <v>1.52</v>
      </c>
      <c r="E111" s="76">
        <v>1.78</v>
      </c>
      <c r="F111" s="76">
        <v>1.22</v>
      </c>
      <c r="G111" s="76">
        <v>1.51</v>
      </c>
      <c r="H111" s="35">
        <v>21472.25</v>
      </c>
      <c r="I111" s="35">
        <v>22076</v>
      </c>
      <c r="J111" s="23">
        <f t="shared" si="0"/>
        <v>0.26</v>
      </c>
      <c r="K111" s="21">
        <f t="shared" si="1"/>
        <v>1</v>
      </c>
      <c r="L111" s="18">
        <f t="shared" si="2"/>
        <v>603.75</v>
      </c>
    </row>
    <row r="112" ht="15" customHeight="1">
      <c r="A112" s="1"/>
      <c r="B112" s="102" t="s">
        <v>968</v>
      </c>
      <c r="C112" s="91" t="s">
        <v>655</v>
      </c>
      <c r="D112" s="76">
        <v>1.66</v>
      </c>
      <c r="E112" s="76">
        <v>1.89</v>
      </c>
      <c r="F112" s="76">
        <v>1.35</v>
      </c>
      <c r="G112" s="76">
        <v>1.57</v>
      </c>
      <c r="H112" s="35">
        <v>22880.25</v>
      </c>
      <c r="I112" s="35">
        <v>24708</v>
      </c>
      <c r="J112" s="23">
        <f t="shared" si="0"/>
        <v>0.22999999999999998</v>
      </c>
      <c r="K112" s="21">
        <f t="shared" si="1"/>
        <v>1</v>
      </c>
      <c r="L112" s="18">
        <f t="shared" si="2"/>
        <v>1827.75</v>
      </c>
    </row>
    <row r="113" ht="1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ht="15" customHeight="1">
      <c r="A114" s="1"/>
      <c r="B114" s="4" t="s">
        <v>969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ht="15" customHeight="1">
      <c r="A115" s="1"/>
      <c r="B115" s="1" t="s">
        <v>970</v>
      </c>
      <c r="C115" s="35">
        <v>261.36</v>
      </c>
      <c r="D115" s="18"/>
      <c r="E115" s="18"/>
      <c r="F115" s="18"/>
      <c r="G115" s="18"/>
      <c r="H115" s="18"/>
      <c r="I115" s="18"/>
      <c r="J115" s="18"/>
      <c r="K115" s="90" t="s">
        <v>971</v>
      </c>
      <c r="L115" s="90" t="s">
        <v>972</v>
      </c>
    </row>
    <row r="116" ht="15" customHeight="1">
      <c r="A116" s="1"/>
      <c r="B116" s="1" t="s">
        <v>973</v>
      </c>
      <c r="C116" s="91" t="s">
        <v>781</v>
      </c>
      <c r="D116" s="37"/>
      <c r="E116" s="37"/>
      <c r="F116" s="37"/>
      <c r="G116" s="37"/>
      <c r="H116" s="37"/>
      <c r="I116" s="37"/>
      <c r="J116" s="37"/>
      <c r="K116" s="90" t="s">
        <v>971</v>
      </c>
      <c r="L116" s="1"/>
    </row>
    <row r="117" ht="15" customHeight="1">
      <c r="A117" s="1"/>
      <c r="B117" s="1" t="s">
        <v>974</v>
      </c>
      <c r="C117" s="35">
        <v>10</v>
      </c>
      <c r="D117" s="18"/>
      <c r="E117" s="18"/>
      <c r="F117" s="18"/>
      <c r="G117" s="18"/>
      <c r="H117" s="18"/>
      <c r="I117" s="18"/>
      <c r="J117" s="18"/>
      <c r="K117" s="90" t="s">
        <v>975</v>
      </c>
      <c r="L117" s="1"/>
    </row>
    <row r="118" ht="15" customHeight="1">
      <c r="A118" s="1"/>
      <c r="B118" s="1" t="s">
        <v>976</v>
      </c>
      <c r="C118" s="35">
        <v>2</v>
      </c>
      <c r="D118" s="18"/>
      <c r="E118" s="18"/>
      <c r="F118" s="18"/>
      <c r="G118" s="18"/>
      <c r="H118" s="18"/>
      <c r="I118" s="18"/>
      <c r="J118" s="18"/>
      <c r="K118" s="90" t="s">
        <v>975</v>
      </c>
      <c r="L118" s="1"/>
    </row>
    <row r="119" ht="15" customHeight="1">
      <c r="A119" s="1"/>
      <c r="B119" s="5" t="s">
        <v>977</v>
      </c>
      <c r="C119" s="65">
        <v>0.6</v>
      </c>
      <c r="D119" s="19"/>
      <c r="E119" s="19"/>
      <c r="F119" s="19"/>
      <c r="G119" s="19"/>
      <c r="H119" s="19"/>
      <c r="I119" s="19"/>
      <c r="J119" s="19"/>
      <c r="K119" s="90" t="s">
        <v>975</v>
      </c>
      <c r="L119" s="1"/>
    </row>
    <row r="120" ht="15" customHeight="1">
      <c r="A120" s="1"/>
      <c r="B120" s="5" t="s">
        <v>978</v>
      </c>
      <c r="C120" s="65">
        <v>0.7</v>
      </c>
      <c r="D120" s="19"/>
      <c r="E120" s="19"/>
      <c r="F120" s="19"/>
      <c r="G120" s="19"/>
      <c r="H120" s="19"/>
      <c r="I120" s="19"/>
      <c r="J120" s="19"/>
      <c r="K120" s="90" t="s">
        <v>975</v>
      </c>
      <c r="L120" s="1"/>
    </row>
    <row r="121" ht="15" customHeight="1">
      <c r="A121" s="1"/>
      <c r="B121" s="5" t="s">
        <v>979</v>
      </c>
      <c r="C121" s="65">
        <v>0.78</v>
      </c>
      <c r="D121" s="19"/>
      <c r="E121" s="19"/>
      <c r="F121" s="19"/>
      <c r="G121" s="19"/>
      <c r="H121" s="19"/>
      <c r="I121" s="19"/>
      <c r="J121" s="19"/>
      <c r="K121" s="90" t="s">
        <v>975</v>
      </c>
      <c r="L121" s="1"/>
    </row>
    <row r="122" ht="15" customHeight="1">
      <c r="A122" s="1"/>
      <c r="B122" s="1" t="s">
        <v>980</v>
      </c>
      <c r="C122" s="37" t="str">
        <f>IF(C115&gt;C117,"large",IF(C115&gt;=C118,"mid","small"))</f>
        <v>large</v>
      </c>
      <c r="D122" s="37"/>
      <c r="E122" s="37"/>
      <c r="F122" s="37"/>
      <c r="G122" s="37"/>
      <c r="H122" s="37"/>
      <c r="I122" s="37"/>
      <c r="J122" s="37"/>
      <c r="K122" s="1"/>
      <c r="L122" s="1"/>
    </row>
    <row r="123" ht="15" customHeight="1">
      <c r="A123" s="1"/>
      <c r="B123" s="1" t="s">
        <v>982</v>
      </c>
      <c r="C123" s="103" t="b">
        <v>1</v>
      </c>
      <c r="D123" s="37"/>
      <c r="E123" s="37"/>
      <c r="F123" s="37"/>
      <c r="G123" s="37"/>
      <c r="H123" s="37"/>
      <c r="I123" s="37"/>
      <c r="J123" s="37"/>
      <c r="K123" s="90" t="s">
        <v>983</v>
      </c>
      <c r="L123" s="90" t="s">
        <v>984</v>
      </c>
    </row>
    <row r="124" ht="15" customHeight="1">
      <c r="A124" s="1"/>
      <c r="B124" s="5" t="s">
        <v>985</v>
      </c>
      <c r="C124" s="19">
        <f>IF(OR(C122="large",C123=TRUE),C121,IF(C122="mid",C120,C119))</f>
        <v>0.78</v>
      </c>
      <c r="D124" s="19"/>
      <c r="E124" s="19"/>
      <c r="F124" s="19"/>
      <c r="G124" s="19"/>
      <c r="H124" s="19"/>
      <c r="I124" s="19"/>
      <c r="J124" s="19"/>
      <c r="K124" s="1"/>
      <c r="L124" s="1"/>
    </row>
    <row r="125" ht="15" customHeight="1">
      <c r="A125" s="1"/>
      <c r="B125" s="1" t="s">
        <v>986</v>
      </c>
      <c r="C125" s="21">
        <f>SUM(K107:K112)</f>
        <v>6</v>
      </c>
      <c r="D125" s="21"/>
      <c r="E125" s="21"/>
      <c r="F125" s="21"/>
      <c r="G125" s="21"/>
      <c r="H125" s="21"/>
      <c r="I125" s="21"/>
      <c r="J125" s="21"/>
      <c r="K125" s="1"/>
      <c r="L125" s="1"/>
    </row>
    <row r="126" ht="15" customHeight="1">
      <c r="A126" s="1"/>
      <c r="B126" s="1" t="s">
        <v>987</v>
      </c>
      <c r="C126" s="21">
        <f>COUNT(J107:J112)</f>
        <v>6</v>
      </c>
      <c r="D126" s="21"/>
      <c r="E126" s="21"/>
      <c r="F126" s="21"/>
      <c r="G126" s="21"/>
      <c r="H126" s="21"/>
      <c r="I126" s="21"/>
      <c r="J126" s="21"/>
      <c r="K126" s="1"/>
      <c r="L126" s="1"/>
    </row>
    <row r="127" ht="15" customHeight="1">
      <c r="A127" s="1"/>
      <c r="B127" s="1" t="s">
        <v>988</v>
      </c>
      <c r="C127" s="58">
        <v>8</v>
      </c>
      <c r="D127" s="21"/>
      <c r="E127" s="21"/>
      <c r="F127" s="21"/>
      <c r="G127" s="21"/>
      <c r="H127" s="21"/>
      <c r="I127" s="21"/>
      <c r="J127" s="21"/>
      <c r="K127" s="1"/>
      <c r="L127" s="90" t="s">
        <v>989</v>
      </c>
    </row>
    <row r="128" ht="15" customHeight="1">
      <c r="A128" s="1"/>
      <c r="B128" s="45" t="s">
        <v>990</v>
      </c>
      <c r="C128" s="46">
        <f>(C127*C124+C125)/(C127+C126)</f>
        <v>0.8742857142857143</v>
      </c>
      <c r="D128" s="46"/>
      <c r="E128" s="46"/>
      <c r="F128" s="46"/>
      <c r="G128" s="46"/>
      <c r="H128" s="46"/>
      <c r="I128" s="46"/>
      <c r="J128" s="46"/>
      <c r="K128" s="1"/>
      <c r="L128" s="1"/>
    </row>
    <row r="129" ht="15" customHeight="1">
      <c r="A129" s="1"/>
      <c r="B129" s="5" t="s">
        <v>991</v>
      </c>
      <c r="C129" s="65">
        <v>-0.07</v>
      </c>
      <c r="D129" s="19"/>
      <c r="E129" s="19"/>
      <c r="F129" s="19"/>
      <c r="G129" s="19"/>
      <c r="H129" s="19"/>
      <c r="I129" s="19"/>
      <c r="J129" s="19"/>
      <c r="K129" s="1"/>
      <c r="L129" s="90" t="s">
        <v>992</v>
      </c>
    </row>
    <row r="130" ht="15" customHeight="1">
      <c r="A130" s="1"/>
      <c r="B130" s="45" t="s">
        <v>993</v>
      </c>
      <c r="C130" s="46">
        <f>C128+C129</f>
        <v>0.8042857142857143</v>
      </c>
      <c r="D130" s="46"/>
      <c r="E130" s="46"/>
      <c r="F130" s="46"/>
      <c r="G130" s="46"/>
      <c r="H130" s="46"/>
      <c r="I130" s="46"/>
      <c r="J130" s="46"/>
      <c r="K130" s="1"/>
      <c r="L130" s="1"/>
    </row>
    <row r="131" ht="15" customHeight="1">
      <c r="A131" s="1"/>
      <c r="B131" s="1" t="s">
        <v>994</v>
      </c>
      <c r="C131" s="23">
        <f>AVERAGE(J107:J112)</f>
        <v>0.18166666666666667</v>
      </c>
      <c r="D131" s="23"/>
      <c r="E131" s="23"/>
      <c r="F131" s="23"/>
      <c r="G131" s="23"/>
      <c r="H131" s="23"/>
      <c r="I131" s="23"/>
      <c r="J131" s="23"/>
      <c r="K131" s="1"/>
      <c r="L131" s="1"/>
    </row>
    <row r="132" ht="15" customHeight="1">
      <c r="A132" s="1"/>
      <c r="B132" s="1" t="s">
        <v>995</v>
      </c>
      <c r="C132" s="23">
        <f>MIN(J107:J112)</f>
        <v>0.08000000000000007</v>
      </c>
      <c r="D132" s="23"/>
      <c r="E132" s="23"/>
      <c r="F132" s="23"/>
      <c r="G132" s="23"/>
      <c r="H132" s="23"/>
      <c r="I132" s="23"/>
      <c r="J132" s="23"/>
      <c r="K132" s="1"/>
      <c r="L132" s="1"/>
    </row>
    <row r="133" ht="15" customHeight="1">
      <c r="A133" s="1"/>
      <c r="B133" s="1" t="s">
        <v>996</v>
      </c>
      <c r="C133" s="23">
        <f>J109</f>
        <v>0.29000000000000004</v>
      </c>
      <c r="D133" s="23"/>
      <c r="E133" s="23"/>
      <c r="F133" s="23"/>
      <c r="G133" s="23"/>
      <c r="H133" s="23"/>
      <c r="I133" s="23"/>
      <c r="J133" s="23"/>
      <c r="K133" s="1"/>
      <c r="L133" s="1"/>
    </row>
    <row r="134" ht="1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ht="15" customHeight="1">
      <c r="A135" s="1"/>
      <c r="B135" s="4" t="s">
        <v>997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ht="15" customHeight="1">
      <c r="A136" s="1"/>
      <c r="B136" s="1" t="s">
        <v>998</v>
      </c>
      <c r="C136" s="76">
        <v>1.76</v>
      </c>
      <c r="D136" s="23"/>
      <c r="E136" s="23"/>
      <c r="F136" s="23"/>
      <c r="G136" s="23"/>
      <c r="H136" s="23"/>
      <c r="I136" s="23"/>
      <c r="J136" s="23"/>
      <c r="K136" s="90" t="s">
        <v>999</v>
      </c>
      <c r="L136" s="1"/>
    </row>
    <row r="137" ht="15" customHeight="1">
      <c r="A137" s="1"/>
      <c r="B137" s="1" t="s">
        <v>1000</v>
      </c>
      <c r="C137" s="35">
        <v>23840</v>
      </c>
      <c r="D137" s="18"/>
      <c r="E137" s="18"/>
      <c r="F137" s="18"/>
      <c r="G137" s="18"/>
      <c r="H137" s="18"/>
      <c r="I137" s="18"/>
      <c r="J137" s="18"/>
      <c r="K137" s="90" t="s">
        <v>999</v>
      </c>
      <c r="L137" s="1"/>
    </row>
    <row r="138" ht="15" customHeight="1">
      <c r="A138" s="1"/>
      <c r="B138" s="1" t="s">
        <v>1001</v>
      </c>
      <c r="C138" s="76">
        <v>1.78</v>
      </c>
      <c r="D138" s="23"/>
      <c r="E138" s="23"/>
      <c r="F138" s="23"/>
      <c r="G138" s="23"/>
      <c r="H138" s="23"/>
      <c r="I138" s="23"/>
      <c r="J138" s="23"/>
      <c r="K138" s="90" t="s">
        <v>1002</v>
      </c>
      <c r="L138" s="1"/>
    </row>
    <row r="139" ht="15" customHeight="1">
      <c r="A139" s="1"/>
      <c r="B139" s="1" t="s">
        <v>1003</v>
      </c>
      <c r="C139" s="35">
        <v>24090</v>
      </c>
      <c r="D139" s="18"/>
      <c r="E139" s="18"/>
      <c r="F139" s="18"/>
      <c r="G139" s="18"/>
      <c r="H139" s="18"/>
      <c r="I139" s="18"/>
      <c r="J139" s="18"/>
      <c r="K139" s="90" t="s">
        <v>1002</v>
      </c>
      <c r="L139" s="1"/>
    </row>
    <row r="140" ht="15" customHeight="1">
      <c r="A140" s="1"/>
      <c r="B140" s="1" t="s">
        <v>1004</v>
      </c>
      <c r="C140" s="35">
        <v>8060</v>
      </c>
      <c r="D140" s="18"/>
      <c r="E140" s="18"/>
      <c r="F140" s="18"/>
      <c r="G140" s="18"/>
      <c r="H140" s="18"/>
      <c r="I140" s="18"/>
      <c r="J140" s="18"/>
      <c r="K140" s="90" t="s">
        <v>999</v>
      </c>
      <c r="L140" s="1"/>
    </row>
    <row r="141" ht="15" customHeight="1">
      <c r="A141" s="1"/>
      <c r="B141" s="1" t="s">
        <v>1005</v>
      </c>
      <c r="C141" s="35">
        <v>1370</v>
      </c>
      <c r="D141" s="18"/>
      <c r="E141" s="18"/>
      <c r="F141" s="18"/>
      <c r="G141" s="18"/>
      <c r="H141" s="18"/>
      <c r="I141" s="18"/>
      <c r="J141" s="18"/>
      <c r="K141" s="90" t="s">
        <v>999</v>
      </c>
      <c r="L141" s="1"/>
    </row>
    <row r="142" ht="15" customHeight="1">
      <c r="A142" s="1"/>
      <c r="B142" s="1" t="s">
        <v>1006</v>
      </c>
      <c r="C142" s="35">
        <v>8960</v>
      </c>
      <c r="D142" s="18"/>
      <c r="E142" s="18"/>
      <c r="F142" s="18"/>
      <c r="G142" s="18"/>
      <c r="H142" s="18"/>
      <c r="I142" s="18"/>
      <c r="J142" s="18"/>
      <c r="K142" s="90" t="s">
        <v>999</v>
      </c>
      <c r="L142" s="1"/>
    </row>
    <row r="143" ht="15" customHeight="1">
      <c r="A143" s="1"/>
      <c r="B143" s="1" t="s">
        <v>1007</v>
      </c>
      <c r="C143" s="35">
        <v>760.55</v>
      </c>
      <c r="D143" s="18"/>
      <c r="E143" s="18"/>
      <c r="F143" s="18"/>
      <c r="G143" s="18"/>
      <c r="H143" s="18"/>
      <c r="I143" s="18"/>
      <c r="J143" s="18"/>
      <c r="K143" s="90" t="s">
        <v>999</v>
      </c>
      <c r="L143" s="1"/>
    </row>
    <row r="144" ht="15" customHeight="1">
      <c r="A144" s="1"/>
      <c r="B144" s="1" t="s">
        <v>1008</v>
      </c>
      <c r="C144" s="35">
        <v>7670</v>
      </c>
      <c r="D144" s="18"/>
      <c r="E144" s="18"/>
      <c r="F144" s="18"/>
      <c r="G144" s="18"/>
      <c r="H144" s="18"/>
      <c r="I144" s="18"/>
      <c r="J144" s="18"/>
      <c r="K144" s="90" t="s">
        <v>999</v>
      </c>
      <c r="L144" s="1"/>
    </row>
    <row r="145" ht="15" customHeight="1">
      <c r="A145" s="1"/>
      <c r="B145" s="1" t="s">
        <v>1009</v>
      </c>
      <c r="C145" s="35">
        <v>950.81</v>
      </c>
      <c r="D145" s="18"/>
      <c r="E145" s="18"/>
      <c r="F145" s="18"/>
      <c r="G145" s="18"/>
      <c r="H145" s="18"/>
      <c r="I145" s="18"/>
      <c r="J145" s="18"/>
      <c r="K145" s="90" t="s">
        <v>999</v>
      </c>
      <c r="L145" s="1"/>
    </row>
    <row r="146" ht="15" customHeight="1">
      <c r="A146" s="1"/>
      <c r="B146" s="1" t="s">
        <v>1010</v>
      </c>
      <c r="C146" s="76">
        <v>7.25</v>
      </c>
      <c r="D146" s="23"/>
      <c r="E146" s="23"/>
      <c r="F146" s="23"/>
      <c r="G146" s="23"/>
      <c r="H146" s="23"/>
      <c r="I146" s="23"/>
      <c r="J146" s="23"/>
      <c r="K146" s="90" t="s">
        <v>1011</v>
      </c>
      <c r="L146" s="1" t="s">
        <v>1012</v>
      </c>
    </row>
    <row r="147" ht="15" customHeight="1">
      <c r="A147" s="1"/>
      <c r="B147" s="1" t="s">
        <v>1013</v>
      </c>
      <c r="C147" s="35">
        <v>96200</v>
      </c>
      <c r="D147" s="18"/>
      <c r="E147" s="18"/>
      <c r="F147" s="18"/>
      <c r="G147" s="18"/>
      <c r="H147" s="18"/>
      <c r="I147" s="18"/>
      <c r="J147" s="18"/>
      <c r="K147" s="90" t="s">
        <v>1011</v>
      </c>
      <c r="L147" s="1" t="s">
        <v>1014</v>
      </c>
    </row>
    <row r="148" ht="1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</sheetData>
  <mergeCells>
    <mergeCell ref="C31:J31"/>
    <mergeCell ref="C30:J30"/>
    <mergeCell ref="C103:J103"/>
  </mergeCells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2026-10-19T19:51:13Z</dcterms:created>
</cp:coreProperties>
</file>