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Intl Smoke-Free" sheetId="3" r:id="rId3"/>
    <sheet name="Segment - Intl Combustibles" sheetId="4" r:id="rId4"/>
    <sheet name="Segment - U.S." sheetId="5" r:id="rId5"/>
    <sheet name="Income Statement" sheetId="6" r:id="rId6"/>
    <sheet name="Balance Sheet" sheetId="7" r:id="rId7"/>
    <sheet name="Cash Flow Statement" sheetId="8" r:id="rId8"/>
    <sheet name="Share Count" sheetId="9" r:id="rId9"/>
    <sheet name="Guidance" sheetId="10" r:id="rId10"/>
    <sheet name="Inputs" sheetId="11" r:id="rId11"/>
    <sheet name="Sources" sheetId="12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9" authorId="0">
      <text>
        <t>ex991recastschedules_2025v.htm (S3) | Heated tobacco units (HTU) shipments | 37,089</t>
      </text>
    </comment>
    <comment ref="D9" authorId="0">
      <text>
        <t>ex991recastschedules_2025v.htm (S3) | Heated tobacco units (HTU) shipments | 38,809</t>
      </text>
    </comment>
    <comment ref="E9" authorId="0">
      <text>
        <t>ex991recastschedules_2025v.htm (S3) | Heated tobacco units (HTU) shipments | 40,833</t>
      </text>
    </comment>
    <comment ref="F9" authorId="0">
      <text>
        <t>ex991recastschedules_2025v.htm (S3) | Heated tobacco units (HTU) shipments | 38,396</t>
      </text>
    </comment>
    <comment ref="H10" authorId="0">
      <text>
        <t>earningsreleasepm-ex991xq1.htm / glossaryselectfininfoandno.htm 1Q26 (S4/S5) | HTU shipment growth, as reported / assumed | 11.3%</t>
      </text>
    </comment>
    <comment ref="I10" authorId="0">
      <text>
        <t>earningsreleasepm-ex991xq2.htm / glossaryselectfininfoandno.htm 2Q26 (S6/S7) | HTU shipment growth, as reported / assumed | 7.6%</t>
      </text>
    </comment>
    <comment ref="C13" authorId="0">
      <text>
        <t>ex991recastschedules_2025v.htm (S3) | Oral smoke-free products shipments (international) | 1,703</t>
      </text>
    </comment>
    <comment ref="D13" authorId="0">
      <text>
        <t>ex991recastschedules_2025v.htm (S3) | Oral smoke-free products shipments (international) | 1,748</t>
      </text>
    </comment>
    <comment ref="E13" authorId="0">
      <text>
        <t>ex991recastschedules_2025v.htm (S3) | Oral smoke-free products shipments (international) | 1,578</t>
      </text>
    </comment>
    <comment ref="F13" authorId="0">
      <text>
        <t>ex991recastschedules_2025v.htm (S3) | Oral smoke-free products shipments (international) | 1,493</t>
      </text>
    </comment>
    <comment ref="H14" authorId="0">
      <text>
        <t>earningsreleasepm-ex991xq1.htm / glossaryselectfininfoandno.htm 1Q26 (S4/S5) | Oral SFP shipment growth, as reported / assumed | (5.1%)</t>
      </text>
    </comment>
    <comment ref="I14" authorId="0">
      <text>
        <t>earningsreleasepm-ex991xq2.htm / glossaryselectfininfoandno.htm 2Q26 (S6/S7) | Oral SFP shipment growth, as reported / assumed | (7.0%)</t>
      </text>
    </comment>
    <comment ref="C17" authorId="0">
      <text>
        <t>ex991recastschedules_2025v.htm (S3) | of which nicotine pouches (modern oral) | 427</t>
      </text>
    </comment>
    <comment ref="D17" authorId="0">
      <text>
        <t>ex991recastschedules_2025v.htm (S3) | of which nicotine pouches (modern oral) | 485</t>
      </text>
    </comment>
    <comment ref="E17" authorId="0">
      <text>
        <t>ex991recastschedules_2025v.htm (S3) | of which nicotine pouches (modern oral) | 388</t>
      </text>
    </comment>
    <comment ref="F17" authorId="0">
      <text>
        <t>ex991recastschedules_2025v.htm (S3) | of which nicotine pouches (modern oral) | 394</t>
      </text>
    </comment>
    <comment ref="H17" authorId="0">
      <text>
        <t>earningsreleasepm-ex991xq1.htm / glossaryselectfininfoandno.htm 1Q26 (S4/S5) | of which nicotine pouches (modern oral) | 500</t>
      </text>
    </comment>
    <comment ref="I18" authorId="0">
      <text>
        <t>earningsreleasepm-ex991xq2.htm / glossaryselectfininfoandno.htm 2Q26 (S6/S7) | Modern oral growth, as reported / assumed | 14.7%</t>
      </text>
    </comment>
    <comment ref="C24" authorId="0">
      <text>
        <t>ex991recastschedules_2025v.htm (S3) | E-vapor shipments (VEEV) | 632</t>
      </text>
    </comment>
    <comment ref="D24" authorId="0">
      <text>
        <t>ex991recastschedules_2025v.htm (S3) | E-vapor shipments (VEEV) | 858</t>
      </text>
    </comment>
    <comment ref="E24" authorId="0">
      <text>
        <t>ex991recastschedules_2025v.htm (S3) | E-vapor shipments (VEEV) | 885</t>
      </text>
    </comment>
    <comment ref="F24" authorId="0">
      <text>
        <t>ex991recastschedules_2025v.htm (S3) | E-vapor shipments (VEEV) | 955</t>
      </text>
    </comment>
    <comment ref="H25" authorId="0">
      <text>
        <t>earningsreleasepm-ex991xq1.htm / glossaryselectfininfoandno.htm 1Q26 (S4/S5) | E-vapor shipment growth, as reported / assumed | 94.8%</t>
      </text>
    </comment>
    <comment ref="I25" authorId="0">
      <text>
        <t>earningsreleasepm-ex991xq2.htm / glossaryselectfininfoandno.htm 2Q26 (S6/S7) | E-vapor shipment growth, as reported / assumed | 55.1%</t>
      </text>
    </comment>
    <comment ref="C37" authorId="0">
      <text>
        <t>ex991recastschedules_2025v.htm (S3) | Prior-year net revenues | 2,850.0</t>
      </text>
    </comment>
    <comment ref="D37" authorId="0">
      <text>
        <t>ex991recastschedules_2025v.htm (S3) | Prior-year net revenues | 3,015.0</t>
      </text>
    </comment>
    <comment ref="E37" authorId="0">
      <text>
        <t>ex991recastschedules_2025v.htm (S3) | Prior-year net revenues | 3,101.0</t>
      </text>
    </comment>
    <comment ref="F37" authorId="0">
      <text>
        <t>ex991recastschedules_2025v.htm (S3) | Prior-year net revenues | 3,159.0</t>
      </text>
    </comment>
    <comment ref="C38" authorId="0">
      <text>
        <t>ex991recastschedules_2025v.htm (S3) | Price variance | (3.0)</t>
      </text>
    </comment>
    <comment ref="D38" authorId="0">
      <text>
        <t>ex991recastschedules_2025v.htm (S3) | Price variance | 4</t>
      </text>
    </comment>
    <comment ref="E38" authorId="0">
      <text>
        <t>ex991recastschedules_2025v.htm (S3) | Price variance | 51</t>
      </text>
    </comment>
    <comment ref="F38" authorId="0">
      <text>
        <t>ex991recastschedules_2025v.htm (S3) | Price variance | 45</t>
      </text>
    </comment>
    <comment ref="H38" authorId="0">
      <text>
        <t>earningsreleasepm-ex991xq1.htm / glossaryselectfininfoandno.htm 1Q26 (S4/S5) | Price variance | 88</t>
      </text>
    </comment>
    <comment ref="I38" authorId="0">
      <text>
        <t>earningsreleasepm-ex991xq2.htm / glossaryselectfininfoandno.htm 2Q26 (S6/S7) | Price variance | 86</t>
      </text>
    </comment>
    <comment ref="C39" authorId="0">
      <text>
        <t>ex991recastschedules_2025v.htm (S3) | Volume / mix variance | 360</t>
      </text>
    </comment>
    <comment ref="D39" authorId="0">
      <text>
        <t>ex991recastschedules_2025v.htm (S3) | Volume / mix variance | 309</t>
      </text>
    </comment>
    <comment ref="E39" authorId="0">
      <text>
        <t>ex991recastschedules_2025v.htm (S3) | Volume / mix variance | 508</t>
      </text>
    </comment>
    <comment ref="F39" authorId="0">
      <text>
        <t>ex991recastschedules_2025v.htm (S3) | Volume / mix variance | 311</t>
      </text>
    </comment>
    <comment ref="H39" authorId="0">
      <text>
        <t>earningsreleasepm-ex991xq1.htm / glossaryselectfininfoandno.htm 1Q26 (S4/S5) | Volume / mix variance | 399</t>
      </text>
    </comment>
    <comment ref="I39" authorId="0">
      <text>
        <t>earningsreleasepm-ex991xq2.htm / glossaryselectfininfoandno.htm 2Q26 (S6/S7) | Volume / mix variance | 316</t>
      </text>
    </comment>
    <comment ref="C40" authorId="0">
      <text>
        <t>ex991recastschedules_2025v.htm (S3) | Other variance | –</t>
      </text>
    </comment>
    <comment ref="D40" authorId="0">
      <text>
        <t>ex991recastschedules_2025v.htm (S3) | Other variance | –</t>
      </text>
    </comment>
    <comment ref="E40" authorId="0">
      <text>
        <t>ex991recastschedules_2025v.htm (S3) | Other variance | –</t>
      </text>
    </comment>
    <comment ref="F40" authorId="0">
      <text>
        <t>ex991recastschedules_2025v.htm (S3) | Other variance | –</t>
      </text>
    </comment>
    <comment ref="H40" authorId="0">
      <text>
        <t>earningsreleasepm-ex991xq1.htm / glossaryselectfininfoandno.htm 1Q26 (S4/S5) | Other variance | –</t>
      </text>
    </comment>
    <comment ref="I40" authorId="0">
      <text>
        <t>earningsreleasepm-ex991xq2.htm / glossaryselectfininfoandno.htm 2Q26 (S6/S7) | Other variance | –</t>
      </text>
    </comment>
    <comment ref="C42" authorId="0">
      <text>
        <t>ex991recastschedules_2025v.htm (S3) | Acquisitions / divestitures | –</t>
      </text>
    </comment>
    <comment ref="D42" authorId="0">
      <text>
        <t>ex991recastschedules_2025v.htm (S3) | Acquisitions / divestitures | –</t>
      </text>
    </comment>
    <comment ref="E42" authorId="0">
      <text>
        <t>ex991recastschedules_2025v.htm (S3) | Acquisitions / divestitures | –</t>
      </text>
    </comment>
    <comment ref="F42" authorId="0">
      <text>
        <t>ex991recastschedules_2025v.htm (S3) | Acquisitions / divestitures | –</t>
      </text>
    </comment>
    <comment ref="H42" authorId="0">
      <text>
        <t>earningsreleasepm-ex991xq1.htm / glossaryselectfininfoandno.htm 1Q26 (S4/S5) | Acquisitions / divestitures | –</t>
      </text>
    </comment>
    <comment ref="I42" authorId="0">
      <text>
        <t>earningsreleasepm-ex991xq2.htm / glossaryselectfininfoandno.htm 2Q26 (S6/S7) | Acquisitions / divestitures | (17.0)</t>
      </text>
    </comment>
    <comment ref="C43" authorId="0">
      <text>
        <t>ex991recastschedules_2025v.htm (S3) | Currency | (130.0)</t>
      </text>
    </comment>
    <comment ref="D43" authorId="0">
      <text>
        <t>ex991recastschedules_2025v.htm (S3) | Currency | 65</t>
      </text>
    </comment>
    <comment ref="E43" authorId="0">
      <text>
        <t>ex991recastschedules_2025v.htm (S3) | Currency | 179</t>
      </text>
    </comment>
    <comment ref="F43" authorId="0">
      <text>
        <t>ex991recastschedules_2025v.htm (S3) | Currency | 172</t>
      </text>
    </comment>
    <comment ref="H43" authorId="0">
      <text>
        <t>earningsreleasepm-ex991xq1.htm / glossaryselectfininfoandno.htm 1Q26 (S4/S5) | Currency | 273</t>
      </text>
    </comment>
    <comment ref="I43" authorId="0">
      <text>
        <t>earningsreleasepm-ex991xq2.htm / glossaryselectfininfoandno.htm 2Q26 (S6/S7) | Currency | 98</t>
      </text>
    </comment>
    <comment ref="C45" authorId="0">
      <text>
        <t>ex991recastschedules_2025v.htm (S3) | Net revenues - International Smoke-Free | 3,076.0</t>
      </text>
    </comment>
    <comment ref="D45" authorId="0">
      <text>
        <t>ex991recastschedules_2025v.htm (S3) | Net revenues - International Smoke-Free | 3,395.0</t>
      </text>
    </comment>
    <comment ref="E45" authorId="0">
      <text>
        <t>ex991recastschedules_2025v.htm (S3) | Net revenues - International Smoke-Free | 3,839.0</t>
      </text>
    </comment>
    <comment ref="F45" authorId="0">
      <text>
        <t>ex991recastschedules_2025v.htm (S3) | Net revenues - International Smoke-Free | 3,686.0</t>
      </text>
    </comment>
    <comment ref="H45" authorId="0">
      <text>
        <t>earningsreleasepm-ex991xq1.htm / glossaryselectfininfoandno.htm 1Q26 (S4/S5) | Net revenues - International Smoke-Free | 3,836.0</t>
      </text>
    </comment>
    <comment ref="I45" authorId="0">
      <text>
        <t>earningsreleasepm-ex991xq2.htm / glossaryselectfininfoandno.htm 2Q26 (S6/S7) | Net revenues - International Smoke-Free | 3,877.0</t>
      </text>
    </comment>
    <comment ref="C62" authorId="0">
      <text>
        <t>ex991recastschedules_2025v.htm (S3) | Gross profit - International Smoke-Free | 2,087.0</t>
      </text>
    </comment>
    <comment ref="D62" authorId="0">
      <text>
        <t>ex991recastschedules_2025v.htm (S3) | Gross profit - International Smoke-Free | 2,319.0</t>
      </text>
    </comment>
    <comment ref="E62" authorId="0">
      <text>
        <t>ex991recastschedules_2025v.htm (S3) | Gross profit - International Smoke-Free | 2,683.0</t>
      </text>
    </comment>
    <comment ref="F62" authorId="0">
      <text>
        <t>ex991recastschedules_2025v.htm (S3) | Gross profit - International Smoke-Free | 2,488.0</t>
      </text>
    </comment>
    <comment ref="H62" authorId="0">
      <text>
        <t>earningsreleasepm-ex991xq1.htm / glossaryselectfininfoandno.htm 1Q26 (S4/S5) | Gross profit - International Smoke-Free | 2,684.0</t>
      </text>
    </comment>
    <comment ref="I62" authorId="0">
      <text>
        <t>earningsreleasepm-ex991xq2.htm / glossaryselectfininfoandno.htm 2Q26 (S6/S7) | Gross profit - International Smoke-Free | 2,716.0</t>
      </text>
    </comment>
    <comment ref="C67" authorId="0">
      <text>
        <t>ex991recastschedules_2025v.htm (S3) | Amortization of intangibles in cost of sales | (1.0)</t>
      </text>
    </comment>
    <comment ref="D67" authorId="0">
      <text>
        <t>ex991recastschedules_2025v.htm (S3) | Amortization of intangibles in cost of sales | (1.0)</t>
      </text>
    </comment>
    <comment ref="E67" authorId="0">
      <text>
        <t>ex991recastschedules_2025v.htm (S3) | Amortization of intangibles in cost of sales | (1.0)</t>
      </text>
    </comment>
    <comment ref="F67" authorId="0">
      <text>
        <t>ex991recastschedules_2025v.htm (S3) | Amortization of intangibles in cost of sales | (1.0)</t>
      </text>
    </comment>
    <comment ref="H67" authorId="0">
      <text>
        <t>earningsreleasepm-ex991xq1.htm / glossaryselectfininfoandno.htm 1Q26 (S4/S5) | Amortization of intangibles in cost of sales | (1.0)</t>
      </text>
    </comment>
    <comment ref="I67" authorId="0">
      <text>
        <t>earningsreleasepm-ex991xq2.htm / glossaryselectfininfoandno.htm 2Q26 (S6/S7) | Amortization of intangibles in cost of sales | (1.0)</t>
      </text>
    </comment>
    <comment ref="C73" authorId="0">
      <text>
        <t>ex991recastschedules_2025v.htm (S3) | Prior-year HTU shipments | 33,134</t>
      </text>
    </comment>
    <comment ref="D73" authorId="0">
      <text>
        <t>ex991recastschedules_2025v.htm (S3) | Prior-year HTU shipments | 35,544</t>
      </text>
    </comment>
    <comment ref="E73" authorId="0">
      <text>
        <t>ex991recastschedules_2025v.htm (S3) | Prior-year HTU shipments | 35,347</t>
      </text>
    </comment>
    <comment ref="F73" authorId="0">
      <text>
        <t>ex991recastschedules_2025v.htm (S3) | Prior-year HTU shipments | 35,718</t>
      </text>
    </comment>
    <comment ref="C74" authorId="0">
      <text>
        <t>ex991recastschedules_2025v.htm (S3) | Prior-year oral SFP shipments | 1,610</t>
      </text>
    </comment>
    <comment ref="D74" authorId="0">
      <text>
        <t>ex991recastschedules_2025v.htm (S3) | Prior-year oral SFP shipments | 1,565</t>
      </text>
    </comment>
    <comment ref="E74" authorId="0">
      <text>
        <t>ex991recastschedules_2025v.htm (S3) | Prior-year oral SFP shipments | 1,620</t>
      </text>
    </comment>
    <comment ref="F74" authorId="0">
      <text>
        <t>ex991recastschedules_2025v.htm (S3) | Prior-year oral SFP shipments | 1,613</t>
      </text>
    </comment>
    <comment ref="C75" authorId="0">
      <text>
        <t>ex991recastschedules_2025v.htm (S3) | Prior-year nicotine pouches | 292</t>
      </text>
    </comment>
    <comment ref="D75" authorId="0">
      <text>
        <t>ex991recastschedules_2025v.htm (S3) | Prior-year nicotine pouches | 303</t>
      </text>
    </comment>
    <comment ref="E75" authorId="0">
      <text>
        <t>ex991recastschedules_2025v.htm (S3) | Prior-year nicotine pouches | 316</t>
      </text>
    </comment>
    <comment ref="F75" authorId="0">
      <text>
        <t>ex991recastschedules_2025v.htm (S3) | Prior-year nicotine pouches | 380</t>
      </text>
    </comment>
    <comment ref="C77" authorId="0">
      <text>
        <t>ex991recastschedules_2025v.htm (S3) | Prior-year e-vapor shipments | 305</t>
      </text>
    </comment>
    <comment ref="D77" authorId="0">
      <text>
        <t>ex991recastschedules_2025v.htm (S3) | Prior-year e-vapor shipments | 384</t>
      </text>
    </comment>
    <comment ref="E77" authorId="0">
      <text>
        <t>ex991recastschedules_2025v.htm (S3) | Prior-year e-vapor shipments | 463</t>
      </text>
    </comment>
    <comment ref="F77" authorId="0">
      <text>
        <t>ex991recastschedules_2025v.htm (S3) | Prior-year e-vapor shipments | 499</t>
      </text>
    </comment>
    <comment ref="C82" authorId="0">
      <text>
        <t>ex991recastschedules_2025v.htm (S3) | Prior-year gross profit | 1,768.0</t>
      </text>
    </comment>
    <comment ref="D82" authorId="0">
      <text>
        <t>ex991recastschedules_2025v.htm (S3) | Prior-year gross profit | 1,916.0</t>
      </text>
    </comment>
    <comment ref="E82" authorId="0">
      <text>
        <t>ex991recastschedules_2025v.htm (S3) | Prior-year gross profit | 2,088.0</t>
      </text>
    </comment>
    <comment ref="F82" authorId="0">
      <text>
        <t>ex991recastschedules_2025v.htm (S3) | Prior-year gross profit | 2,058.0</t>
      </text>
    </comment>
    <comment ref="C84" authorId="0">
      <text>
        <t>ex991recastschedules_2025v.htm (S3) | Prior-year adjusted gross profit | 1,769.0</t>
      </text>
    </comment>
    <comment ref="D84" authorId="0">
      <text>
        <t>ex991recastschedules_2025v.htm (S3) | Prior-year adjusted gross profit | 1,917.0</t>
      </text>
    </comment>
    <comment ref="E84" authorId="0">
      <text>
        <t>ex991recastschedules_2025v.htm (S3) | Prior-year adjusted gross profit | 2,089.0</t>
      </text>
    </comment>
    <comment ref="F84" authorId="0">
      <text>
        <t>ex991recastschedules_2025v.htm (S3) | Prior-year adjusted gross profit | 2,058.0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9" authorId="0">
      <text>
        <t>ex991recastschedules_2025v.htm (S3) | Cigarette shipments | 144,753</t>
      </text>
    </comment>
    <comment ref="D9" authorId="0">
      <text>
        <t>ex991recastschedules_2025v.htm (S3) | Cigarette shipments | 155,248</t>
      </text>
    </comment>
    <comment ref="E9" authorId="0">
      <text>
        <t>ex991recastschedules_2025v.htm (S3) | Cigarette shipments | 157,940</t>
      </text>
    </comment>
    <comment ref="F9" authorId="0">
      <text>
        <t>ex991recastschedules_2025v.htm (S3) | Cigarette shipments | 149,426</t>
      </text>
    </comment>
    <comment ref="H10" authorId="0">
      <text>
        <t>earningsreleasepm-ex991xq1.htm / glossaryselectfininfoandno.htm 1Q26 (S4/S5) | Cigarette shipment growth, as reported / assumed | (5.1%)</t>
      </text>
    </comment>
    <comment ref="I10" authorId="0">
      <text>
        <t>earningsreleasepm-ex991xq2.htm / glossaryselectfininfoandno.htm 2Q26 (S6/S7) | Cigarette shipment growth, as reported / assumed | 1.1%</t>
      </text>
    </comment>
    <comment ref="C15" authorId="0">
      <text>
        <t>ex991recastschedules_2025v.htm (S3) | Prior-year net revenues | 5,299.0</t>
      </text>
    </comment>
    <comment ref="D15" authorId="0">
      <text>
        <t>ex991recastschedules_2025v.htm (S3) | Prior-year net revenues | 5,748.0</t>
      </text>
    </comment>
    <comment ref="E15" authorId="0">
      <text>
        <t>ex991recastschedules_2025v.htm (S3) | Prior-year net revenues | 6,041.0</t>
      </text>
    </comment>
    <comment ref="F15" authorId="0">
      <text>
        <t>ex991recastschedules_2025v.htm (S3) | Prior-year net revenues | 5,720.0</t>
      </text>
    </comment>
    <comment ref="C16" authorId="0">
      <text>
        <t>ex991recastschedules_2025v.htm (S3) | Price variance | 449</t>
      </text>
    </comment>
    <comment ref="D16" authorId="0">
      <text>
        <t>ex991recastschedules_2025v.htm (S3) | Price variance | 421</t>
      </text>
    </comment>
    <comment ref="E16" authorId="0">
      <text>
        <t>ex991recastschedules_2025v.htm (S3) | Price variance | 511</t>
      </text>
    </comment>
    <comment ref="F16" authorId="0">
      <text>
        <t>ex991recastschedules_2025v.htm (S3) | Price variance | 389</t>
      </text>
    </comment>
    <comment ref="H16" authorId="0">
      <text>
        <t>earningsreleasepm-ex991xq1.htm / glossaryselectfininfoandno.htm 1Q26 (S4/S5) | Price variance | 454</t>
      </text>
    </comment>
    <comment ref="I16" authorId="0">
      <text>
        <t>earningsreleasepm-ex991xq2.htm / glossaryselectfininfoandno.htm 2Q26 (S6/S7) | Price variance | 588</t>
      </text>
    </comment>
    <comment ref="C17" authorId="0">
      <text>
        <t>ex991recastschedules_2025v.htm (S3) | Volume / mix variance | (208.0)</t>
      </text>
    </comment>
    <comment ref="D17" authorId="0">
      <text>
        <t>ex991recastschedules_2025v.htm (S3) | Volume / mix variance | (286.0)</t>
      </text>
    </comment>
    <comment ref="E17" authorId="0">
      <text>
        <t>ex991recastschedules_2025v.htm (S3) | Volume / mix variance | (476.0)</t>
      </text>
    </comment>
    <comment ref="F17" authorId="0">
      <text>
        <t>ex991recastschedules_2025v.htm (S3) | Volume / mix variance | (364.0)</t>
      </text>
    </comment>
    <comment ref="H17" authorId="0">
      <text>
        <t>earningsreleasepm-ex991xq1.htm / glossaryselectfininfoandno.htm 1Q26 (S4/S5) | Volume / mix variance | (542.0)</t>
      </text>
    </comment>
    <comment ref="I17" authorId="0">
      <text>
        <t>earningsreleasepm-ex991xq2.htm / glossaryselectfininfoandno.htm 2Q26 (S6/S7) | Volume / mix variance | (212.0)</t>
      </text>
    </comment>
    <comment ref="C18" authorId="0">
      <text>
        <t>ex991recastschedules_2025v.htm (S3) | Other variance (distribution fees) | (6.0)</t>
      </text>
    </comment>
    <comment ref="D18" authorId="0">
      <text>
        <t>ex991recastschedules_2025v.htm (S3) | Other variance (distribution fees) | (4.0)</t>
      </text>
    </comment>
    <comment ref="E18" authorId="0">
      <text>
        <t>ex991recastschedules_2025v.htm (S3) | Other variance (distribution fees) | 37</t>
      </text>
    </comment>
    <comment ref="F18" authorId="0">
      <text>
        <t>ex991recastschedules_2025v.htm (S3) | Other variance (distribution fees) | (4.0)</t>
      </text>
    </comment>
    <comment ref="H18" authorId="0">
      <text>
        <t>earningsreleasepm-ex991xq1.htm / glossaryselectfininfoandno.htm 1Q26 (S4/S5) | Other variance (distribution fees) | 140</t>
      </text>
    </comment>
    <comment ref="I18" authorId="0">
      <text>
        <t>earningsreleasepm-ex991xq2.htm / glossaryselectfininfoandno.htm 2Q26 (S6/S7) | Other variance (distribution fees) | –</t>
      </text>
    </comment>
    <comment ref="C20" authorId="0">
      <text>
        <t>ex991recastschedules_2025v.htm (S3) | Acquisitions / divestitures | –</t>
      </text>
    </comment>
    <comment ref="D20" authorId="0">
      <text>
        <t>ex991recastschedules_2025v.htm (S3) | Acquisitions / divestitures | –</t>
      </text>
    </comment>
    <comment ref="E20" authorId="0">
      <text>
        <t>ex991recastschedules_2025v.htm (S3) | Acquisitions / divestitures | –</t>
      </text>
    </comment>
    <comment ref="F20" authorId="0">
      <text>
        <t>ex991recastschedules_2025v.htm (S3) | Acquisitions / divestitures | –</t>
      </text>
    </comment>
    <comment ref="H20" authorId="0">
      <text>
        <t>earningsreleasepm-ex991xq1.htm / glossaryselectfininfoandno.htm 1Q26 (S4/S5) | Acquisitions / divestitures | –</t>
      </text>
    </comment>
    <comment ref="I20" authorId="0">
      <text>
        <t>earningsreleasepm-ex991xq2.htm / glossaryselectfininfoandno.htm 2Q26 (S6/S7) | Acquisitions / divestitures | –</t>
      </text>
    </comment>
    <comment ref="C21" authorId="0">
      <text>
        <t>ex991recastschedules_2025v.htm (S3) | Currency | (208.0)</t>
      </text>
    </comment>
    <comment ref="D21" authorId="0">
      <text>
        <t>ex991recastschedules_2025v.htm (S3) | Currency | 5</t>
      </text>
    </comment>
    <comment ref="E21" authorId="0">
      <text>
        <t>ex991recastschedules_2025v.htm (S3) | Currency | 202</t>
      </text>
    </comment>
    <comment ref="F21" authorId="0">
      <text>
        <t>ex991recastschedules_2025v.htm (S3) | Currency | 169</t>
      </text>
    </comment>
    <comment ref="H21" authorId="0">
      <text>
        <t>earningsreleasepm-ex991xq1.htm / glossaryselectfininfoandno.htm 1Q26 (S4/S5) | Currency | 310</t>
      </text>
    </comment>
    <comment ref="I21" authorId="0">
      <text>
        <t>earningsreleasepm-ex991xq2.htm / glossaryselectfininfoandno.htm 2Q26 (S6/S7) | Currency | 200</t>
      </text>
    </comment>
    <comment ref="C23" authorId="0">
      <text>
        <t>ex991recastschedules_2025v.htm (S3) | Net revenues - International Combustibles | 5,326.0</t>
      </text>
    </comment>
    <comment ref="D23" authorId="0">
      <text>
        <t>ex991recastschedules_2025v.htm (S3) | Net revenues - International Combustibles | 5,883.0</t>
      </text>
    </comment>
    <comment ref="E23" authorId="0">
      <text>
        <t>ex991recastschedules_2025v.htm (S3) | Net revenues - International Combustibles | 6,316.0</t>
      </text>
    </comment>
    <comment ref="F23" authorId="0">
      <text>
        <t>ex991recastschedules_2025v.htm (S3) | Net revenues - International Combustibles | 5,911.0</t>
      </text>
    </comment>
    <comment ref="H23" authorId="0">
      <text>
        <t>earningsreleasepm-ex991xq1.htm / glossaryselectfininfoandno.htm 1Q26 (S4/S5) | Net revenues - International Combustibles | 5,688.0</t>
      </text>
    </comment>
    <comment ref="I23" authorId="0">
      <text>
        <t>earningsreleasepm-ex991xq2.htm / glossaryselectfininfoandno.htm 2Q26 (S6/S7) | Net revenues - International Combustibles | 6,459.0</t>
      </text>
    </comment>
    <comment ref="C40" authorId="0">
      <text>
        <t>ex991recastschedules_2025v.htm (S3) | Gross profit - International Combustibles | 3,499.0</t>
      </text>
    </comment>
    <comment ref="D40" authorId="0">
      <text>
        <t>ex991recastschedules_2025v.htm (S3) | Gross profit - International Combustibles | 3,936.0</t>
      </text>
    </comment>
    <comment ref="E40" authorId="0">
      <text>
        <t>ex991recastschedules_2025v.htm (S3) | Gross profit - International Combustibles | 4,244.0</t>
      </text>
    </comment>
    <comment ref="F40" authorId="0">
      <text>
        <t>ex991recastschedules_2025v.htm (S3) | Gross profit - International Combustibles | 3,844.0</t>
      </text>
    </comment>
    <comment ref="H40" authorId="0">
      <text>
        <t>earningsreleasepm-ex991xq1.htm / glossaryselectfininfoandno.htm 1Q26 (S4/S5) | Gross profit - International Combustibles | 3,842.0</t>
      </text>
    </comment>
    <comment ref="I40" authorId="0">
      <text>
        <t>earningsreleasepm-ex991xq2.htm / glossaryselectfininfoandno.htm 2Q26 (S6/S7) | Gross profit - International Combustibles | 4,388.0</t>
      </text>
    </comment>
    <comment ref="C47" authorId="0">
      <text>
        <t>ex991recastschedules_2025v.htm (S3) | Prior-year cigarette shipments | 143,191</t>
      </text>
    </comment>
    <comment ref="D47" authorId="0">
      <text>
        <t>ex991recastschedules_2025v.htm (S3) | Prior-year cigarette shipments | 157,618</t>
      </text>
    </comment>
    <comment ref="E47" authorId="0">
      <text>
        <t>ex991recastschedules_2025v.htm (S3) | Prior-year cigarette shipments | 163,238</t>
      </text>
    </comment>
    <comment ref="F47" authorId="0">
      <text>
        <t>ex991recastschedules_2025v.htm (S3) | Prior-year cigarette shipments | 152,780</t>
      </text>
    </comment>
    <comment ref="C49" authorId="0">
      <text>
        <t>ex991recastschedules_2025v.htm (S3) | Prior-year gross profit | 3,407.0</t>
      </text>
    </comment>
    <comment ref="D49" authorId="0">
      <text>
        <t>ex991recastschedules_2025v.htm (S3) | Prior-year gross profit | 3,731.0</t>
      </text>
    </comment>
    <comment ref="E49" authorId="0">
      <text>
        <t>ex991recastschedules_2025v.htm (S3) | Prior-year gross profit | 3,919.0</t>
      </text>
    </comment>
    <comment ref="F49" authorId="0">
      <text>
        <t>ex991recastschedules_2025v.htm (S3) | Prior-year gross profit | 3,629.0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9" authorId="0">
      <text>
        <t>ex991recastschedules_2025v.htm (S3) | ZYN / nicotine pouch shipments (million pouches) | 3,032</t>
      </text>
    </comment>
    <comment ref="D9" authorId="0">
      <text>
        <t>ex991recastschedules_2025v.htm (S3) | ZYN / nicotine pouch shipments (million pouches) | 2,854</t>
      </text>
    </comment>
    <comment ref="E9" authorId="0">
      <text>
        <t>ex991recastschedules_2025v.htm (S3) | ZYN / nicotine pouch shipments (million pouches) | 3,073</t>
      </text>
    </comment>
    <comment ref="F9" authorId="0">
      <text>
        <t>ex991recastschedules_2025v.htm (S3) | ZYN / nicotine pouch shipments (million pouches) | 2,947</t>
      </text>
    </comment>
    <comment ref="H10" authorId="0">
      <text>
        <t>earningsreleasepm-ex991xq1.htm / glossaryselectfininfoandno.htm 1Q26 (S4/S5) | ZYN shipment growth, as reported / assumed | (23.5%)</t>
      </text>
    </comment>
    <comment ref="I10" authorId="0">
      <text>
        <t>earningsreleasepm-ex991xq2.htm / glossaryselectfininfoandno.htm 2Q26 (S6/S7) | ZYN shipment growth, as reported / assumed | 1.8%</t>
      </text>
    </comment>
    <comment ref="C13" authorId="0">
      <text>
        <t>ex991recastschedules_2025v.htm (S3) | Pouches per can (U.S. conversion) | 15</t>
      </text>
    </comment>
    <comment ref="C15" authorId="0">
      <text>
        <t>ex991recastschedules_2025v.htm (S3) | Other U.S. oral (snus, moist snuff, chew bags) | 581</t>
      </text>
    </comment>
    <comment ref="D15" authorId="0">
      <text>
        <t>ex991recastschedules_2025v.htm (S3) | Other U.S. oral (snus, moist snuff, chew bags) | 576</t>
      </text>
    </comment>
    <comment ref="E15" authorId="0">
      <text>
        <t>ex991recastschedules_2025v.htm (S3) | Other U.S. oral (snus, moist snuff, chew bags) | 549</t>
      </text>
    </comment>
    <comment ref="F15" authorId="0">
      <text>
        <t>ex991recastschedules_2025v.htm (S3) | Other U.S. oral (snus, moist snuff, chew bags) | 535</t>
      </text>
    </comment>
    <comment ref="H20" authorId="0">
      <text>
        <t>earningsreleasepm-ex991xq1.htm / glossaryselectfininfoandno.htm 1Q26 (S4/S5) | U.S. oral SFP growth, as reported | (21.3%)</t>
      </text>
    </comment>
    <comment ref="I20" authorId="0">
      <text>
        <t>earningsreleasepm-ex991xq2.htm / glossaryselectfininfoandno.htm 2Q26 (S6/S7) | U.S. oral SFP growth, as reported | 1.8%</t>
      </text>
    </comment>
    <comment ref="C30" authorId="0">
      <text>
        <t>ex991recastschedules_2025v.htm (S3) | Currency ($m) | –</t>
      </text>
    </comment>
    <comment ref="D30" authorId="0">
      <text>
        <t>ex991recastschedules_2025v.htm (S3) | Currency ($m) | –</t>
      </text>
    </comment>
    <comment ref="E30" authorId="0">
      <text>
        <t>ex991recastschedules_2025v.htm (S3) | Currency ($m) | –</t>
      </text>
    </comment>
    <comment ref="F30" authorId="0">
      <text>
        <t>ex991recastschedules_2025v.htm (S3) | Currency ($m) | –</t>
      </text>
    </comment>
    <comment ref="H30" authorId="0">
      <text>
        <t>earningsreleasepm-ex991xq1.htm / glossaryselectfininfoandno.htm 1Q26 (S4/S5) | Currency ($m) | –</t>
      </text>
    </comment>
    <comment ref="I30" authorId="0">
      <text>
        <t>earningsreleasepm-ex991xq2.htm / glossaryselectfininfoandno.htm 2Q26 (S6/S7) | Currency ($m) | –</t>
      </text>
    </comment>
    <comment ref="C31" authorId="0">
      <text>
        <t>ex991recastschedules_2025v.htm (S3) | Acquisitions / divestitures ($m) | –</t>
      </text>
    </comment>
    <comment ref="D31" authorId="0">
      <text>
        <t>ex991recastschedules_2025v.htm (S3) | Acquisitions / divestitures ($m) | –</t>
      </text>
    </comment>
    <comment ref="E31" authorId="0">
      <text>
        <t>ex991recastschedules_2025v.htm (S3) | Acquisitions / divestitures ($m) | –</t>
      </text>
    </comment>
    <comment ref="F31" authorId="0">
      <text>
        <t>ex991recastschedules_2025v.htm (S3) | Acquisitions / divestitures ($m) | –</t>
      </text>
    </comment>
    <comment ref="H31" authorId="0">
      <text>
        <t>earningsreleasepm-ex991xq1.htm / glossaryselectfininfoandno.htm 1Q26 (S4/S5) | Acquisitions / divestitures ($m) | –</t>
      </text>
    </comment>
    <comment ref="I31" authorId="0">
      <text>
        <t>earningsreleasepm-ex991xq2.htm / glossaryselectfininfoandno.htm 2Q26 (S6/S7) | Acquisitions / divestitures ($m) | –</t>
      </text>
    </comment>
    <comment ref="C36" authorId="0">
      <text>
        <t>ex991recastschedules_2025v.htm (S3) | Wellness (Aspeya) | 51</t>
      </text>
    </comment>
    <comment ref="D36" authorId="0">
      <text>
        <t>ex991recastschedules_2025v.htm (S3) | Wellness (Aspeya) | 57</t>
      </text>
    </comment>
    <comment ref="E36" authorId="0">
      <text>
        <t>ex991recastschedules_2025v.htm (S3) | Wellness (Aspeya) | 57</t>
      </text>
    </comment>
    <comment ref="F36" authorId="0">
      <text>
        <t>ex991recastschedules_2025v.htm (S3) | Wellness (Aspeya) | 72</t>
      </text>
    </comment>
    <comment ref="H36" authorId="0">
      <text>
        <t>earningsreleasepm-ex991xq1.htm / glossaryselectfininfoandno.htm 1Q26 (S4/S5) | Wellness (Aspeya) | 62</t>
      </text>
    </comment>
    <comment ref="I36" authorId="0">
      <text>
        <t>earningsreleasepm-ex991xq2.htm / glossaryselectfininfoandno.htm 2Q26 (S6/S7) | Wellness (Aspeya) | 56</t>
      </text>
    </comment>
    <comment ref="C40" authorId="0">
      <text>
        <t>ex991recastschedules_2025v.htm (S3) | U.S. smoke-free net revenues (incl. Wellness) | 818</t>
      </text>
    </comment>
    <comment ref="D40" authorId="0">
      <text>
        <t>ex991recastschedules_2025v.htm (S3) | U.S. smoke-free net revenues (incl. Wellness) | 766</t>
      </text>
    </comment>
    <comment ref="E40" authorId="0">
      <text>
        <t>ex991recastschedules_2025v.htm (S3) | U.S. smoke-free net revenues (incl. Wellness) | 605</t>
      </text>
    </comment>
    <comment ref="F40" authorId="0">
      <text>
        <t>ex991recastschedules_2025v.htm (S3) | U.S. smoke-free net revenues (incl. Wellness) | 668</t>
      </text>
    </comment>
    <comment ref="H40" authorId="0">
      <text>
        <t>earningsreleasepm-ex991xq1.htm / glossaryselectfininfoandno.htm 1Q26 (S4/S5) | U.S. smoke-free net revenues (incl. Wellness) | 543</t>
      </text>
    </comment>
    <comment ref="I40" authorId="0">
      <text>
        <t>earningsreleasepm-ex991xq2.htm / glossaryselectfininfoandno.htm 2Q26 (S6/S7) | U.S. smoke-free net revenues (incl. Wellness) | 768</t>
      </text>
    </comment>
    <comment ref="C48" authorId="0">
      <text>
        <t>ex991recastschedules_2025v.htm (S3) | Wellness currency ($m) | (2.0)</t>
      </text>
    </comment>
    <comment ref="D48" authorId="0">
      <text>
        <t>ex991recastschedules_2025v.htm (S3) | Wellness currency ($m) | 1</t>
      </text>
    </comment>
    <comment ref="E48" authorId="0">
      <text>
        <t>ex991recastschedules_2025v.htm (S3) | Wellness currency ($m) | 4</t>
      </text>
    </comment>
    <comment ref="F48" authorId="0">
      <text>
        <t>ex991recastschedules_2025v.htm (S3) | Wellness currency ($m) | 4</t>
      </text>
    </comment>
    <comment ref="H48" authorId="0">
      <text>
        <t>earningsreleasepm-ex991xq1.htm / glossaryselectfininfoandno.htm 1Q26 (S4/S5) | Wellness currency ($m) | 7</t>
      </text>
    </comment>
    <comment ref="I48" authorId="0">
      <text>
        <t>earningsreleasepm-ex991xq2.htm / glossaryselectfininfoandno.htm 2Q26 (S6/S7) | Wellness currency ($m) | 1</t>
      </text>
    </comment>
    <comment ref="C49" authorId="0">
      <text>
        <t>ex991recastschedules_2025v.htm (S3) | Wellness acquisitions / divestitures ($m) | (49.0)</t>
      </text>
    </comment>
    <comment ref="D49" authorId="0">
      <text>
        <t>ex991recastschedules_2025v.htm (S3) | Wellness acquisitions / divestitures ($m) | (39.0)</t>
      </text>
    </comment>
    <comment ref="E49" authorId="0">
      <text>
        <t>ex991recastschedules_2025v.htm (S3) | Wellness acquisitions / divestitures ($m) | (38.0)</t>
      </text>
    </comment>
    <comment ref="F49" authorId="0">
      <text>
        <t>ex991recastschedules_2025v.htm (S3) | Wellness acquisitions / divestitures ($m) | (44.0)</t>
      </text>
    </comment>
    <comment ref="H49" authorId="0">
      <text>
        <t>earningsreleasepm-ex991xq1.htm / glossaryselectfininfoandno.htm 1Q26 (S4/S5) | Wellness acquisitions / divestitures ($m) | –</t>
      </text>
    </comment>
    <comment ref="I49" authorId="0">
      <text>
        <t>earningsreleasepm-ex991xq2.htm / glossaryselectfininfoandno.htm 2Q26 (S6/S7) | Wellness acquisitions / divestitures ($m) | –</t>
      </text>
    </comment>
    <comment ref="C51" authorId="0">
      <text>
        <t>ex991recastschedules_2025v.htm (S3) | U.S. combustible tobacco (cigars) | 81</t>
      </text>
    </comment>
    <comment ref="D51" authorId="0">
      <text>
        <t>ex991recastschedules_2025v.htm (S3) | U.S. combustible tobacco (cigars) | 96</t>
      </text>
    </comment>
    <comment ref="E51" authorId="0">
      <text>
        <t>ex991recastschedules_2025v.htm (S3) | U.S. combustible tobacco (cigars) | 84</t>
      </text>
    </comment>
    <comment ref="F51" authorId="0">
      <text>
        <t>ex991recastschedules_2025v.htm (S3) | U.S. combustible tobacco (cigars) | 97</t>
      </text>
    </comment>
    <comment ref="H51" authorId="0">
      <text>
        <t>earningsreleasepm-ex991xq1.htm / glossaryselectfininfoandno.htm 1Q26 (S4/S5) | U.S. combustible tobacco (cigars) | 79</t>
      </text>
    </comment>
    <comment ref="I51" authorId="0">
      <text>
        <t>earningsreleasepm-ex991xq2.htm / glossaryselectfininfoandno.htm 2Q26 (S6/S7) | U.S. combustible tobacco (cigars) | 88</t>
      </text>
    </comment>
    <comment ref="C55" authorId="0">
      <text>
        <t>ex991recastschedules_2025v.htm (S3) | Currency ($m) | –</t>
      </text>
    </comment>
    <comment ref="D55" authorId="0">
      <text>
        <t>ex991recastschedules_2025v.htm (S3) | Currency ($m) | –</t>
      </text>
    </comment>
    <comment ref="E55" authorId="0">
      <text>
        <t>ex991recastschedules_2025v.htm (S3) | Currency ($m) | –</t>
      </text>
    </comment>
    <comment ref="F55" authorId="0">
      <text>
        <t>ex991recastschedules_2025v.htm (S3) | Currency ($m) | –</t>
      </text>
    </comment>
    <comment ref="H55" authorId="0">
      <text>
        <t>earningsreleasepm-ex991xq1.htm / glossaryselectfininfoandno.htm 1Q26 (S4/S5) | Currency ($m) | –</t>
      </text>
    </comment>
    <comment ref="I55" authorId="0">
      <text>
        <t>earningsreleasepm-ex991xq2.htm / glossaryselectfininfoandno.htm 2Q26 (S6/S7) | Currency ($m) | –</t>
      </text>
    </comment>
    <comment ref="C56" authorId="0">
      <text>
        <t>ex991recastschedules_2025v.htm (S3) | Acquisitions / divestitures ($m) | –</t>
      </text>
    </comment>
    <comment ref="D56" authorId="0">
      <text>
        <t>ex991recastschedules_2025v.htm (S3) | Acquisitions / divestitures ($m) | –</t>
      </text>
    </comment>
    <comment ref="E56" authorId="0">
      <text>
        <t>ex991recastschedules_2025v.htm (S3) | Acquisitions / divestitures ($m) | –</t>
      </text>
    </comment>
    <comment ref="F56" authorId="0">
      <text>
        <t>ex991recastschedules_2025v.htm (S3) | Acquisitions / divestitures ($m) | –</t>
      </text>
    </comment>
    <comment ref="H56" authorId="0">
      <text>
        <t>earningsreleasepm-ex991xq1.htm / glossaryselectfininfoandno.htm 1Q26 (S4/S5) | Acquisitions / divestitures ($m) | –</t>
      </text>
    </comment>
    <comment ref="I56" authorId="0">
      <text>
        <t>earningsreleasepm-ex991xq2.htm / glossaryselectfininfoandno.htm 2Q26 (S6/S7) | Acquisitions / divestitures ($m) | –</t>
      </text>
    </comment>
    <comment ref="C59" authorId="0">
      <text>
        <t>ex991recastschedules_2025v.htm (S3) | Prior-year U.S. net revenues (reported) | 644</t>
      </text>
    </comment>
    <comment ref="D59" authorId="0">
      <text>
        <t>ex991recastschedules_2025v.htm (S3) | Prior-year U.S. net revenues (reported) | 705</t>
      </text>
    </comment>
    <comment ref="E59" authorId="0">
      <text>
        <t>ex991recastschedules_2025v.htm (S3) | Prior-year U.S. net revenues (reported) | 769</t>
      </text>
    </comment>
    <comment ref="F59" authorId="0">
      <text>
        <t>ex991recastschedules_2025v.htm (S3) | Prior-year U.S. net revenues (reported) | 827</t>
      </text>
    </comment>
    <comment ref="C62" authorId="0">
      <text>
        <t>ex991recastschedules_2025v.htm (S3) | Price variance | 81</t>
      </text>
    </comment>
    <comment ref="D62" authorId="0">
      <text>
        <t>ex991recastschedules_2025v.htm (S3) | Price variance | (7.0)</t>
      </text>
    </comment>
    <comment ref="E62" authorId="0">
      <text>
        <t>ex991recastschedules_2025v.htm (S3) | Price variance | (255.0)</t>
      </text>
    </comment>
    <comment ref="F62" authorId="0">
      <text>
        <t>ex991recastschedules_2025v.htm (S3) | Price variance | (150.0)</t>
      </text>
    </comment>
    <comment ref="H62" authorId="0">
      <text>
        <t>earningsreleasepm-ex991xq1.htm / glossaryselectfininfoandno.htm 1Q26 (S4/S5) | Price variance | (80.0)</t>
      </text>
    </comment>
    <comment ref="I62" authorId="0">
      <text>
        <t>earningsreleasepm-ex991xq2.htm / glossaryselectfininfoandno.htm 2Q26 (S6/S7) | Price variance | 15</t>
      </text>
    </comment>
    <comment ref="C63" authorId="0">
      <text>
        <t>ex991recastschedules_2025v.htm (S3) | Volume / mix variance | 226</t>
      </text>
    </comment>
    <comment ref="D63" authorId="0">
      <text>
        <t>ex991recastschedules_2025v.htm (S3) | Volume / mix variance | 203</t>
      </text>
    </comment>
    <comment ref="E63" authorId="0">
      <text>
        <t>ex991recastschedules_2025v.htm (S3) | Volume / mix variance | 211</t>
      </text>
    </comment>
    <comment ref="F63" authorId="0">
      <text>
        <t>ex991recastschedules_2025v.htm (S3) | Volume / mix variance | 128</t>
      </text>
    </comment>
    <comment ref="H63" authorId="0">
      <text>
        <t>earningsreleasepm-ex991xq1.htm / glossaryselectfininfoandno.htm 1Q26 (S4/S5) | Volume / mix variance | (203.0)</t>
      </text>
    </comment>
    <comment ref="I63" authorId="0">
      <text>
        <t>earningsreleasepm-ex991xq2.htm / glossaryselectfininfoandno.htm 2Q26 (S6/S7) | Volume / mix variance | (23.0)</t>
      </text>
    </comment>
    <comment ref="C75" authorId="0">
      <text>
        <t>ex991recastschedules_2025v.htm (S3) | Gross profit - U.S. | 685</t>
      </text>
    </comment>
    <comment ref="D75" authorId="0">
      <text>
        <t>ex991recastschedules_2025v.htm (S3) | Gross profit - U.S. | 611</t>
      </text>
    </comment>
    <comment ref="E75" authorId="0">
      <text>
        <t>ex991recastschedules_2025v.htm (S3) | Gross profit - U.S. | 434</t>
      </text>
    </comment>
    <comment ref="F75" authorId="0">
      <text>
        <t>ex991recastschedules_2025v.htm (S3) | Gross profit - U.S. | 476</t>
      </text>
    </comment>
    <comment ref="H75" authorId="0">
      <text>
        <t>earningsreleasepm-ex991xq1.htm / glossaryselectfininfoandno.htm 1Q26 (S4/S5) | Gross profit - U.S. | 380</t>
      </text>
    </comment>
    <comment ref="I75" authorId="0">
      <text>
        <t>earningsreleasepm-ex991xq2.htm / glossaryselectfininfoandno.htm 2Q26 (S6/S7) | Gross profit - U.S. | 555</t>
      </text>
    </comment>
    <comment ref="C80" authorId="0">
      <text>
        <t>ex991recastschedules_2025v.htm (S3) | Amortization of intangibles in cost of sales | (5.0)</t>
      </text>
    </comment>
    <comment ref="D80" authorId="0">
      <text>
        <t>ex991recastschedules_2025v.htm (S3) | Amortization of intangibles in cost of sales | (5.0)</t>
      </text>
    </comment>
    <comment ref="E80" authorId="0">
      <text>
        <t>ex991recastschedules_2025v.htm (S3) | Amortization of intangibles in cost of sales | (5.0)</t>
      </text>
    </comment>
    <comment ref="F80" authorId="0">
      <text>
        <t>ex991recastschedules_2025v.htm (S3) | Amortization of intangibles in cost of sales | (5.0)</t>
      </text>
    </comment>
    <comment ref="H80" authorId="0">
      <text>
        <t>earningsreleasepm-ex991xq1.htm / glossaryselectfininfoandno.htm 1Q26 (S4/S5) | Amortization of intangibles in cost of sales | (5.0)</t>
      </text>
    </comment>
    <comment ref="I80" authorId="0">
      <text>
        <t>earningsreleasepm-ex991xq2.htm / glossaryselectfininfoandno.htm 2Q26 (S6/S7) | Amortization of intangibles in cost of sales | (5.0)</t>
      </text>
    </comment>
    <comment ref="C86" authorId="0">
      <text>
        <t>ex991recastschedules_2025v.htm (S3) | Prior-year ZYN shipments (million pouches) | 1,973</t>
      </text>
    </comment>
    <comment ref="D86" authorId="0">
      <text>
        <t>ex991recastschedules_2025v.htm (S3) | Prior-year ZYN shipments (million pouches) | 2,026</t>
      </text>
    </comment>
    <comment ref="E86" authorId="0">
      <text>
        <t>ex991recastschedules_2025v.htm (S3) | Prior-year ZYN shipments (million pouches) | 2,237</t>
      </text>
    </comment>
    <comment ref="F86" authorId="0">
      <text>
        <t>ex991recastschedules_2025v.htm (S3) | Prior-year ZYN shipments (million pouches) | 2,471</t>
      </text>
    </comment>
    <comment ref="C87" authorId="0">
      <text>
        <t>ex991recastschedules_2025v.htm (S3) | Prior-year other U.S. oral | 596</t>
      </text>
    </comment>
    <comment ref="D87" authorId="0">
      <text>
        <t>ex991recastschedules_2025v.htm (S3) | Prior-year other U.S. oral | 592</t>
      </text>
    </comment>
    <comment ref="E87" authorId="0">
      <text>
        <t>ex991recastschedules_2025v.htm (S3) | Prior-year other U.S. oral | 591</t>
      </text>
    </comment>
    <comment ref="F87" authorId="0">
      <text>
        <t>ex991recastschedules_2025v.htm (S3) | Prior-year other U.S. oral | 553</t>
      </text>
    </comment>
    <comment ref="C90" authorId="0">
      <text>
        <t>ex991recastschedules_2025v.htm (S3) | Prior-year U.S. smoke-free revenue | 535</t>
      </text>
    </comment>
    <comment ref="D90" authorId="0">
      <text>
        <t>ex991recastschedules_2025v.htm (S3) | Prior-year U.S. smoke-free revenue | 595</t>
      </text>
    </comment>
    <comment ref="E90" authorId="0">
      <text>
        <t>ex991recastschedules_2025v.htm (S3) | Prior-year U.S. smoke-free revenue | 675</t>
      </text>
    </comment>
    <comment ref="F90" authorId="0">
      <text>
        <t>ex991recastschedules_2025v.htm (S3) | Prior-year U.S. smoke-free revenue | 728</t>
      </text>
    </comment>
    <comment ref="C91" authorId="0">
      <text>
        <t>ex991recastschedules_2025v.htm (S3) | Prior-year Wellness revenue | 90</t>
      </text>
    </comment>
    <comment ref="D91" authorId="0">
      <text>
        <t>ex991recastschedules_2025v.htm (S3) | Prior-year Wellness revenue | 80</t>
      </text>
    </comment>
    <comment ref="E91" authorId="0">
      <text>
        <t>ex991recastschedules_2025v.htm (S3) | Prior-year Wellness revenue | 76</t>
      </text>
    </comment>
    <comment ref="F91" authorId="0">
      <text>
        <t>ex991recastschedules_2025v.htm (S3) | Prior-year Wellness revenue | 87</t>
      </text>
    </comment>
    <comment ref="C94" authorId="0">
      <text>
        <t>ex991recastschedules_2025v.htm (S3) | Prior-year cigar revenue | 108</t>
      </text>
    </comment>
    <comment ref="D94" authorId="0">
      <text>
        <t>ex991recastschedules_2025v.htm (S3) | Prior-year cigar revenue | 110</t>
      </text>
    </comment>
    <comment ref="E94" authorId="0">
      <text>
        <t>ex991recastschedules_2025v.htm (S3) | Prior-year cigar revenue | 93</t>
      </text>
    </comment>
    <comment ref="F94" authorId="0">
      <text>
        <t>ex991recastschedules_2025v.htm (S3) | Prior-year cigar revenue | 99</t>
      </text>
    </comment>
    <comment ref="C95" authorId="0">
      <text>
        <t>ex991recastschedules_2025v.htm (S3) | Prior-year gross profit | 429</t>
      </text>
    </comment>
    <comment ref="D95" authorId="0">
      <text>
        <t>ex991recastschedules_2025v.htm (S3) | Prior-year gross profit | 479</t>
      </text>
    </comment>
    <comment ref="E95" authorId="0">
      <text>
        <t>ex991recastschedules_2025v.htm (S3) | Prior-year gross profit | 541</t>
      </text>
    </comment>
    <comment ref="F95" authorId="0">
      <text>
        <t>ex991recastschedules_2025v.htm (S3) | Prior-year gross profit | 601</t>
      </text>
    </comment>
    <comment ref="C97" authorId="0">
      <text>
        <t>ex991recastschedules_2025v.htm (S3) | Prior-year adjusted gross profit | 445</t>
      </text>
    </comment>
    <comment ref="D97" authorId="0">
      <text>
        <t>ex991recastschedules_2025v.htm (S3) | Prior-year adjusted gross profit | 494</t>
      </text>
    </comment>
    <comment ref="E97" authorId="0">
      <text>
        <t>ex991recastschedules_2025v.htm (S3) | Prior-year adjusted gross profit | 555</t>
      </text>
    </comment>
    <comment ref="F97" authorId="0">
      <text>
        <t>ex991recastschedules_2025v.htm (S3) | Prior-year adjusted gross profit | 606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12" authorId="0">
      <text>
        <t>glossaryselectfininfoandno.htm 1Q26 (S5); recast lines ex991recastschedules_2025v.htm (S3) | Cost of sales | 3,031.0</t>
      </text>
    </comment>
    <comment ref="D12" authorId="0">
      <text>
        <t>glossaryselectfininfoandno.htm 2Q26 (S7); recast lines S3 | Cost of sales | 3,274.0</t>
      </text>
    </comment>
    <comment ref="E12" authorId="0">
      <text>
        <t>glossaryselectfininfoandno.htm 3Q25 (S8); recast lines S3 | Cost of sales | 3,484.0</t>
      </text>
    </comment>
    <comment ref="F12" authorId="0">
      <text>
        <t>glossaryselectfininfoandno.htm 4Q25/FY25 (S9); recast lines S3 | Cost of sales | 3,555.0</t>
      </text>
    </comment>
    <comment ref="H12" authorId="0">
      <text>
        <t>glossaryselectfininfoandno.htm 1Q26 (S5) | Cost of sales | 3,241.0</t>
      </text>
    </comment>
    <comment ref="I12" authorId="0">
      <text>
        <t>glossaryselectfininfoandno.htm 2Q26 (S7) | Cost of sales | 3,533.0</t>
      </text>
    </comment>
    <comment ref="C17" authorId="0">
      <text>
        <t>glossaryselectfininfoandno.htm 1Q26 (S5); recast lines ex991recastschedules_2025v.htm (S3) | Marketing, administration &amp; research costs | 2,428.0</t>
      </text>
    </comment>
    <comment ref="D17" authorId="0">
      <text>
        <t>glossaryselectfininfoandno.htm 2Q26 (S7); recast lines S3 | Marketing, administration &amp; research costs | 2,988.0</t>
      </text>
    </comment>
    <comment ref="E17" authorId="0">
      <text>
        <t>glossaryselectfininfoandno.htm 3Q25 (S8); recast lines S3 | Marketing, administration &amp; research costs | 3,058.0</t>
      </text>
    </comment>
    <comment ref="F17" authorId="0">
      <text>
        <t>glossaryselectfininfoandno.htm 4Q25/FY25 (S9); recast lines S3 | Marketing, administration &amp; research costs | 3,245.0</t>
      </text>
    </comment>
    <comment ref="H17" authorId="0">
      <text>
        <t>glossaryselectfininfoandno.htm 1Q26 (S5) | Marketing, administration &amp; research costs | 2,857.0</t>
      </text>
    </comment>
    <comment ref="I17" authorId="0">
      <text>
        <t>glossaryselectfininfoandno.htm 2Q26 (S7) | Marketing, administration &amp; research costs | 2,981.0</t>
      </text>
    </comment>
    <comment ref="C20" authorId="0">
      <text>
        <t>glossaryselectfininfoandno.htm 1Q26 (S5); recast lines ex991recastschedules_2025v.htm (S3) | Impairment of goodwill | –</t>
      </text>
    </comment>
    <comment ref="D20" authorId="0">
      <text>
        <t>glossaryselectfininfoandno.htm 2Q26 (S7); recast lines S3 | Impairment of goodwill | 41</t>
      </text>
    </comment>
    <comment ref="E20" authorId="0">
      <text>
        <t>glossaryselectfininfoandno.htm 3Q25 (S8); recast lines S3 | Impairment of goodwill | –</t>
      </text>
    </comment>
    <comment ref="F20" authorId="0">
      <text>
        <t>glossaryselectfininfoandno.htm 4Q25/FY25 (S9); recast lines S3 | Impairment of goodwill | –</t>
      </text>
    </comment>
    <comment ref="H20" authorId="0">
      <text>
        <t>glossaryselectfininfoandno.htm 1Q26 (S5) | Impairment of goodwill | –</t>
      </text>
    </comment>
    <comment ref="I20" authorId="0">
      <text>
        <t>glossaryselectfininfoandno.htm 2Q26 (S7) | Impairment of goodwill | –</t>
      </text>
    </comment>
    <comment ref="C22" authorId="0">
      <text>
        <t>glossaryselectfininfoandno.htm 1Q26 (S5); recast lines ex991recastschedules_2025v.htm (S3) | Corporate expenses &amp; other | 298</t>
      </text>
    </comment>
    <comment ref="D22" authorId="0">
      <text>
        <t>glossaryselectfininfoandno.htm 2Q26 (S7); recast lines S3 | Corporate expenses &amp; other | 125</t>
      </text>
    </comment>
    <comment ref="E22" authorId="0">
      <text>
        <t>glossaryselectfininfoandno.htm 3Q25 (S8); recast lines S3 | Corporate expenses &amp; other | 40</t>
      </text>
    </comment>
    <comment ref="F22" authorId="0">
      <text>
        <t>glossaryselectfininfoandno.htm 4Q25/FY25 (S9); recast lines S3 | Corporate expenses &amp; other | 189</t>
      </text>
    </comment>
    <comment ref="H22" authorId="0">
      <text>
        <t>glossaryselectfininfoandno.htm 1Q26 (S5) | Corporate expenses &amp; other | 155</t>
      </text>
    </comment>
    <comment ref="I22" authorId="0">
      <text>
        <t>glossaryselectfininfoandno.htm 2Q26 (S7) | Corporate expenses &amp; other | 148</t>
      </text>
    </comment>
    <comment ref="C30" authorId="0">
      <text>
        <t>glossaryselectfininfoandno.htm 1Q26 (S5); recast lines ex991recastschedules_2025v.htm (S3) | Interest expense, net | 241</t>
      </text>
    </comment>
    <comment ref="D30" authorId="0">
      <text>
        <t>glossaryselectfininfoandno.htm 2Q26 (S7); recast lines S3 | Interest expense, net | 277</t>
      </text>
    </comment>
    <comment ref="E30" authorId="0">
      <text>
        <t>glossaryselectfininfoandno.htm 3Q25 (S8); recast lines S3 | Interest expense, net | 230</t>
      </text>
    </comment>
    <comment ref="F30" authorId="0">
      <text>
        <t>glossaryselectfininfoandno.htm 4Q25/FY25 (S9); recast lines S3 | Interest expense, net | 218</t>
      </text>
    </comment>
    <comment ref="H30" authorId="0">
      <text>
        <t>glossaryselectfininfoandno.htm 1Q26 (S5) | Interest expense, net | 237</t>
      </text>
    </comment>
    <comment ref="I30" authorId="0">
      <text>
        <t>glossaryselectfininfoandno.htm 2Q26 (S7) | Interest expense, net | 243</t>
      </text>
    </comment>
    <comment ref="C33" authorId="0">
      <text>
        <t>glossaryselectfininfoandno.htm 1Q26 (S5); recast lines ex991recastschedules_2025v.htm (S3) | Pension &amp; other employee benefit (income) costs | 12</t>
      </text>
    </comment>
    <comment ref="D33" authorId="0">
      <text>
        <t>glossaryselectfininfoandno.htm 2Q26 (S7); recast lines S3 | Pension &amp; other employee benefit (income) costs | 11</t>
      </text>
    </comment>
    <comment ref="E33" authorId="0">
      <text>
        <t>glossaryselectfininfoandno.htm 3Q25 (S8); recast lines S3 | Pension &amp; other employee benefit (income) costs | 14</t>
      </text>
    </comment>
    <comment ref="F33" authorId="0">
      <text>
        <t>glossaryselectfininfoandno.htm 4Q25/FY25 (S9); recast lines S3 | Pension &amp; other employee benefit (income) costs | 9</t>
      </text>
    </comment>
    <comment ref="H33" authorId="0">
      <text>
        <t>glossaryselectfininfoandno.htm 1Q26 (S5) | Pension &amp; other employee benefit (income) costs | (5.0)</t>
      </text>
    </comment>
    <comment ref="I33" authorId="0">
      <text>
        <t>glossaryselectfininfoandno.htm 2Q26 (S7) | Pension &amp; other employee benefit (income) costs | (5.0)</t>
      </text>
    </comment>
    <comment ref="C35" authorId="0">
      <text>
        <t>glossaryselectfininfoandno.htm 1Q26 (S5); recast lines ex991recastschedules_2025v.htm (S3) | Provision for income taxes | 659</t>
      </text>
    </comment>
    <comment ref="D35" authorId="0">
      <text>
        <t>glossaryselectfininfoandno.htm 2Q26 (S7); recast lines S3 | Provision for income taxes | 652</t>
      </text>
    </comment>
    <comment ref="E35" authorId="0">
      <text>
        <t>glossaryselectfininfoandno.htm 3Q25 (S8); recast lines S3 | Provision for income taxes | 751</t>
      </text>
    </comment>
    <comment ref="F35" authorId="0">
      <text>
        <t>glossaryselectfininfoandno.htm 4Q25/FY25 (S9); recast lines S3 | Provision for income taxes | 675</t>
      </text>
    </comment>
    <comment ref="H35" authorId="0">
      <text>
        <t>glossaryselectfininfoandno.htm 1Q26 (S5) | Provision for income taxes | 676</t>
      </text>
    </comment>
    <comment ref="I35" authorId="0">
      <text>
        <t>glossaryselectfininfoandno.htm 2Q26 (S7) | Provision for income taxes | 955</t>
      </text>
    </comment>
    <comment ref="C38" authorId="0">
      <text>
        <t>glossaryselectfininfoandno.htm 1Q26 (S5); recast lines ex991recastschedules_2025v.htm (S3) | Impairment related to the RBH equity investment | –</t>
      </text>
    </comment>
    <comment ref="D38" authorId="0">
      <text>
        <t>glossaryselectfininfoandno.htm 2Q26 (S7); recast lines S3 | Impairment related to the RBH equity investment | –</t>
      </text>
    </comment>
    <comment ref="E38" authorId="0">
      <text>
        <t>glossaryselectfininfoandno.htm 3Q25 (S8); recast lines S3 | Impairment related to the RBH equity investment | –</t>
      </text>
    </comment>
    <comment ref="F38" authorId="0">
      <text>
        <t>glossaryselectfininfoandno.htm 4Q25/FY25 (S9); recast lines S3 | Impairment related to the RBH equity investment | –</t>
      </text>
    </comment>
    <comment ref="H38" authorId="0">
      <text>
        <t>glossaryselectfininfoandno.htm 1Q26 (S5) | Impairment related to the RBH equity investment | –</t>
      </text>
    </comment>
    <comment ref="I38" authorId="0">
      <text>
        <t>glossaryselectfininfoandno.htm 2Q26 (S7) | Impairment related to the RBH equity investment | 511</t>
      </text>
    </comment>
    <comment ref="C39" authorId="0">
      <text>
        <t>glossaryselectfininfoandno.htm 1Q26 (S5); recast lines ex991recastschedules_2025v.htm (S3) | Equity investments &amp; securities (income)/loss, net | (205.0)</t>
      </text>
    </comment>
    <comment ref="D39" authorId="0">
      <text>
        <t>glossaryselectfininfoandno.htm 2Q26 (S7); recast lines S3 | Equity investments &amp; securities (income)/loss, net | (376.0)</t>
      </text>
    </comment>
    <comment ref="E39" authorId="0">
      <text>
        <t>glossaryselectfininfoandno.htm 3Q25 (S8); recast lines S3 | Equity investments &amp; securities (income)/loss, net | (345.0)</t>
      </text>
    </comment>
    <comment ref="F39" authorId="0">
      <text>
        <t>glossaryselectfininfoandno.htm 4Q25/FY25 (S9); recast lines S3 | Equity investments &amp; securities (income)/loss, net | 221</t>
      </text>
    </comment>
    <comment ref="H39" authorId="0">
      <text>
        <t>glossaryselectfininfoandno.htm 1Q26 (S5) | Equity investments &amp; securities (income)/loss, net | 403</t>
      </text>
    </comment>
    <comment ref="I39" authorId="0">
      <text>
        <t>glossaryselectfininfoandno.htm 2Q26 (S7) | Equity investments &amp; securities (income)/loss, net | (159.0)</t>
      </text>
    </comment>
    <comment ref="C41" authorId="0">
      <text>
        <t>glossaryselectfininfoandno.htm 1Q26 (S5); recast lines ex991recastschedules_2025v.htm (S3) | Net earnings attributable to noncontrolling interests | 147</t>
      </text>
    </comment>
    <comment ref="D41" authorId="0">
      <text>
        <t>glossaryselectfininfoandno.htm 2Q26 (S7); recast lines S3 | Net earnings attributable to noncontrolling interests | 109</t>
      </text>
    </comment>
    <comment ref="E41" authorId="0">
      <text>
        <t>glossaryselectfininfoandno.htm 3Q25 (S8); recast lines S3 | Net earnings attributable to noncontrolling interests | 135</t>
      </text>
    </comment>
    <comment ref="F41" authorId="0">
      <text>
        <t>glossaryselectfininfoandno.htm 4Q25/FY25 (S9); recast lines S3 | Net earnings attributable to noncontrolling interests | 109</t>
      </text>
    </comment>
    <comment ref="H41" authorId="0">
      <text>
        <t>glossaryselectfininfoandno.htm 1Q26 (S5) | Net earnings attributable to noncontrolling interests | 144</t>
      </text>
    </comment>
    <comment ref="I41" authorId="0">
      <text>
        <t>glossaryselectfininfoandno.htm 2Q26 (S7) | Net earnings attributable to noncontrolling interests | 168</t>
      </text>
    </comment>
    <comment ref="C49" authorId="0">
      <text>
        <t>glossaryselectfininfoandno.htm 1Q26 (S5); recast lines ex991recastschedules_2025v.htm (S3) | Less: earnings allocated to share-based payment awards | 8</t>
      </text>
    </comment>
    <comment ref="D49" authorId="0">
      <text>
        <t>glossaryselectfininfoandno.htm 2Q26 (S7); recast lines S3 | Less: earnings allocated to share-based payment awards | 8</t>
      </text>
    </comment>
    <comment ref="E49" authorId="0">
      <text>
        <t>glossaryselectfininfoandno.htm 3Q25 (S8); recast lines S3 | Less: earnings allocated to share-based payment awards | 10</t>
      </text>
    </comment>
    <comment ref="F49" authorId="0">
      <text>
        <t>glossaryselectfininfoandno.htm 4Q25/FY25 (S9); recast lines S3 | Less: earnings allocated to share-based payment awards | 6</t>
      </text>
    </comment>
    <comment ref="H49" authorId="0">
      <text>
        <t>glossaryselectfininfoandno.htm 1Q26 (S5) | Less: earnings allocated to share-based payment awards | 7</t>
      </text>
    </comment>
    <comment ref="I49" authorId="0">
      <text>
        <t>glossaryselectfininfoandno.htm 2Q26 (S7) | Less: earnings allocated to share-based payment awards | 7</t>
      </text>
    </comment>
    <comment ref="C62" authorId="0">
      <text>
        <t>glossaryselectfininfoandno.htm 1Q26 (S5); recast lines ex991recastschedules_2025v.htm (S3) | Amortization of intangibles | $0.12</t>
      </text>
    </comment>
    <comment ref="D62" authorId="0">
      <text>
        <t>glossaryselectfininfoandno.htm 2Q26 (S7); recast lines S3 | Amortization of intangibles | $0.12</t>
      </text>
    </comment>
    <comment ref="E62" authorId="0">
      <text>
        <t>glossaryselectfininfoandno.htm 3Q25 (S8); recast lines S3 | Amortization of intangibles | $0.13</t>
      </text>
    </comment>
    <comment ref="F62" authorId="0">
      <text>
        <t>glossaryselectfininfoandno.htm 4Q25/FY25 (S9); recast lines S3 | Amortization of intangibles | $0.13</t>
      </text>
    </comment>
    <comment ref="H62" authorId="0">
      <text>
        <t>glossaryselectfininfoandno.htm 1Q26 (S5) | Amortization of intangibles | $0.12</t>
      </text>
    </comment>
    <comment ref="I62" authorId="0">
      <text>
        <t>glossaryselectfininfoandno.htm 2Q26 (S7) | Amortization of intangibles | $0.13</t>
      </text>
    </comment>
    <comment ref="G62" authorId="0">
      <text>
        <t>glossaryselectfininfoandno.htm 4Q25/FY25 (S9) | Amortization of intangibles | $0.50</t>
      </text>
    </comment>
    <comment ref="C63" authorId="0">
      <text>
        <t>glossaryselectfininfoandno.htm 1Q26 (S5); recast lines ex991recastschedules_2025v.htm (S3) | Restructuring charges | –</t>
      </text>
    </comment>
    <comment ref="D63" authorId="0">
      <text>
        <t>glossaryselectfininfoandno.htm 2Q26 (S7); recast lines S3 | Restructuring charges | $0.13</t>
      </text>
    </comment>
    <comment ref="E63" authorId="0">
      <text>
        <t>glossaryselectfininfoandno.htm 3Q25 (S8); recast lines S3 | Restructuring charges | –</t>
      </text>
    </comment>
    <comment ref="F63" authorId="0">
      <text>
        <t>glossaryselectfininfoandno.htm 4Q25/FY25 (S9); recast lines S3 | Restructuring charges | $0.01</t>
      </text>
    </comment>
    <comment ref="H63" authorId="0">
      <text>
        <t>glossaryselectfininfoandno.htm 1Q26 (S5) | Restructuring charges | $0.01</t>
      </text>
    </comment>
    <comment ref="I63" authorId="0">
      <text>
        <t>glossaryselectfininfoandno.htm 2Q26 (S7) | Restructuring charges | –</t>
      </text>
    </comment>
    <comment ref="G63" authorId="0">
      <text>
        <t>glossaryselectfininfoandno.htm 4Q25/FY25 (S9) | Restructuring charges | $0.14</t>
      </text>
    </comment>
    <comment ref="C64" authorId="0">
      <text>
        <t>glossaryselectfininfoandno.htm 1Q26 (S5); recast lines ex991recastschedules_2025v.htm (S3) | Impairment of goodwill and other intangibles | –</t>
      </text>
    </comment>
    <comment ref="D64" authorId="0">
      <text>
        <t>glossaryselectfininfoandno.htm 2Q26 (S7); recast lines S3 | Impairment of goodwill and other intangibles | $0.03</t>
      </text>
    </comment>
    <comment ref="E64" authorId="0">
      <text>
        <t>glossaryselectfininfoandno.htm 3Q25 (S8); recast lines S3 | Impairment of goodwill and other intangibles | –</t>
      </text>
    </comment>
    <comment ref="F64" authorId="0">
      <text>
        <t>glossaryselectfininfoandno.htm 4Q25/FY25 (S9); recast lines S3 | Impairment of goodwill and other intangibles | –</t>
      </text>
    </comment>
    <comment ref="H64" authorId="0">
      <text>
        <t>glossaryselectfininfoandno.htm 1Q26 (S5) | Impairment of goodwill and other intangibles | –</t>
      </text>
    </comment>
    <comment ref="I64" authorId="0">
      <text>
        <t>glossaryselectfininfoandno.htm 2Q26 (S7) | Impairment of goodwill and other intangibles | –</t>
      </text>
    </comment>
    <comment ref="G64" authorId="0">
      <text>
        <t>glossaryselectfininfoandno.htm 4Q25/FY25 (S9) | Impairment of goodwill and other intangibles | $0.03</t>
      </text>
    </comment>
    <comment ref="C65" authorId="0">
      <text>
        <t>glossaryselectfininfoandno.htm 1Q26 (S5); recast lines ex991recastschedules_2025v.htm (S3) | Fair value adjustment for equity security investments | ($0.09)</t>
      </text>
    </comment>
    <comment ref="D65" authorId="0">
      <text>
        <t>glossaryselectfininfoandno.htm 2Q26 (S7); recast lines S3 | Fair value adjustment for equity security investments | ($0.17)</t>
      </text>
    </comment>
    <comment ref="E65" authorId="0">
      <text>
        <t>glossaryselectfininfoandno.htm 3Q25 (S8); recast lines S3 | Fair value adjustment for equity security investments | ($0.07)</t>
      </text>
    </comment>
    <comment ref="F65" authorId="0">
      <text>
        <t>glossaryselectfininfoandno.htm 4Q25/FY25 (S9); recast lines S3 | Fair value adjustment for equity security investments | $0.14</t>
      </text>
    </comment>
    <comment ref="H65" authorId="0">
      <text>
        <t>glossaryselectfininfoandno.htm 1Q26 (S5) | Fair value adjustment for equity security investments | $0.22</t>
      </text>
    </comment>
    <comment ref="I65" authorId="0">
      <text>
        <t>glossaryselectfininfoandno.htm 2Q26 (S7) | Fair value adjustment for equity security investments | ($0.06)</t>
      </text>
    </comment>
    <comment ref="G65" authorId="0">
      <text>
        <t>glossaryselectfininfoandno.htm 4Q25/FY25 (S9) | Fair value adjustment for equity security investments | ($0.18)</t>
      </text>
    </comment>
    <comment ref="C66" authorId="0">
      <text>
        <t>glossaryselectfininfoandno.htm 1Q26 (S5); recast lines ex991recastschedules_2025v.htm (S3) | Income tax impact associated with Swedish Match AB financing | ($0.06)</t>
      </text>
    </comment>
    <comment ref="D66" authorId="0">
      <text>
        <t>glossaryselectfininfoandno.htm 2Q26 (S7); recast lines S3 | Income tax impact associated with Swedish Match AB financing | ($0.18)</t>
      </text>
    </comment>
    <comment ref="E66" authorId="0">
      <text>
        <t>glossaryselectfininfoandno.htm 3Q25 (S8); recast lines S3 | Income tax impact associated with Swedish Match AB financing | –</t>
      </text>
    </comment>
    <comment ref="F66" authorId="0">
      <text>
        <t>glossaryselectfininfoandno.htm 4Q25/FY25 (S9); recast lines S3 | Income tax impact associated with Swedish Match AB financing | ($0.01)</t>
      </text>
    </comment>
    <comment ref="H66" authorId="0">
      <text>
        <t>glossaryselectfininfoandno.htm 1Q26 (S5) | Income tax impact associated with Swedish Match AB financing | $0.05</t>
      </text>
    </comment>
    <comment ref="I66" authorId="0">
      <text>
        <t>glossaryselectfininfoandno.htm 2Q26 (S7) | Income tax impact associated with Swedish Match AB financing | $0.01</t>
      </text>
    </comment>
    <comment ref="G66" authorId="0">
      <text>
        <t>glossaryselectfininfoandno.htm 4Q25/FY25 (S9) | Income tax impact associated with Swedish Match AB financing | ($0.25)</t>
      </text>
    </comment>
    <comment ref="C67" authorId="0">
      <text>
        <t>glossaryselectfininfoandno.htm 1Q26 (S5); recast lines ex991recastschedules_2025v.htm (S3) | Germany excise tax classification litigation charge | –</t>
      </text>
    </comment>
    <comment ref="D67" authorId="0">
      <text>
        <t>glossaryselectfininfoandno.htm 2Q26 (S7); recast lines S3 | Germany excise tax classification litigation charge | –</t>
      </text>
    </comment>
    <comment ref="E67" authorId="0">
      <text>
        <t>glossaryselectfininfoandno.htm 3Q25 (S8); recast lines S3 | Germany excise tax classification litigation charge | $0.10</t>
      </text>
    </comment>
    <comment ref="F67" authorId="0">
      <text>
        <t>glossaryselectfininfoandno.htm 4Q25/FY25 (S9); recast lines S3 | Germany excise tax classification litigation charge | –</t>
      </text>
    </comment>
    <comment ref="H67" authorId="0">
      <text>
        <t>glossaryselectfininfoandno.htm 1Q26 (S5) | Germany excise tax classification litigation charge | –</t>
      </text>
    </comment>
    <comment ref="I67" authorId="0">
      <text>
        <t>glossaryselectfininfoandno.htm 2Q26 (S7) | Germany excise tax classification litigation charge | –</t>
      </text>
    </comment>
    <comment ref="G67" authorId="0">
      <text>
        <t>glossaryselectfininfoandno.htm 4Q25/FY25 (S9) | Germany excise tax classification litigation charge | $0.10</t>
      </text>
    </comment>
    <comment ref="C68" authorId="0">
      <text>
        <t>glossaryselectfininfoandno.htm 1Q26 (S5); recast lines ex991recastschedules_2025v.htm (S3) | RBH (Canada) Plan implementation, incl. dividend income, net | –</t>
      </text>
    </comment>
    <comment ref="D68" authorId="0">
      <text>
        <t>glossaryselectfininfoandno.htm 2Q26 (S7); recast lines S3 | RBH (Canada) Plan implementation, incl. dividend income, net | –</t>
      </text>
    </comment>
    <comment ref="E68" authorId="0">
      <text>
        <t>glossaryselectfininfoandno.htm 3Q25 (S8); recast lines S3 | RBH (Canada) Plan implementation, incl. dividend income, net | ($0.10)</t>
      </text>
    </comment>
    <comment ref="F68" authorId="0">
      <text>
        <t>glossaryselectfininfoandno.htm 4Q25/FY25 (S9); recast lines S3 | RBH (Canada) Plan implementation, incl. dividend income, net | –</t>
      </text>
    </comment>
    <comment ref="H68" authorId="0">
      <text>
        <t>glossaryselectfininfoandno.htm 1Q26 (S5) | RBH (Canada) Plan implementation, incl. dividend income, net | –</t>
      </text>
    </comment>
    <comment ref="I68" authorId="0">
      <text>
        <t>glossaryselectfininfoandno.htm 2Q26 (S7) | RBH (Canada) Plan implementation, incl. dividend income, net | –</t>
      </text>
    </comment>
    <comment ref="G68" authorId="0">
      <text>
        <t>glossaryselectfininfoandno.htm 4Q25/FY25 (S9) | RBH (Canada) Plan implementation, incl. dividend income, net | ($0.10)</t>
      </text>
    </comment>
    <comment ref="C69" authorId="0">
      <text>
        <t>glossaryselectfininfoandno.htm 1Q26 (S5); recast lines ex991recastschedules_2025v.htm (S3) | Impairment of Wellness business related equity investment | –</t>
      </text>
    </comment>
    <comment ref="D69" authorId="0">
      <text>
        <t>glossaryselectfininfoandno.htm 2Q26 (S7); recast lines S3 | Impairment of Wellness business related equity investment | –</t>
      </text>
    </comment>
    <comment ref="E69" authorId="0">
      <text>
        <t>glossaryselectfininfoandno.htm 3Q25 (S8); recast lines S3 | Impairment of Wellness business related equity investment | $0.09</t>
      </text>
    </comment>
    <comment ref="F69" authorId="0">
      <text>
        <t>glossaryselectfininfoandno.htm 4Q25/FY25 (S9); recast lines S3 | Impairment of Wellness business related equity investment | –</t>
      </text>
    </comment>
    <comment ref="H69" authorId="0">
      <text>
        <t>glossaryselectfininfoandno.htm 1Q26 (S5) | Impairment of Wellness business related equity investment | –</t>
      </text>
    </comment>
    <comment ref="I69" authorId="0">
      <text>
        <t>glossaryselectfininfoandno.htm 2Q26 (S7) | Impairment of Wellness business related equity investment | –</t>
      </text>
    </comment>
    <comment ref="G69" authorId="0">
      <text>
        <t>glossaryselectfininfoandno.htm 4Q25/FY25 (S9) | Impairment of Wellness business related equity investment | $0.09</t>
      </text>
    </comment>
    <comment ref="C70" authorId="0">
      <text>
        <t>glossaryselectfininfoandno.htm 1Q26 (S5); recast lines ex991recastschedules_2025v.htm (S3) | Loss on expected sale of consumer accessories and other businesses | –</t>
      </text>
    </comment>
    <comment ref="D70" authorId="0">
      <text>
        <t>glossaryselectfininfoandno.htm 2Q26 (S7); recast lines S3 | Loss on expected sale of consumer accessories and other businesses | –</t>
      </text>
    </comment>
    <comment ref="E70" authorId="0">
      <text>
        <t>glossaryselectfininfoandno.htm 3Q25 (S8); recast lines S3 | Loss on expected sale of consumer accessories and other businesses | –</t>
      </text>
    </comment>
    <comment ref="F70" authorId="0">
      <text>
        <t>glossaryselectfininfoandno.htm 4Q25/FY25 (S9); recast lines S3 | Loss on expected sale of consumer accessories and other businesses | $0.06</t>
      </text>
    </comment>
    <comment ref="H70" authorId="0">
      <text>
        <t>glossaryselectfininfoandno.htm 1Q26 (S5) | Loss on expected sale of consumer accessories and other businesses | –</t>
      </text>
    </comment>
    <comment ref="I70" authorId="0">
      <text>
        <t>glossaryselectfininfoandno.htm 2Q26 (S7) | Loss on expected sale of consumer accessories and other businesses | –</t>
      </text>
    </comment>
    <comment ref="G70" authorId="0">
      <text>
        <t>glossaryselectfininfoandno.htm 4Q25/FY25 (S9) | Loss on expected sale of consumer accessories and other businesses | $0.06</t>
      </text>
    </comment>
    <comment ref="C71" authorId="0">
      <text>
        <t>glossaryselectfininfoandno.htm 1Q26 (S5); recast lines ex991recastschedules_2025v.htm (S3) | Impairment related to the RBH equity investment | –</t>
      </text>
    </comment>
    <comment ref="D71" authorId="0">
      <text>
        <t>glossaryselectfininfoandno.htm 2Q26 (S7); recast lines S3 | Impairment related to the RBH equity investment | –</t>
      </text>
    </comment>
    <comment ref="E71" authorId="0">
      <text>
        <t>glossaryselectfininfoandno.htm 3Q25 (S8); recast lines S3 | Impairment related to the RBH equity investment | –</t>
      </text>
    </comment>
    <comment ref="F71" authorId="0">
      <text>
        <t>glossaryselectfininfoandno.htm 4Q25/FY25 (S9); recast lines S3 | Impairment related to the RBH equity investment | –</t>
      </text>
    </comment>
    <comment ref="H71" authorId="0">
      <text>
        <t>glossaryselectfininfoandno.htm 1Q26 (S5) | Impairment related to the RBH equity investment | –</t>
      </text>
    </comment>
    <comment ref="I71" authorId="0">
      <text>
        <t>glossaryselectfininfoandno.htm 2Q26 (S7) | Impairment related to the RBH equity investment | $0.33</t>
      </text>
    </comment>
    <comment ref="G71" authorId="0">
      <text>
        <t>glossaryselectfininfoandno.htm 4Q25/FY25 (S9) | Impairment related to the RBH equity investment | –</t>
      </text>
    </comment>
    <comment ref="C72" authorId="0">
      <text>
        <t>glossaryselectfininfoandno.htm 1Q26 (S5); recast lines ex991recastschedules_2025v.htm (S3) | Egypt sales tax settlement adjustment | –</t>
      </text>
    </comment>
    <comment ref="D72" authorId="0">
      <text>
        <t>glossaryselectfininfoandno.htm 2Q26 (S7); recast lines S3 | Egypt sales tax settlement adjustment | –</t>
      </text>
    </comment>
    <comment ref="E72" authorId="0">
      <text>
        <t>glossaryselectfininfoandno.htm 3Q25 (S8); recast lines S3 | Egypt sales tax settlement adjustment | –</t>
      </text>
    </comment>
    <comment ref="F72" authorId="0">
      <text>
        <t>glossaryselectfininfoandno.htm 4Q25/FY25 (S9); recast lines S3 | Egypt sales tax settlement adjustment | –</t>
      </text>
    </comment>
    <comment ref="H72" authorId="0">
      <text>
        <t>glossaryselectfininfoandno.htm 1Q26 (S5) | Egypt sales tax settlement adjustment | –</t>
      </text>
    </comment>
    <comment ref="I72" authorId="0">
      <text>
        <t>glossaryselectfininfoandno.htm 2Q26 (S7) | Egypt sales tax settlement adjustment | ($0.01)</t>
      </text>
    </comment>
    <comment ref="G72" authorId="0">
      <text>
        <t>glossaryselectfininfoandno.htm 4Q25/FY25 (S9) | Egypt sales tax settlement adjustment | –</t>
      </text>
    </comment>
    <comment ref="C73" authorId="0">
      <text>
        <t>glossaryselectfininfoandno.htm 1Q26 (S5); recast lines ex991recastschedules_2025v.htm (S3) | Tax items | –</t>
      </text>
    </comment>
    <comment ref="D73" authorId="0">
      <text>
        <t>glossaryselectfininfoandno.htm 2Q26 (S7); recast lines S3 | Tax items | $0.03</t>
      </text>
    </comment>
    <comment ref="E73" authorId="0">
      <text>
        <t>glossaryselectfininfoandno.htm 3Q25 (S8); recast lines S3 | Tax items | ($0.14)</t>
      </text>
    </comment>
    <comment ref="F73" authorId="0">
      <text>
        <t>glossaryselectfininfoandno.htm 4Q25/FY25 (S9); recast lines S3 | Tax items | –</t>
      </text>
    </comment>
    <comment ref="H73" authorId="0">
      <text>
        <t>glossaryselectfininfoandno.htm 1Q26 (S5) | Tax items | –</t>
      </text>
    </comment>
    <comment ref="I73" authorId="0">
      <text>
        <t>glossaryselectfininfoandno.htm 2Q26 (S7) | Tax items | –</t>
      </text>
    </comment>
    <comment ref="G73" authorId="0">
      <text>
        <t>glossaryselectfininfoandno.htm 4Q25/FY25 (S9) | Tax items | ($0.11)</t>
      </text>
    </comment>
    <comment ref="C88" authorId="0">
      <text>
        <t>glossaryselectfininfoandno.htm 1Q26 (S5); recast lines ex991recastschedules_2025v.htm (S3) | Amortization of intangibles | (45.0)</t>
      </text>
    </comment>
    <comment ref="D88" authorId="0">
      <text>
        <t>glossaryselectfininfoandno.htm 2Q26 (S7); recast lines S3 | Amortization of intangibles | (49.0)</t>
      </text>
    </comment>
    <comment ref="E88" authorId="0">
      <text>
        <t>glossaryselectfininfoandno.htm 3Q25 (S8); recast lines S3 | Amortization of intangibles | (50.0)</t>
      </text>
    </comment>
    <comment ref="F88" authorId="0">
      <text>
        <t>glossaryselectfininfoandno.htm 4Q25/FY25 (S9); recast lines S3 | Amortization of intangibles | (55.0)</t>
      </text>
    </comment>
    <comment ref="H88" authorId="0">
      <text>
        <t>glossaryselectfininfoandno.htm 1Q26 (S5) | Amortization of intangibles | (50.0)</t>
      </text>
    </comment>
    <comment ref="I88" authorId="0">
      <text>
        <t>glossaryselectfininfoandno.htm 2Q26 (S7) | Amortization of intangibles | (50.0)</t>
      </text>
    </comment>
    <comment ref="C89" authorId="0">
      <text>
        <t>glossaryselectfininfoandno.htm 1Q26 (S5); recast lines ex991recastschedules_2025v.htm (S3) | Restructuring charges | –</t>
      </text>
    </comment>
    <comment ref="D89" authorId="0">
      <text>
        <t>glossaryselectfininfoandno.htm 2Q26 (S7); recast lines S3 | Restructuring charges | (243.0)</t>
      </text>
    </comment>
    <comment ref="E89" authorId="0">
      <text>
        <t>glossaryselectfininfoandno.htm 3Q25 (S8); recast lines S3 | Restructuring charges | –</t>
      </text>
    </comment>
    <comment ref="F89" authorId="0">
      <text>
        <t>glossaryselectfininfoandno.htm 4Q25/FY25 (S9); recast lines S3 | Restructuring charges | 2</t>
      </text>
    </comment>
    <comment ref="H89" authorId="0">
      <text>
        <t>glossaryselectfininfoandno.htm 1Q26 (S5) | Restructuring charges | –</t>
      </text>
    </comment>
    <comment ref="I89" authorId="0">
      <text>
        <t>glossaryselectfininfoandno.htm 2Q26 (S7) | Restructuring charges | –</t>
      </text>
    </comment>
    <comment ref="C90" authorId="0">
      <text>
        <t>glossaryselectfininfoandno.htm 1Q26 (S5); recast lines ex991recastschedules_2025v.htm (S3) | Impairment of goodwill | –</t>
      </text>
    </comment>
    <comment ref="D90" authorId="0">
      <text>
        <t>glossaryselectfininfoandno.htm 2Q26 (S7); recast lines S3 | Impairment of goodwill | (41.0)</t>
      </text>
    </comment>
    <comment ref="E90" authorId="0">
      <text>
        <t>glossaryselectfininfoandno.htm 3Q25 (S8); recast lines S3 | Impairment of goodwill | –</t>
      </text>
    </comment>
    <comment ref="F90" authorId="0">
      <text>
        <t>glossaryselectfininfoandno.htm 4Q25/FY25 (S9); recast lines S3 | Impairment of goodwill | –</t>
      </text>
    </comment>
    <comment ref="H90" authorId="0">
      <text>
        <t>glossaryselectfininfoandno.htm 1Q26 (S5) | Impairment of goodwill | –</t>
      </text>
    </comment>
    <comment ref="I90" authorId="0">
      <text>
        <t>glossaryselectfininfoandno.htm 2Q26 (S7) | Impairment of goodwill | –</t>
      </text>
    </comment>
    <comment ref="C91" authorId="0">
      <text>
        <t>glossaryselectfininfoandno.htm 1Q26 (S5); recast lines ex991recastschedules_2025v.htm (S3) | RBH (Canada) Plan implementation | –</t>
      </text>
    </comment>
    <comment ref="D91" authorId="0">
      <text>
        <t>glossaryselectfininfoandno.htm 2Q26 (S7); recast lines S3 | RBH (Canada) Plan implementation | –</t>
      </text>
    </comment>
    <comment ref="E91" authorId="0">
      <text>
        <t>glossaryselectfininfoandno.htm 3Q25 (S8); recast lines S3 | RBH (Canada) Plan implementation | 19</t>
      </text>
    </comment>
    <comment ref="F91" authorId="0">
      <text>
        <t>glossaryselectfininfoandno.htm 4Q25/FY25 (S9); recast lines S3 | RBH (Canada) Plan implementation | –</t>
      </text>
    </comment>
    <comment ref="H91" authorId="0">
      <text>
        <t>glossaryselectfininfoandno.htm 1Q26 (S5) | RBH (Canada) Plan implementation | –</t>
      </text>
    </comment>
    <comment ref="I91" authorId="0">
      <text>
        <t>glossaryselectfininfoandno.htm 2Q26 (S7) | RBH (Canada) Plan implementation | –</t>
      </text>
    </comment>
    <comment ref="C92" authorId="0">
      <text>
        <t>glossaryselectfininfoandno.htm 1Q26 (S5); recast lines ex991recastschedules_2025v.htm (S3) | Germany excise tax classification litigation charge | –</t>
      </text>
    </comment>
    <comment ref="D92" authorId="0">
      <text>
        <t>glossaryselectfininfoandno.htm 2Q26 (S7); recast lines S3 | Germany excise tax classification litigation charge | –</t>
      </text>
    </comment>
    <comment ref="E92" authorId="0">
      <text>
        <t>glossaryselectfininfoandno.htm 3Q25 (S8); recast lines S3 | Germany excise tax classification litigation charge | (176.0)</t>
      </text>
    </comment>
    <comment ref="F92" authorId="0">
      <text>
        <t>glossaryselectfininfoandno.htm 4Q25/FY25 (S9); recast lines S3 | Germany excise tax classification litigation charge | –</t>
      </text>
    </comment>
    <comment ref="H92" authorId="0">
      <text>
        <t>glossaryselectfininfoandno.htm 1Q26 (S5) | Germany excise tax classification litigation charge | –</t>
      </text>
    </comment>
    <comment ref="I92" authorId="0">
      <text>
        <t>glossaryselectfininfoandno.htm 2Q26 (S7) | Germany excise tax classification litigation charge | –</t>
      </text>
    </comment>
    <comment ref="C93" authorId="0">
      <text>
        <t>glossaryselectfininfoandno.htm 1Q26 (S5); recast lines ex991recastschedules_2025v.htm (S3) | Loss on expected sale of consumer accessories and other businesses | –</t>
      </text>
    </comment>
    <comment ref="D93" authorId="0">
      <text>
        <t>glossaryselectfininfoandno.htm 2Q26 (S7); recast lines S3 | Loss on expected sale of consumer accessories and other businesses | –</t>
      </text>
    </comment>
    <comment ref="E93" authorId="0">
      <text>
        <t>glossaryselectfininfoandno.htm 3Q25 (S8); recast lines S3 | Loss on expected sale of consumer accessories and other businesses | –</t>
      </text>
    </comment>
    <comment ref="F93" authorId="0">
      <text>
        <t>glossaryselectfininfoandno.htm 4Q25/FY25 (S9); recast lines S3 | Loss on expected sale of consumer accessories and other businesses | (94.0)</t>
      </text>
    </comment>
    <comment ref="H93" authorId="0">
      <text>
        <t>glossaryselectfininfoandno.htm 1Q26 (S5) | Loss on expected sale of consumer accessories and other businesses | –</t>
      </text>
    </comment>
    <comment ref="I93" authorId="0">
      <text>
        <t>glossaryselectfininfoandno.htm 2Q26 (S7) | Loss on expected sale of consumer accessories and other businesses | –</t>
      </text>
    </comment>
    <comment ref="C94" authorId="0">
      <text>
        <t>glossaryselectfininfoandno.htm 1Q26 (S5); recast lines ex991recastschedules_2025v.htm (S3) | Egypt sales tax settlement adjustment | –</t>
      </text>
    </comment>
    <comment ref="D94" authorId="0">
      <text>
        <t>glossaryselectfininfoandno.htm 2Q26 (S7); recast lines S3 | Egypt sales tax settlement adjustment | –</t>
      </text>
    </comment>
    <comment ref="E94" authorId="0">
      <text>
        <t>glossaryselectfininfoandno.htm 3Q25 (S8); recast lines S3 | Egypt sales tax settlement adjustment | –</t>
      </text>
    </comment>
    <comment ref="F94" authorId="0">
      <text>
        <t>glossaryselectfininfoandno.htm 4Q25/FY25 (S9); recast lines S3 | Egypt sales tax settlement adjustment | –</t>
      </text>
    </comment>
    <comment ref="H94" authorId="0">
      <text>
        <t>glossaryselectfininfoandno.htm 1Q26 (S5) | Egypt sales tax settlement adjustment | –</t>
      </text>
    </comment>
    <comment ref="I94" authorId="0">
      <text>
        <t>glossaryselectfininfoandno.htm 2Q26 (S7) | Egypt sales tax settlement adjustment | 15</t>
      </text>
    </comment>
    <comment ref="C95" authorId="0">
      <text>
        <t>glossaryselectfininfoandno.htm 1Q26 (S5); recast lines ex991recastschedules_2025v.htm (S3) | International OCI (GAAP) | 3,605.0</t>
      </text>
    </comment>
    <comment ref="D95" authorId="0">
      <text>
        <t>glossaryselectfininfoandno.htm 2Q26 (S7); recast lines S3 | International OCI (GAAP) | 3,685.0</t>
      </text>
    </comment>
    <comment ref="E95" authorId="0">
      <text>
        <t>glossaryselectfininfoandno.htm 3Q25 (S8); recast lines S3 | International OCI (GAAP) | 4,335.0</t>
      </text>
    </comment>
    <comment ref="F95" authorId="0">
      <text>
        <t>glossaryselectfininfoandno.htm 4Q25/FY25 (S9); recast lines S3 | International OCI (GAAP) | 3,597.0</t>
      </text>
    </comment>
    <comment ref="H95" authorId="0">
      <text>
        <t>glossaryselectfininfoandno.htm 1Q26 (S5) | International OCI (GAAP) | 4,174.0</t>
      </text>
    </comment>
    <comment ref="I95" authorId="0">
      <text>
        <t>glossaryselectfininfoandno.htm 2Q26 (S7) | International OCI (GAAP) | 4,606.0</t>
      </text>
    </comment>
    <comment ref="C99" authorId="0">
      <text>
        <t>glossaryselectfininfoandno.htm 1Q26 (S5); recast lines ex991recastschedules_2025v.htm (S3) | Amortization of intangibles | (200.0)</t>
      </text>
    </comment>
    <comment ref="D99" authorId="0">
      <text>
        <t>glossaryselectfininfoandno.htm 2Q26 (S7); recast lines S3 | Amortization of intangibles | (201.0)</t>
      </text>
    </comment>
    <comment ref="E99" authorId="0">
      <text>
        <t>glossaryselectfininfoandno.htm 3Q25 (S8); recast lines S3 | Amortization of intangibles | (200.0)</t>
      </text>
    </comment>
    <comment ref="F99" authorId="0">
      <text>
        <t>glossaryselectfininfoandno.htm 4Q25/FY25 (S9); recast lines S3 | Amortization of intangibles | (201.0)</t>
      </text>
    </comment>
    <comment ref="H99" authorId="0">
      <text>
        <t>glossaryselectfininfoandno.htm 1Q26 (S5) | Amortization of intangibles | (201.0)</t>
      </text>
    </comment>
    <comment ref="I99" authorId="0">
      <text>
        <t>glossaryselectfininfoandno.htm 2Q26 (S7) | Amortization of intangibles | (201.0)</t>
      </text>
    </comment>
    <comment ref="C100" authorId="0">
      <text>
        <t>glossaryselectfininfoandno.htm 1Q26 (S5); recast lines ex991recastschedules_2025v.htm (S3) | Restructuring charges | –</t>
      </text>
    </comment>
    <comment ref="D100" authorId="0">
      <text>
        <t>glossaryselectfininfoandno.htm 2Q26 (S7); recast lines S3 | Restructuring charges | –</t>
      </text>
    </comment>
    <comment ref="E100" authorId="0">
      <text>
        <t>glossaryselectfininfoandno.htm 3Q25 (S8); recast lines S3 | Restructuring charges | –</t>
      </text>
    </comment>
    <comment ref="F100" authorId="0">
      <text>
        <t>glossaryselectfininfoandno.htm 4Q25/FY25 (S9); recast lines S3 | Restructuring charges | –</t>
      </text>
    </comment>
    <comment ref="H100" authorId="0">
      <text>
        <t>glossaryselectfininfoandno.htm 1Q26 (S5) | Restructuring charges | (24.0)</t>
      </text>
    </comment>
    <comment ref="I100" authorId="0">
      <text>
        <t>glossaryselectfininfoandno.htm 2Q26 (S7) | Restructuring charges | (6.0)</t>
      </text>
    </comment>
    <comment ref="C101" authorId="0">
      <text>
        <t>glossaryselectfininfoandno.htm 1Q26 (S5); recast lines ex991recastschedules_2025v.htm (S3) | U.S. OCI (GAAP) | 237</t>
      </text>
    </comment>
    <comment ref="D101" authorId="0">
      <text>
        <t>glossaryselectfininfoandno.htm 2Q26 (S7); recast lines S3 | U.S. OCI (GAAP) | 152</t>
      </text>
    </comment>
    <comment ref="E101" authorId="0">
      <text>
        <t>glossaryselectfininfoandno.htm 3Q25 (S8); recast lines S3 | U.S. OCI (GAAP) | (33.0)</t>
      </text>
    </comment>
    <comment ref="F101" authorId="0">
      <text>
        <t>glossaryselectfininfoandno.htm 4Q25/FY25 (S9); recast lines S3 | U.S. OCI (GAAP) | (35.0)</t>
      </text>
    </comment>
    <comment ref="H101" authorId="0">
      <text>
        <t>glossaryselectfininfoandno.htm 1Q26 (S5) | U.S. OCI (GAAP) | (126.0)</t>
      </text>
    </comment>
    <comment ref="I101" authorId="0">
      <text>
        <t>glossaryselectfininfoandno.htm 2Q26 (S7) | U.S. OCI (GAAP) | 72</t>
      </text>
    </comment>
    <comment ref="G118" authorId="0">
      <text>
        <t>glossaryselectfininfoandno.htm 4Q25/FY25 (S9) | Adjusted EBITDA as disclosed (FY25) | 17,375.0</t>
      </text>
    </comment>
    <comment ref="C128" authorId="0">
      <text>
        <t>glossaryselectfininfoandno.htm 1Q26 (S5); recast lines ex991recastschedules_2025v.htm (S3) | Prior-year gross profit | 5,604.0</t>
      </text>
    </comment>
    <comment ref="D128" authorId="0">
      <text>
        <t>glossaryselectfininfoandno.htm 2Q26 (S7); recast lines S3 | Prior-year gross profit | 6,127.0</t>
      </text>
    </comment>
    <comment ref="E128" authorId="0">
      <text>
        <t>glossaryselectfininfoandno.htm 3Q25 (S8); recast lines S3 | Prior-year gross profit | 6,549.0</t>
      </text>
    </comment>
    <comment ref="F128" authorId="0">
      <text>
        <t>glossaryselectfininfoandno.htm 4Q25/FY25 (S9); recast lines S3 | Prior-year gross profit | 6,288.0</t>
      </text>
    </comment>
    <comment ref="C130" authorId="0">
      <text>
        <t>glossaryselectfininfoandno.htm 1Q26 (S5); recast lines ex991recastschedules_2025v.htm (S3) | Prior-year corporate expenses &amp; other | 332</t>
      </text>
    </comment>
    <comment ref="D130" authorId="0">
      <text>
        <t>glossaryselectfininfoandno.htm 2Q26 (S7); recast lines S3 | Prior-year corporate expenses &amp; other | 167</t>
      </text>
    </comment>
    <comment ref="E130" authorId="0">
      <text>
        <t>glossaryselectfininfoandno.htm 3Q25 (S8); recast lines S3 | Prior-year corporate expenses &amp; other | 116</t>
      </text>
    </comment>
    <comment ref="F130" authorId="0">
      <text>
        <t>glossaryselectfininfoandno.htm 4Q25/FY25 (S9); recast lines S3 | Prior-year corporate expenses &amp; other | 130</t>
      </text>
    </comment>
    <comment ref="C131" authorId="0">
      <text>
        <t>glossaryselectfininfoandno.htm 1Q26 (S5); recast lines ex991recastschedules_2025v.htm (S3) | Prior-year operating income | 3,045.0</t>
      </text>
    </comment>
    <comment ref="D131" authorId="0">
      <text>
        <t>glossaryselectfininfoandno.htm 2Q26 (S7); recast lines S3 | Prior-year operating income | 3,444.0</t>
      </text>
    </comment>
    <comment ref="E131" authorId="0">
      <text>
        <t>glossaryselectfininfoandno.htm 3Q25 (S8); recast lines S3 | Prior-year operating income | 3,654.0</t>
      </text>
    </comment>
    <comment ref="F131" authorId="0">
      <text>
        <t>glossaryselectfininfoandno.htm 4Q25/FY25 (S9); recast lines S3 | Prior-year operating income | 3,259.0</t>
      </text>
    </comment>
    <comment ref="C153" authorId="0">
      <text>
        <t>pm-20250331.htm 10-Q (S10) | Unrealized pre-tax gain (loss) of $ 183 million ($ 143 million net of tax), three months ended March 31, 2025 | $ 183 million</t>
      </text>
    </comment>
    <comment ref="D153" authorId="0">
      <text>
        <t>pm-20250630.htm 10-Q (S11); pm-20250331.htm 10-Q (S10) | Unrealized pre-tax gain (loss), six months ended June 30, 2025; three months ended March 31, 2025 | $525 million; $ 183 million</t>
      </text>
    </comment>
    <comment ref="E153" authorId="0">
      <text>
        <t>pm-20250930.htm 10-Q (S12); pm-20250630.htm 10-Q (S11) | Unrealized pre-tax gain (loss), nine months 2025; six months 2025; RBH pre-tax income within equity investments and securities (income)/loss, net; Wellness non-cash charge recorded within equity investments and securities (income)/loss, net | $656 million; $525 million; $303 million; $146 million</t>
      </text>
    </comment>
    <comment ref="H153" authorId="0">
      <text>
        <t>pm-20260331.htm 10-Q (S14) | Unrealized pre-tax gain (loss) of $(433) million ($(338) million net of tax), three months ended March 31, 2026 | $(433) million</t>
      </text>
    </comment>
    <comment ref="I153" authorId="0">
      <text>
        <t>pm-20260630.htm 10-Q (S15); pm-20260331.htm 10-Q (S14) | Unrealized pre-tax gain (loss), six months ended June 30, 2026; three months ended March 31, 2026 | $(308) million; $(433) million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9" authorId="0">
      <text>
        <t>pm-20250331.htm 10-Q (S10) | Cash and cash equivalents | 4,443.0</t>
      </text>
    </comment>
    <comment ref="D9" authorId="0">
      <text>
        <t>pm-20250630.htm 10-Q (S11) | Cash and cash equivalents | 4,138.0</t>
      </text>
    </comment>
    <comment ref="E9" authorId="0">
      <text>
        <t>pm-20250930.htm 10-Q (S12) | Cash and cash equivalents | 4,037.0</t>
      </text>
    </comment>
    <comment ref="F9" authorId="0">
      <text>
        <t>R7.htm 10-K FY25 (S13) | Cash and cash equivalents | 4,872.0</t>
      </text>
    </comment>
    <comment ref="H9" authorId="0">
      <text>
        <t>pm-20260331.htm 10-Q (S14) | Cash and cash equivalents | 5,450.0</t>
      </text>
    </comment>
    <comment ref="I9" authorId="0">
      <text>
        <t>pm-20260630.htm 10-Q (S15) | Cash and cash equivalents | 5,999.0</t>
      </text>
    </comment>
    <comment ref="C10" authorId="0">
      <text>
        <t>pm-20250331.htm 10-Q (S10) | Trade receivables, net | 4,880.0</t>
      </text>
    </comment>
    <comment ref="D10" authorId="0">
      <text>
        <t>pm-20250630.htm 10-Q (S11) | Trade receivables, net | 4,994.0</t>
      </text>
    </comment>
    <comment ref="E10" authorId="0">
      <text>
        <t>pm-20250930.htm 10-Q (S12) | Trade receivables, net | 4,796.0</t>
      </text>
    </comment>
    <comment ref="F10" authorId="0">
      <text>
        <t>R7.htm 10-K FY25 (S13) | Trade receivables, net | 4,572.0</t>
      </text>
    </comment>
    <comment ref="H10" authorId="0">
      <text>
        <t>pm-20260331.htm 10-Q (S14) | Trade receivables, net | 5,120.0</t>
      </text>
    </comment>
    <comment ref="I10" authorId="0">
      <text>
        <t>pm-20260630.htm 10-Q (S15) | Trade receivables, net | 5,179.0</t>
      </text>
    </comment>
    <comment ref="C11" authorId="0">
      <text>
        <t>pm-20250331.htm 10-Q (S10) | Other receivables, net | 913</t>
      </text>
    </comment>
    <comment ref="D11" authorId="0">
      <text>
        <t>pm-20250630.htm 10-Q (S11) | Other receivables, net | 895</t>
      </text>
    </comment>
    <comment ref="E11" authorId="0">
      <text>
        <t>pm-20250930.htm 10-Q (S12) | Other receivables, net | 1,027.0</t>
      </text>
    </comment>
    <comment ref="F11" authorId="0">
      <text>
        <t>R7.htm 10-K FY25 (S13) | Other receivables, net | 1,238.0</t>
      </text>
    </comment>
    <comment ref="H11" authorId="0">
      <text>
        <t>pm-20260331.htm 10-Q (S14) | Other receivables, net | 1,270.0</t>
      </text>
    </comment>
    <comment ref="I11" authorId="0">
      <text>
        <t>pm-20260630.htm 10-Q (S15) | Other receivables, net | 1,295.0</t>
      </text>
    </comment>
    <comment ref="C12" authorId="0">
      <text>
        <t>pm-20250331.htm 10-Q (S10) | Inventories - leaf tobacco | 2,166.0</t>
      </text>
    </comment>
    <comment ref="D12" authorId="0">
      <text>
        <t>pm-20250630.htm 10-Q (S11) | Inventories - leaf tobacco | 2,195.0</t>
      </text>
    </comment>
    <comment ref="E12" authorId="0">
      <text>
        <t>pm-20250930.htm 10-Q (S12) | Inventories - leaf tobacco | 2,300.0</t>
      </text>
    </comment>
    <comment ref="F12" authorId="0">
      <text>
        <t>R7.htm 10-K FY25 (S13) | Inventories - leaf tobacco | 2,425.0</t>
      </text>
    </comment>
    <comment ref="H12" authorId="0">
      <text>
        <t>pm-20260331.htm 10-Q (S14) | Inventories - leaf tobacco | 2,565.0</t>
      </text>
    </comment>
    <comment ref="I12" authorId="0">
      <text>
        <t>pm-20260630.htm 10-Q (S15) | Inventories - leaf tobacco | 2,639.0</t>
      </text>
    </comment>
    <comment ref="C13" authorId="0">
      <text>
        <t>pm-20250331.htm 10-Q (S10) | Inventories - other raw materials | 2,631.0</t>
      </text>
    </comment>
    <comment ref="D13" authorId="0">
      <text>
        <t>pm-20250630.htm 10-Q (S11) | Inventories - other raw materials | 2,815.0</t>
      </text>
    </comment>
    <comment ref="E13" authorId="0">
      <text>
        <t>pm-20250930.htm 10-Q (S12) | Inventories - other raw materials | 2,702.0</t>
      </text>
    </comment>
    <comment ref="F13" authorId="0">
      <text>
        <t>R7.htm 10-K FY25 (S13) | Inventories - other raw materials | 2,223.0</t>
      </text>
    </comment>
    <comment ref="H13" authorId="0">
      <text>
        <t>pm-20260331.htm 10-Q (S14) | Inventories - other raw materials | 2,473.0</t>
      </text>
    </comment>
    <comment ref="I13" authorId="0">
      <text>
        <t>pm-20260630.htm 10-Q (S15) | Inventories - other raw materials | 2,629.0</t>
      </text>
    </comment>
    <comment ref="C14" authorId="0">
      <text>
        <t>pm-20250331.htm 10-Q (S10) | Inventories - finished product | 5,330.0</t>
      </text>
    </comment>
    <comment ref="D14" authorId="0">
      <text>
        <t>pm-20250630.htm 10-Q (S11) | Inventories - finished product | 5,718.0</t>
      </text>
    </comment>
    <comment ref="E14" authorId="0">
      <text>
        <t>pm-20250930.htm 10-Q (S12) | Inventories - finished product | 5,265.0</t>
      </text>
    </comment>
    <comment ref="F14" authorId="0">
      <text>
        <t>R7.htm 10-K FY25 (S13) | Inventories - finished product | 6,830.0</t>
      </text>
    </comment>
    <comment ref="H14" authorId="0">
      <text>
        <t>pm-20260331.htm 10-Q (S14) | Inventories - finished product | 6,354.0</t>
      </text>
    </comment>
    <comment ref="I14" authorId="0">
      <text>
        <t>pm-20260630.htm 10-Q (S15) | Inventories - finished product | 6,168.0</t>
      </text>
    </comment>
    <comment ref="C16" authorId="0">
      <text>
        <t>pm-20250331.htm 10-Q (S10) | Other current assets | 1,833.0</t>
      </text>
    </comment>
    <comment ref="D16" authorId="0">
      <text>
        <t>pm-20250630.htm 10-Q (S11) | Other current assets | 2,609.0</t>
      </text>
    </comment>
    <comment ref="E16" authorId="0">
      <text>
        <t>pm-20250930.htm 10-Q (S12) | Other current assets | 2,538.0</t>
      </text>
    </comment>
    <comment ref="F16" authorId="0">
      <text>
        <t>R7.htm 10-K FY25 (S13) | Other current assets | 2,203.0</t>
      </text>
    </comment>
    <comment ref="H16" authorId="0">
      <text>
        <t>pm-20260331.htm 10-Q (S14) | Other current assets | 2,370.0</t>
      </text>
    </comment>
    <comment ref="I16" authorId="0">
      <text>
        <t>pm-20260630.htm 10-Q (S15) | Other current assets | 2,097.0</t>
      </text>
    </comment>
    <comment ref="C18" authorId="0">
      <text>
        <t>pm-20250331.htm 10-Q (S10) | Property, plant &amp; equipment, at cost | 17,428.0</t>
      </text>
    </comment>
    <comment ref="D18" authorId="0">
      <text>
        <t>pm-20250630.htm 10-Q (S11) | Property, plant &amp; equipment, at cost | 18,999.0</t>
      </text>
    </comment>
    <comment ref="E18" authorId="0">
      <text>
        <t>pm-20250930.htm 10-Q (S12) | Property, plant &amp; equipment, at cost | 19,186.0</t>
      </text>
    </comment>
    <comment ref="F18" authorId="0">
      <text>
        <t>R7.htm 10-K FY25 (S13) | Property, plant &amp; equipment, at cost | 19,616.0</t>
      </text>
    </comment>
    <comment ref="H18" authorId="0">
      <text>
        <t>pm-20260331.htm 10-Q (S14) | Property, plant &amp; equipment, at cost | 19,452.0</t>
      </text>
    </comment>
    <comment ref="I18" authorId="0">
      <text>
        <t>pm-20260630.htm 10-Q (S15) | Property, plant &amp; equipment, at cost | 19,556.0</t>
      </text>
    </comment>
    <comment ref="C19" authorId="0">
      <text>
        <t>pm-20250331.htm 10-Q (S10) | Less: accumulated depreciation | 9,896.0</t>
      </text>
    </comment>
    <comment ref="D19" authorId="0">
      <text>
        <t>pm-20250630.htm 10-Q (S11) | Less: accumulated depreciation | 10,956.0</t>
      </text>
    </comment>
    <comment ref="E19" authorId="0">
      <text>
        <t>pm-20250930.htm 10-Q (S12) | Less: accumulated depreciation | 11,071.0</t>
      </text>
    </comment>
    <comment ref="F19" authorId="0">
      <text>
        <t>R7.htm 10-K FY25 (S13) | Less: accumulated depreciation | 11,219.0</t>
      </text>
    </comment>
    <comment ref="H19" authorId="0">
      <text>
        <t>pm-20260331.htm 10-Q (S14) | Less: accumulated depreciation | 11,193.0</t>
      </text>
    </comment>
    <comment ref="I19" authorId="0">
      <text>
        <t>pm-20260630.htm 10-Q (S15) | Less: accumulated depreciation | 11,243.0</t>
      </text>
    </comment>
    <comment ref="C21" authorId="0">
      <text>
        <t>pm-20250331.htm 10-Q (S10) | Goodwill | 16,864.0</t>
      </text>
    </comment>
    <comment ref="D21" authorId="0">
      <text>
        <t>pm-20250630.htm 10-Q (S11) | Goodwill | 17,225.0</t>
      </text>
    </comment>
    <comment ref="E21" authorId="0">
      <text>
        <t>pm-20250930.htm 10-Q (S12) | Goodwill | 17,181.0</t>
      </text>
    </comment>
    <comment ref="F21" authorId="0">
      <text>
        <t>R7.htm 10-K FY25 (S13) | Goodwill | 17,264.0</t>
      </text>
    </comment>
    <comment ref="H21" authorId="0">
      <text>
        <t>pm-20260331.htm 10-Q (S14) | Goodwill | 17,069.0</t>
      </text>
    </comment>
    <comment ref="I21" authorId="0">
      <text>
        <t>pm-20260630.htm 10-Q (S15) | Goodwill | 16,917.0</t>
      </text>
    </comment>
    <comment ref="C22" authorId="0">
      <text>
        <t>pm-20250331.htm 10-Q (S10) | Other intangible assets, net | 11,345.0</t>
      </text>
    </comment>
    <comment ref="D22" authorId="0">
      <text>
        <t>pm-20250630.htm 10-Q (S11) | Other intangible assets, net | 11,382.0</t>
      </text>
    </comment>
    <comment ref="E22" authorId="0">
      <text>
        <t>pm-20250930.htm 10-Q (S12) | Other intangible assets, net | 11,146.0</t>
      </text>
    </comment>
    <comment ref="F22" authorId="0">
      <text>
        <t>R7.htm 10-K FY25 (S13) | Other intangible assets, net | 10,884.0</t>
      </text>
    </comment>
    <comment ref="H22" authorId="0">
      <text>
        <t>pm-20260331.htm 10-Q (S14) | Other intangible assets, net | 10,512.0</t>
      </text>
    </comment>
    <comment ref="I22" authorId="0">
      <text>
        <t>pm-20260630.htm 10-Q (S15) | Other intangible assets, net | 10,178.0</t>
      </text>
    </comment>
    <comment ref="C23" authorId="0">
      <text>
        <t>pm-20250331.htm 10-Q (S10) | Equity investments | 2,972.0</t>
      </text>
    </comment>
    <comment ref="D23" authorId="0">
      <text>
        <t>pm-20250630.htm 10-Q (S11) | Equity investments | 3,352.0</t>
      </text>
    </comment>
    <comment ref="E23" authorId="0">
      <text>
        <t>pm-20250930.htm 10-Q (S12) | Equity investments | 3,133.0</t>
      </text>
    </comment>
    <comment ref="F23" authorId="0">
      <text>
        <t>R7.htm 10-K FY25 (S13) | Equity investments | 2,891.0</t>
      </text>
    </comment>
    <comment ref="H23" authorId="0">
      <text>
        <t>pm-20260331.htm 10-Q (S14) | Equity investments | 2,478.0</t>
      </text>
    </comment>
    <comment ref="I23" authorId="0">
      <text>
        <t>pm-20260630.htm 10-Q (S15) | Equity investments | 2,130.0</t>
      </text>
    </comment>
    <comment ref="C24" authorId="0">
      <text>
        <t>pm-20250331.htm 10-Q (S10) | Deferred income taxes | 1,287.0</t>
      </text>
    </comment>
    <comment ref="D24" authorId="0">
      <text>
        <t>pm-20250630.htm 10-Q (S11) | Deferred income taxes | 1,111.0</t>
      </text>
    </comment>
    <comment ref="E24" authorId="0">
      <text>
        <t>pm-20250930.htm 10-Q (S12) | Deferred income taxes | 1,057.0</t>
      </text>
    </comment>
    <comment ref="F24" authorId="0">
      <text>
        <t>R7.htm 10-K FY25 (S13) | Deferred income taxes | 1,247.0</t>
      </text>
    </comment>
    <comment ref="H24" authorId="0">
      <text>
        <t>pm-20260331.htm 10-Q (S14) | Deferred income taxes | 1,197.0</t>
      </text>
    </comment>
    <comment ref="I24" authorId="0">
      <text>
        <t>pm-20260630.htm 10-Q (S15) | Deferred income taxes | 1,137.0</t>
      </text>
    </comment>
    <comment ref="C25" authorId="0">
      <text>
        <t>pm-20250331.htm 10-Q (S10) | Other assets | 2,883.0</t>
      </text>
    </comment>
    <comment ref="D25" authorId="0">
      <text>
        <t>pm-20250630.htm 10-Q (S11) | Other assets | 4,029.0</t>
      </text>
    </comment>
    <comment ref="E25" authorId="0">
      <text>
        <t>pm-20250930.htm 10-Q (S12) | Other assets | 3,764.0</t>
      </text>
    </comment>
    <comment ref="F25" authorId="0">
      <text>
        <t>R7.htm 10-K FY25 (S13) | Other assets | 4,139.0</t>
      </text>
    </comment>
    <comment ref="H25" authorId="0">
      <text>
        <t>pm-20260331.htm 10-Q (S14) | Other assets | 3,796.0</t>
      </text>
    </comment>
    <comment ref="I25" authorId="0">
      <text>
        <t>pm-20260630.htm 10-Q (S15) | Other assets | 3,590.0</t>
      </text>
    </comment>
    <comment ref="C29" authorId="0">
      <text>
        <t>pm-20250331.htm 10-Q (S10) | Short-term borrowings | 4,438.0</t>
      </text>
    </comment>
    <comment ref="D29" authorId="0">
      <text>
        <t>pm-20250630.htm 10-Q (S11) | Short-term borrowings | 2,540.0</t>
      </text>
    </comment>
    <comment ref="E29" authorId="0">
      <text>
        <t>pm-20250930.htm 10-Q (S12) | Short-term borrowings | 1,880.0</t>
      </text>
    </comment>
    <comment ref="F29" authorId="0">
      <text>
        <t>R7.htm 10-K FY25 (S13) | Short-term borrowings | 168</t>
      </text>
    </comment>
    <comment ref="H29" authorId="0">
      <text>
        <t>pm-20260331.htm 10-Q (S14) | Short-term borrowings | 5,693.0</t>
      </text>
    </comment>
    <comment ref="I29" authorId="0">
      <text>
        <t>pm-20260630.htm 10-Q (S15) | Short-term borrowings | 3,341.0</t>
      </text>
    </comment>
    <comment ref="C30" authorId="0">
      <text>
        <t>pm-20250331.htm 10-Q (S10) | Current portion of long-term debt | 6,360.0</t>
      </text>
    </comment>
    <comment ref="D30" authorId="0">
      <text>
        <t>pm-20250630.htm 10-Q (S11) | Current portion of long-term debt | 6,491.0</t>
      </text>
    </comment>
    <comment ref="E30" authorId="0">
      <text>
        <t>pm-20250930.htm 10-Q (S12) | Current portion of long-term debt | 6,339.0</t>
      </text>
    </comment>
    <comment ref="F30" authorId="0">
      <text>
        <t>R7.htm 10-K FY25 (S13) | Current portion of long-term debt | 3,533.0</t>
      </text>
    </comment>
    <comment ref="H30" authorId="0">
      <text>
        <t>pm-20260331.htm 10-Q (S14) | Current portion of long-term debt | 2,447.0</t>
      </text>
    </comment>
    <comment ref="I30" authorId="0">
      <text>
        <t>pm-20260630.htm 10-Q (S15) | Current portion of long-term debt | 3,406.0</t>
      </text>
    </comment>
    <comment ref="C31" authorId="0">
      <text>
        <t>pm-20250331.htm 10-Q (S10) | Accounts payable | 3,749.0</t>
      </text>
    </comment>
    <comment ref="D31" authorId="0">
      <text>
        <t>pm-20250630.htm 10-Q (S11) | Accounts payable | 3,870.0</t>
      </text>
    </comment>
    <comment ref="E31" authorId="0">
      <text>
        <t>pm-20250930.htm 10-Q (S12) | Accounts payable | 3,978.0</t>
      </text>
    </comment>
    <comment ref="F31" authorId="0">
      <text>
        <t>R7.htm 10-K FY25 (S13) | Accounts payable | 4,407.0</t>
      </text>
    </comment>
    <comment ref="H31" authorId="0">
      <text>
        <t>pm-20260331.htm 10-Q (S14) | Accounts payable | 3,927.0</t>
      </text>
    </comment>
    <comment ref="I31" authorId="0">
      <text>
        <t>pm-20260630.htm 10-Q (S15) | Accounts payable | 3,919.0</t>
      </text>
    </comment>
    <comment ref="C32" authorId="0">
      <text>
        <t>pm-20250331.htm 10-Q (S10) | Accrued - marketing and selling | 949</t>
      </text>
    </comment>
    <comment ref="D32" authorId="0">
      <text>
        <t>pm-20250630.htm 10-Q (S11) | Accrued - marketing and selling | 1,169.0</t>
      </text>
    </comment>
    <comment ref="E32" authorId="0">
      <text>
        <t>pm-20250930.htm 10-Q (S12) | Accrued - marketing and selling | 1,405.0</t>
      </text>
    </comment>
    <comment ref="F32" authorId="0">
      <text>
        <t>R7.htm 10-K FY25 (S13) | Accrued - marketing and selling | 1,354.0</t>
      </text>
    </comment>
    <comment ref="H32" authorId="0">
      <text>
        <t>pm-20260331.htm 10-Q (S14) | Accrued - marketing and selling | 1,298.0</t>
      </text>
    </comment>
    <comment ref="I32" authorId="0">
      <text>
        <t>pm-20260630.htm 10-Q (S15) | Accrued - marketing and selling | 1,348.0</t>
      </text>
    </comment>
    <comment ref="C33" authorId="0">
      <text>
        <t>pm-20250331.htm 10-Q (S10) | Accrued - taxes, except income taxes | 5,640.0</t>
      </text>
    </comment>
    <comment ref="D33" authorId="0">
      <text>
        <t>pm-20250630.htm 10-Q (S11) | Accrued - taxes, except income taxes | 6,361.0</t>
      </text>
    </comment>
    <comment ref="E33" authorId="0">
      <text>
        <t>pm-20250930.htm 10-Q (S12) | Accrued - taxes, except income taxes | 5,332.0</t>
      </text>
    </comment>
    <comment ref="F33" authorId="0">
      <text>
        <t>R7.htm 10-K FY25 (S13) | Accrued - taxes, except income taxes | 7,555.0</t>
      </text>
    </comment>
    <comment ref="H33" authorId="0">
      <text>
        <t>pm-20260331.htm 10-Q (S14) | Accrued - taxes, except income taxes | 5,105.0</t>
      </text>
    </comment>
    <comment ref="I33" authorId="0">
      <text>
        <t>pm-20260630.htm 10-Q (S15) | Accrued - taxes, except income taxes | 6,572.0</t>
      </text>
    </comment>
    <comment ref="C34" authorId="0">
      <text>
        <t>pm-20250331.htm 10-Q (S10) | Accrued - employment costs | 1,016.0</t>
      </text>
    </comment>
    <comment ref="D34" authorId="0">
      <text>
        <t>pm-20250630.htm 10-Q (S11) | Accrued - employment costs | 1,252.0</t>
      </text>
    </comment>
    <comment ref="E34" authorId="0">
      <text>
        <t>pm-20250930.htm 10-Q (S12) | Accrued - employment costs | 1,402.0</t>
      </text>
    </comment>
    <comment ref="F34" authorId="0">
      <text>
        <t>R7.htm 10-K FY25 (S13) | Accrued - employment costs | 1,545.0</t>
      </text>
    </comment>
    <comment ref="H34" authorId="0">
      <text>
        <t>pm-20260331.htm 10-Q (S14) | Accrued - employment costs | 1,227.0</t>
      </text>
    </comment>
    <comment ref="I34" authorId="0">
      <text>
        <t>pm-20260630.htm 10-Q (S15) | Accrued - employment costs | 1,293.0</t>
      </text>
    </comment>
    <comment ref="C35" authorId="0">
      <text>
        <t>pm-20250331.htm 10-Q (S10) | Accrued - dividends payable | 2,121.0</t>
      </text>
    </comment>
    <comment ref="D35" authorId="0">
      <text>
        <t>pm-20250630.htm 10-Q (S11) | Accrued - dividends payable | 2,123.0</t>
      </text>
    </comment>
    <comment ref="E35" authorId="0">
      <text>
        <t>pm-20250930.htm 10-Q (S12) | Accrued - dividends payable | 2,311.0</t>
      </text>
    </comment>
    <comment ref="F35" authorId="0">
      <text>
        <t>R7.htm 10-K FY25 (S13) | Accrued - dividends payable | 2,312.0</t>
      </text>
    </comment>
    <comment ref="H35" authorId="0">
      <text>
        <t>pm-20260331.htm 10-Q (S14) | Accrued - dividends payable | 2,313.0</t>
      </text>
    </comment>
    <comment ref="I35" authorId="0">
      <text>
        <t>pm-20260630.htm 10-Q (S15) | Accrued - dividends payable | 2,314.0</t>
      </text>
    </comment>
    <comment ref="C36" authorId="0">
      <text>
        <t>pm-20250331.htm 10-Q (S10) | Accrued - other | 2,491.0</t>
      </text>
    </comment>
    <comment ref="D36" authorId="0">
      <text>
        <t>pm-20250630.htm 10-Q (S11) | Accrued - other | 3,556.0</t>
      </text>
    </comment>
    <comment ref="E36" authorId="0">
      <text>
        <t>pm-20250930.htm 10-Q (S12) | Accrued - other | 3,237.0</t>
      </text>
    </comment>
    <comment ref="F36" authorId="0">
      <text>
        <t>R7.htm 10-K FY25 (S13) | Accrued - other | 3,298.0</t>
      </text>
    </comment>
    <comment ref="H36" authorId="0">
      <text>
        <t>pm-20260331.htm 10-Q (S14) | Accrued - other | 3,121.0</t>
      </text>
    </comment>
    <comment ref="I36" authorId="0">
      <text>
        <t>pm-20260630.htm 10-Q (S15) | Accrued - other | 3,273.0</t>
      </text>
    </comment>
    <comment ref="C37" authorId="0">
      <text>
        <t>pm-20250331.htm 10-Q (S10) | Income taxes | 1,323.0</t>
      </text>
    </comment>
    <comment ref="D37" authorId="0">
      <text>
        <t>pm-20250630.htm 10-Q (S11) | Income taxes | 786</t>
      </text>
    </comment>
    <comment ref="E37" authorId="0">
      <text>
        <t>pm-20250930.htm 10-Q (S12) | Income taxes | 835</t>
      </text>
    </comment>
    <comment ref="F37" authorId="0">
      <text>
        <t>R7.htm 10-K FY25 (S13) | Income taxes | 1,255.0</t>
      </text>
    </comment>
    <comment ref="H37" authorId="0">
      <text>
        <t>pm-20260331.htm 10-Q (S14) | Income taxes | 1,091.0</t>
      </text>
    </comment>
    <comment ref="I37" authorId="0">
      <text>
        <t>pm-20260630.htm 10-Q (S15) | Income taxes | 1,076.0</t>
      </text>
    </comment>
    <comment ref="C39" authorId="0">
      <text>
        <t>pm-20250331.htm 10-Q (S10) | Long-term debt | 38,781.0</t>
      </text>
    </comment>
    <comment ref="D39" authorId="0">
      <text>
        <t>pm-20250630.htm 10-Q (S11) | Long-term debt | 42,431.0</t>
      </text>
    </comment>
    <comment ref="E39" authorId="0">
      <text>
        <t>pm-20250930.htm 10-Q (S12) | Long-term debt | 41,863.0</t>
      </text>
    </comment>
    <comment ref="F39" authorId="0">
      <text>
        <t>R7.htm 10-K FY25 (S13) | Long-term debt | 45,134.0</t>
      </text>
    </comment>
    <comment ref="H39" authorId="0">
      <text>
        <t>pm-20260331.htm 10-Q (S14) | Long-term debt | 43,808.0</t>
      </text>
    </comment>
    <comment ref="I39" authorId="0">
      <text>
        <t>pm-20260630.htm 10-Q (S15) | Long-term debt | 42,366.0</t>
      </text>
    </comment>
    <comment ref="C40" authorId="0">
      <text>
        <t>pm-20250331.htm 10-Q (S10) | Deferred income taxes | 2,817.0</t>
      </text>
    </comment>
    <comment ref="D40" authorId="0">
      <text>
        <t>pm-20250630.htm 10-Q (S11) | Deferred income taxes | 2,152.0</t>
      </text>
    </comment>
    <comment ref="E40" authorId="0">
      <text>
        <t>pm-20250930.htm 10-Q (S12) | Deferred income taxes | 1,999.0</t>
      </text>
    </comment>
    <comment ref="F40" authorId="0">
      <text>
        <t>R7.htm 10-K FY25 (S13) | Deferred income taxes | 2,065.0</t>
      </text>
    </comment>
    <comment ref="H40" authorId="0">
      <text>
        <t>pm-20260331.htm 10-Q (S14) | Deferred income taxes | 2,013.0</t>
      </text>
    </comment>
    <comment ref="I40" authorId="0">
      <text>
        <t>pm-20260630.htm 10-Q (S15) | Deferred income taxes | 2,057.0</t>
      </text>
    </comment>
    <comment ref="C41" authorId="0">
      <text>
        <t>pm-20250331.htm 10-Q (S10) | Employment costs | 2,991.0</t>
      </text>
    </comment>
    <comment ref="D41" authorId="0">
      <text>
        <t>pm-20250630.htm 10-Q (S11) | Employment costs | 3,295.0</t>
      </text>
    </comment>
    <comment ref="E41" authorId="0">
      <text>
        <t>pm-20250930.htm 10-Q (S12) | Employment costs | 3,222.0</t>
      </text>
    </comment>
    <comment ref="F41" authorId="0">
      <text>
        <t>R7.htm 10-K FY25 (S13) | Employment costs | 2,406.0</t>
      </text>
    </comment>
    <comment ref="H41" authorId="0">
      <text>
        <t>pm-20260331.htm 10-Q (S14) | Employment costs | 2,340.0</t>
      </text>
    </comment>
    <comment ref="I41" authorId="0">
      <text>
        <t>pm-20260630.htm 10-Q (S15) | Employment costs | 2,249.0</t>
      </text>
    </comment>
    <comment ref="C42" authorId="0">
      <text>
        <t>pm-20250331.htm 10-Q (S10) | Other liabilities | 1,329.0</t>
      </text>
    </comment>
    <comment ref="D42" authorId="0">
      <text>
        <t>pm-20250630.htm 10-Q (S11) | Other liabilities | 2,492.0</t>
      </text>
    </comment>
    <comment ref="E42" authorId="0">
      <text>
        <t>pm-20250930.htm 10-Q (S12) | Other liabilities | 2,242.0</t>
      </text>
    </comment>
    <comment ref="F42" authorId="0">
      <text>
        <t>R7.htm 10-K FY25 (S13) | Other liabilities | 2,181.0</t>
      </text>
    </comment>
    <comment ref="H42" authorId="0">
      <text>
        <t>pm-20260331.htm 10-Q (S14) | Other liabilities | 1,830.0</t>
      </text>
    </comment>
    <comment ref="I42" authorId="0">
      <text>
        <t>pm-20260630.htm 10-Q (S15) | Other liabilities | 1,714.0</t>
      </text>
    </comment>
    <comment ref="C46" authorId="0">
      <text>
        <t>pm-20250331.htm 10-Q (S10) | Additional paid-in capital | 2,326.0</t>
      </text>
    </comment>
    <comment ref="D46" authorId="0">
      <text>
        <t>pm-20250630.htm 10-Q (S11) | Additional paid-in capital | 2,364.0</t>
      </text>
    </comment>
    <comment ref="E46" authorId="0">
      <text>
        <t>pm-20250930.htm 10-Q (S12) | Additional paid-in capital | 2,400.0</t>
      </text>
    </comment>
    <comment ref="F46" authorId="0">
      <text>
        <t>R7.htm 10-K FY25 (S13) | Additional paid-in capital | 2,453.0</t>
      </text>
    </comment>
    <comment ref="H46" authorId="0">
      <text>
        <t>pm-20260331.htm 10-Q (S14) | Additional paid-in capital | 2,433.0</t>
      </text>
    </comment>
    <comment ref="I46" authorId="0">
      <text>
        <t>pm-20260630.htm 10-Q (S15) | Additional paid-in capital | 2,477.0</t>
      </text>
    </comment>
    <comment ref="C47" authorId="0">
      <text>
        <t>pm-20250331.htm 10-Q (S10) | Earnings reinvested in the business | 33,447.0</t>
      </text>
    </comment>
    <comment ref="D47" authorId="0">
      <text>
        <t>pm-20250630.htm 10-Q (S11) | Earnings reinvested in the business | 34,376.0</t>
      </text>
    </comment>
    <comment ref="E47" authorId="0">
      <text>
        <t>pm-20250930.htm 10-Q (S12) | Earnings reinvested in the business | 35,557.0</t>
      </text>
    </comment>
    <comment ref="F47" authorId="0">
      <text>
        <t>R7.htm 10-K FY25 (S13) | Earnings reinvested in the business | 35,400.0</t>
      </text>
    </comment>
    <comment ref="H47" authorId="0">
      <text>
        <t>pm-20260331.htm 10-Q (S14) | Earnings reinvested in the business | 35,538.0</t>
      </text>
    </comment>
    <comment ref="I47" authorId="0">
      <text>
        <t>pm-20260630.htm 10-Q (S15) | Earnings reinvested in the business | 36,055.0</t>
      </text>
    </comment>
    <comment ref="C48" authorId="0">
      <text>
        <t>pm-20250331.htm 10-Q (S10) | Accumulated other comprehensive losses | (11,117.0)</t>
      </text>
    </comment>
    <comment ref="D48" authorId="0">
      <text>
        <t>pm-20250630.htm 10-Q (S11) | Accumulated other comprehensive losses | (13,153.0)</t>
      </text>
    </comment>
    <comment ref="E48" authorId="0">
      <text>
        <t>pm-20250930.htm 10-Q (S12) | Accumulated other comprehensive losses | (13,320.0)</t>
      </text>
    </comment>
    <comment ref="F48" authorId="0">
      <text>
        <t>R7.htm 10-K FY25 (S13) | Accumulated other comprehensive losses | (12,296.0)</t>
      </text>
    </comment>
    <comment ref="H48" authorId="0">
      <text>
        <t>pm-20260331.htm 10-Q (S14) | Accumulated other comprehensive losses | (11,788.0)</t>
      </text>
    </comment>
    <comment ref="I48" authorId="0">
      <text>
        <t>pm-20260630.htm 10-Q (S15) | Accumulated other comprehensive losses | (11,656.0)</t>
      </text>
    </comment>
    <comment ref="C49" authorId="0">
      <text>
        <t>pm-20250331.htm 10-Q (S10) | Less: cost of repurchased stock | (35,557.0)</t>
      </text>
    </comment>
    <comment ref="D49" authorId="0">
      <text>
        <t>pm-20250630.htm 10-Q (S11) | Less: cost of repurchased stock | (35,553.0)</t>
      </text>
    </comment>
    <comment ref="E49" authorId="0">
      <text>
        <t>pm-20250930.htm 10-Q (S12) | Less: cost of repurchased stock | (35,551.0)</t>
      </text>
    </comment>
    <comment ref="F49" authorId="0">
      <text>
        <t>R7.htm 10-K FY25 (S13) | Less: cost of repurchased stock | (35,551.0)</t>
      </text>
    </comment>
    <comment ref="H49" authorId="0">
      <text>
        <t>pm-20260331.htm 10-Q (S14) | Less: cost of repurchased stock | (35,462.0)</t>
      </text>
    </comment>
    <comment ref="I49" authorId="0">
      <text>
        <t>pm-20260630.htm 10-Q (S15) | Less: cost of repurchased stock | (35,459.0)</t>
      </text>
    </comment>
    <comment ref="C51" authorId="0">
      <text>
        <t>pm-20250331.htm 10-Q (S10) | Noncontrolling interests | 1,975.0</t>
      </text>
    </comment>
    <comment ref="D51" authorId="0">
      <text>
        <t>pm-20250630.htm 10-Q (S11) | Noncontrolling interests | 1,954.0</t>
      </text>
    </comment>
    <comment ref="E51" authorId="0">
      <text>
        <t>pm-20250930.htm 10-Q (S12) | Noncontrolling interests | 1,930.0</t>
      </text>
    </comment>
    <comment ref="F51" authorId="0">
      <text>
        <t>R7.htm 10-K FY25 (S13) | Noncontrolling interests | 1,966.0</t>
      </text>
    </comment>
    <comment ref="H51" authorId="0">
      <text>
        <t>pm-20260331.htm 10-Q (S14) | Noncontrolling interests | 1,979.0</t>
      </text>
    </comment>
    <comment ref="I51" authorId="0">
      <text>
        <t>pm-20260630.htm 10-Q (S15) | Noncontrolling interests | 1,926.0</t>
      </text>
    </comment>
    <comment ref="C57" authorId="0">
      <text>
        <t>pm-20250331.htm 10-Q (S10) | Restricted cash (in other current assets) | 33</t>
      </text>
    </comment>
    <comment ref="D57" authorId="0">
      <text>
        <t>pm-20250630.htm 10-Q (S11) | Restricted cash (in other current assets) | 38</t>
      </text>
    </comment>
    <comment ref="E57" authorId="0">
      <text>
        <t>pm-20250930.htm 10-Q (S12) | Restricted cash (in other current assets) | 24</t>
      </text>
    </comment>
    <comment ref="F57" authorId="0">
      <text>
        <t>R7.htm 10-K FY25 (S13) | Restricted cash (in other current assets) | 20</t>
      </text>
    </comment>
    <comment ref="H57" authorId="0">
      <text>
        <t>pm-20260331.htm 10-Q (S14) | Restricted cash (in other current assets) | 20</t>
      </text>
    </comment>
    <comment ref="I57" authorId="0">
      <text>
        <t>pm-20260630.htm 10-Q (S15) | Restricted cash (in other current assets) | 25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47" authorId="0">
      <text>
        <t>pm-20260331.htm 10-Q, 3M25 comparative (S14) | Cash, equivalents &amp; restricted cash - beginning | 4,254.0</t>
      </text>
    </comment>
    <comment ref="C60" authorId="0">
      <text>
        <t>pm-20260331.htm 10-Q, 3M25 comparative (S14) | Net earnings (YTD) | 2,837.0</t>
      </text>
    </comment>
    <comment ref="D60" authorId="0">
      <text>
        <t>pm-20260630.htm 10-Q, 6M25 comparative (S15) | Net earnings (YTD) | 5,985.0</t>
      </text>
    </comment>
    <comment ref="E60" authorId="0">
      <text>
        <t>pm-20250930.htm 10-Q (S12) | Net earnings (YTD) | 9,598.0</t>
      </text>
    </comment>
    <comment ref="F60" authorId="0">
      <text>
        <t>R9.htm 10-K FY25 (S13) | Net earnings (YTD) | 11,848.0</t>
      </text>
    </comment>
    <comment ref="H60" authorId="0">
      <text>
        <t>pm-20260331.htm 10-Q (S14) | Net earnings (YTD) | 2,582.0</t>
      </text>
    </comment>
    <comment ref="I60" authorId="0">
      <text>
        <t>pm-20260630.htm 10-Q (S15) | Net earnings (YTD) | 5,567.0</t>
      </text>
    </comment>
    <comment ref="C61" authorId="0">
      <text>
        <t>pm-20260331.htm 10-Q, 3M25 comparative (S14) | Depreciation &amp; amortization (YTD) | 480</t>
      </text>
    </comment>
    <comment ref="D61" authorId="0">
      <text>
        <t>pm-20260630.htm 10-Q, 6M25 comparative (S15) | Depreciation &amp; amortization (YTD) | 970</t>
      </text>
    </comment>
    <comment ref="E61" authorId="0">
      <text>
        <t>pm-20250930.htm 10-Q (S12) | Depreciation &amp; amortization (YTD) | 1,475.0</t>
      </text>
    </comment>
    <comment ref="F61" authorId="0">
      <text>
        <t>R9.htm 10-K FY25 (S13) | Depreciation &amp; amortization (YTD) | 1,996.0</t>
      </text>
    </comment>
    <comment ref="H61" authorId="0">
      <text>
        <t>pm-20260331.htm 10-Q (S14) | Depreciation &amp; amortization (YTD) | 510</t>
      </text>
    </comment>
    <comment ref="I61" authorId="0">
      <text>
        <t>pm-20260630.htm 10-Q (S15) | Depreciation &amp; amortization (YTD) | 1,023.0</t>
      </text>
    </comment>
    <comment ref="C62" authorId="0">
      <text>
        <t>pm-20260331.htm 10-Q, 3M25 comparative (S14) | Impairment of goodwill &amp; other intangibles (YTD) | –</t>
      </text>
    </comment>
    <comment ref="D62" authorId="0">
      <text>
        <t>pm-20260630.htm 10-Q, 6M25 comparative (S15) | Impairment of goodwill &amp; other intangibles (YTD) | 41</t>
      </text>
    </comment>
    <comment ref="E62" authorId="0">
      <text>
        <t>pm-20250930.htm 10-Q (S12) | Impairment of goodwill &amp; other intangibles (YTD) | 41</t>
      </text>
    </comment>
    <comment ref="F62" authorId="0">
      <text>
        <t>R9.htm 10-K FY25 (S13) | Impairment of goodwill &amp; other intangibles (YTD) | 41</t>
      </text>
    </comment>
    <comment ref="H62" authorId="0">
      <text>
        <t>pm-20260331.htm 10-Q (S14) | Impairment of goodwill &amp; other intangibles (YTD) | –</t>
      </text>
    </comment>
    <comment ref="I62" authorId="0">
      <text>
        <t>pm-20260630.htm 10-Q (S15) | Impairment of goodwill &amp; other intangibles (YTD) | –</t>
      </text>
    </comment>
    <comment ref="C63" authorId="0">
      <text>
        <t>pm-20260331.htm 10-Q, 3M25 comparative (S14) | Impairment related to the RBH equity investment (YTD) | –</t>
      </text>
    </comment>
    <comment ref="D63" authorId="0">
      <text>
        <t>pm-20260630.htm 10-Q, 6M25 comparative (S15) | Impairment related to the RBH equity investment (YTD) | –</t>
      </text>
    </comment>
    <comment ref="E63" authorId="0">
      <text>
        <t>pm-20250930.htm 10-Q (S12) | Impairment related to the RBH equity investment (YTD) | –</t>
      </text>
    </comment>
    <comment ref="F63" authorId="0">
      <text>
        <t>R9.htm 10-K FY25 (S13) | Impairment related to the RBH equity investment (YTD) | –</t>
      </text>
    </comment>
    <comment ref="H63" authorId="0">
      <text>
        <t>pm-20260331.htm 10-Q (S14) | Impairment related to the RBH equity investment (YTD) | –</t>
      </text>
    </comment>
    <comment ref="I63" authorId="0">
      <text>
        <t>pm-20260630.htm 10-Q (S15) | Impairment related to the RBH equity investment (YTD) | 511</t>
      </text>
    </comment>
    <comment ref="C64" authorId="0">
      <text>
        <t>pm-20260331.htm 10-Q, 3M25 comparative (S14) | Losses on sales of businesses (YTD) | –</t>
      </text>
    </comment>
    <comment ref="D64" authorId="0">
      <text>
        <t>pm-20260630.htm 10-Q, 6M25 comparative (S15) | Losses on sales of businesses (YTD) | –</t>
      </text>
    </comment>
    <comment ref="E64" authorId="0">
      <text>
        <t>pm-20250930.htm 10-Q (S12) | Losses on sales of businesses (YTD) | –</t>
      </text>
    </comment>
    <comment ref="F64" authorId="0">
      <text>
        <t>R9.htm 10-K FY25 (S13) | Losses on sales of businesses (YTD) | 94</t>
      </text>
    </comment>
    <comment ref="H64" authorId="0">
      <text>
        <t>pm-20260331.htm 10-Q (S14) | Losses on sales of businesses (YTD) | –</t>
      </text>
    </comment>
    <comment ref="I64" authorId="0">
      <text>
        <t>pm-20260630.htm 10-Q (S15) | Losses on sales of businesses (YTD) | –</t>
      </text>
    </comment>
    <comment ref="C65" authorId="0">
      <text>
        <t>pm-20260331.htm 10-Q, 3M25 comparative (S14) | Deferred income tax (benefit) provision (YTD) | (67.0)</t>
      </text>
    </comment>
    <comment ref="D65" authorId="0">
      <text>
        <t>pm-20260630.htm 10-Q, 6M25 comparative (S15) | Deferred income tax (benefit) provision (YTD) | (274.0)</t>
      </text>
    </comment>
    <comment ref="E65" authorId="0">
      <text>
        <t>pm-20250930.htm 10-Q (S12) | Deferred income tax (benefit) provision (YTD) | (433.0)</t>
      </text>
    </comment>
    <comment ref="F65" authorId="0">
      <text>
        <t>R9.htm 10-K FY25 (S13) | Deferred income tax (benefit) provision (YTD) | (847.0)</t>
      </text>
    </comment>
    <comment ref="H65" authorId="0">
      <text>
        <t>pm-20260331.htm 10-Q (S14) | Deferred income tax (benefit) provision (YTD) | (67.0)</t>
      </text>
    </comment>
    <comment ref="I65" authorId="0">
      <text>
        <t>pm-20260630.htm 10-Q (S15) | Deferred income tax (benefit) provision (YTD) | (10.0)</t>
      </text>
    </comment>
    <comment ref="C66" authorId="0">
      <text>
        <t>pm-20260331.htm 10-Q, 3M25 comparative (S14) | Restructuring charges, net of cash paid (YTD) | (1.0)</t>
      </text>
    </comment>
    <comment ref="D66" authorId="0">
      <text>
        <t>pm-20260630.htm 10-Q, 6M25 comparative (S15) | Restructuring charges, net of cash paid (YTD) | 239</t>
      </text>
    </comment>
    <comment ref="E66" authorId="0">
      <text>
        <t>pm-20250930.htm 10-Q (S12) | Restructuring charges, net of cash paid (YTD) | 216</t>
      </text>
    </comment>
    <comment ref="F66" authorId="0">
      <text>
        <t>R9.htm 10-K FY25 (S13) | Restructuring charges, net of cash paid (YTD) | 206</t>
      </text>
    </comment>
    <comment ref="H66" authorId="0">
      <text>
        <t>pm-20260331.htm 10-Q (S14) | Restructuring charges, net of cash paid (YTD) | (3.0)</t>
      </text>
    </comment>
    <comment ref="I66" authorId="0">
      <text>
        <t>pm-20260630.htm 10-Q (S15) | Restructuring charges, net of cash paid (YTD) | (15.0)</t>
      </text>
    </comment>
    <comment ref="C67" authorId="0">
      <text>
        <t>pm-20260331.htm 10-Q, 3M25 comparative (S14) | Receivables, net (YTD) | (882.0)</t>
      </text>
    </comment>
    <comment ref="D67" authorId="0">
      <text>
        <t>pm-20260630.htm 10-Q, 6M25 comparative (S15) | Receivables, net (YTD) | (780.0)</t>
      </text>
    </comment>
    <comment ref="E67" authorId="0">
      <text>
        <t>pm-20250930.htm 10-Q (S12) | Receivables, net (YTD) | (709.0)</t>
      </text>
    </comment>
    <comment ref="F67" authorId="0">
      <text>
        <t>R9.htm 10-K FY25 (S13) | Receivables, net (YTD) | (448.0)</t>
      </text>
    </comment>
    <comment ref="H67" authorId="0">
      <text>
        <t>pm-20260331.htm 10-Q (S14) | Receivables, net (YTD) | (640.0)</t>
      </text>
    </comment>
    <comment ref="I67" authorId="0">
      <text>
        <t>pm-20260630.htm 10-Q (S15) | Receivables, net (YTD) | (690.0)</t>
      </text>
    </comment>
    <comment ref="C68" authorId="0">
      <text>
        <t>pm-20260331.htm 10-Q, 3M25 comparative (S14) | Inventories (YTD) | (325.0)</t>
      </text>
    </comment>
    <comment ref="D68" authorId="0">
      <text>
        <t>pm-20260630.htm 10-Q, 6M25 comparative (S15) | Inventories (YTD) | (419.0)</t>
      </text>
    </comment>
    <comment ref="E68" authorId="0">
      <text>
        <t>pm-20250930.htm 10-Q (S12) | Inventories (YTD) | (48.0)</t>
      </text>
    </comment>
    <comment ref="F68" authorId="0">
      <text>
        <t>R9.htm 10-K FY25 (S13) | Inventories (YTD) | (1,201.0)</t>
      </text>
    </comment>
    <comment ref="H68" authorId="0">
      <text>
        <t>pm-20260331.htm 10-Q (S14) | Inventories (YTD) | (11.0)</t>
      </text>
    </comment>
    <comment ref="I68" authorId="0">
      <text>
        <t>pm-20260630.htm 10-Q (S15) | Inventories (YTD) | (80.0)</t>
      </text>
    </comment>
    <comment ref="C69" authorId="0">
      <text>
        <t>pm-20260331.htm 10-Q, 3M25 comparative (S14) | Accounts payable (YTD) | (127.0)</t>
      </text>
    </comment>
    <comment ref="D69" authorId="0">
      <text>
        <t>pm-20260630.htm 10-Q, 6M25 comparative (S15) | Accounts payable (YTD) | (161.0)</t>
      </text>
    </comment>
    <comment ref="E69" authorId="0">
      <text>
        <t>pm-20250930.htm 10-Q (S12) | Accounts payable (YTD) | (28.0)</t>
      </text>
    </comment>
    <comment ref="F69" authorId="0">
      <text>
        <t>R9.htm 10-K FY25 (S13) | Accounts payable (YTD) | 258</t>
      </text>
    </comment>
    <comment ref="H69" authorId="0">
      <text>
        <t>pm-20260331.htm 10-Q (S14) | Accounts payable (YTD) | (317.0)</t>
      </text>
    </comment>
    <comment ref="I69" authorId="0">
      <text>
        <t>pm-20260630.htm 10-Q (S15) | Accounts payable (YTD) | (284.0)</t>
      </text>
    </comment>
    <comment ref="C70" authorId="0">
      <text>
        <t>pm-20260331.htm 10-Q, 3M25 comparative (S14) | Accrued liabilities &amp; other current assets (YTD) | (2,437.0)</t>
      </text>
    </comment>
    <comment ref="D70" authorId="0">
      <text>
        <t>pm-20260630.htm 10-Q, 6M25 comparative (S15) | Accrued liabilities &amp; other current assets (YTD) | (1,972.0)</t>
      </text>
    </comment>
    <comment ref="E70" authorId="0">
      <text>
        <t>pm-20250930.htm 10-Q (S12) | Accrued liabilities &amp; other current assets (YTD) | (2,479.0)</t>
      </text>
    </comment>
    <comment ref="F70" authorId="0">
      <text>
        <t>R9.htm 10-K FY25 (S13) | Accrued liabilities &amp; other current assets (YTD) | (151.0)</t>
      </text>
    </comment>
    <comment ref="H70" authorId="0">
      <text>
        <t>pm-20260331.htm 10-Q (S14) | Accrued liabilities &amp; other current assets (YTD) | (2,734.0)</t>
      </text>
    </comment>
    <comment ref="I70" authorId="0">
      <text>
        <t>pm-20260630.htm 10-Q (S15) | Accrued liabilities &amp; other current assets (YTD) | (1,081.0)</t>
      </text>
    </comment>
    <comment ref="C71" authorId="0">
      <text>
        <t>pm-20260331.htm 10-Q, 3M25 comparative (S14) | Income taxes (YTD) | (20.0)</t>
      </text>
    </comment>
    <comment ref="D71" authorId="0">
      <text>
        <t>pm-20260630.htm 10-Q, 6M25 comparative (S15) | Income taxes (YTD) | (611.0)</t>
      </text>
    </comment>
    <comment ref="E71" authorId="0">
      <text>
        <t>pm-20250930.htm 10-Q (S12) | Income taxes (YTD) | (564.0)</t>
      </text>
    </comment>
    <comment ref="F71" authorId="0">
      <text>
        <t>R9.htm 10-K FY25 (S13) | Income taxes (YTD) | (266.0)</t>
      </text>
    </comment>
    <comment ref="H71" authorId="0">
      <text>
        <t>pm-20260331.htm 10-Q (S14) | Income taxes (YTD) | (171.0)</t>
      </text>
    </comment>
    <comment ref="I71" authorId="0">
      <text>
        <t>pm-20260630.htm 10-Q (S15) | Income taxes (YTD) | (200.0)</t>
      </text>
    </comment>
    <comment ref="C72" authorId="0">
      <text>
        <t>pm-20260331.htm 10-Q, 3M25 comparative (S14) | Pension plan contributions (YTD) | (37.0)</t>
      </text>
    </comment>
    <comment ref="D72" authorId="0">
      <text>
        <t>pm-20260630.htm 10-Q, 6M25 comparative (S15) | Pension plan contributions (YTD) | (62.0)</t>
      </text>
    </comment>
    <comment ref="E72" authorId="0">
      <text>
        <t>pm-20250930.htm 10-Q (S12) | Pension plan contributions (YTD) | (91.0)</t>
      </text>
    </comment>
    <comment ref="F72" authorId="0">
      <text>
        <t>R9.htm 10-K FY25 (S13) | Pension plan contributions (YTD) | (139.0)</t>
      </text>
    </comment>
    <comment ref="H72" authorId="0">
      <text>
        <t>pm-20260331.htm 10-Q (S14) | Pension plan contributions (YTD) | (30.0)</t>
      </text>
    </comment>
    <comment ref="I72" authorId="0">
      <text>
        <t>pm-20260630.htm 10-Q (S15) | Pension plan contributions (YTD) | (67.0)</t>
      </text>
    </comment>
    <comment ref="C73" authorId="0">
      <text>
        <t>pm-20260331.htm 10-Q, 3M25 comparative (S14) | Other operating (YTD) | 229</t>
      </text>
    </comment>
    <comment ref="D73" authorId="0">
      <text>
        <t>pm-20260630.htm 10-Q, 6M25 comparative (S15) | Other operating (YTD) | 106</t>
      </text>
    </comment>
    <comment ref="E73" authorId="0">
      <text>
        <t>pm-20250930.htm 10-Q (S12) | Other operating (YTD) | 546</t>
      </text>
    </comment>
    <comment ref="F73" authorId="0">
      <text>
        <t>R9.htm 10-K FY25 (S13) | Other operating (YTD) | 842</t>
      </text>
    </comment>
    <comment ref="H73" authorId="0">
      <text>
        <t>pm-20260331.htm 10-Q (S14) | Other operating (YTD) | 482</t>
      </text>
    </comment>
    <comment ref="I73" authorId="0">
      <text>
        <t>pm-20260630.htm 10-Q (S15) | Other operating (YTD) | 419</t>
      </text>
    </comment>
    <comment ref="C74" authorId="0">
      <text>
        <t>pm-20260331.htm 10-Q, 3M25 comparative (S14) | Capital expenditures (YTD) | (404.0)</t>
      </text>
    </comment>
    <comment ref="D74" authorId="0">
      <text>
        <t>pm-20260630.htm 10-Q, 6M25 comparative (S15) | Capital expenditures (YTD) | (760.0)</t>
      </text>
    </comment>
    <comment ref="E74" authorId="0">
      <text>
        <t>pm-20250930.htm 10-Q (S12) | Capital expenditures (YTD) | (1,125.0)</t>
      </text>
    </comment>
    <comment ref="F74" authorId="0">
      <text>
        <t>R9.htm 10-K FY25 (S13) | Capital expenditures (YTD) | (1,569.0)</t>
      </text>
    </comment>
    <comment ref="H74" authorId="0">
      <text>
        <t>pm-20260331.htm 10-Q (S14) | Capital expenditures (YTD) | (353.0)</t>
      </text>
    </comment>
    <comment ref="I74" authorId="0">
      <text>
        <t>pm-20260630.htm 10-Q (S15) | Capital expenditures (YTD) | (733.0)</t>
      </text>
    </comment>
    <comment ref="C75" authorId="0">
      <text>
        <t>pm-20260331.htm 10-Q, 3M25 comparative (S14) | Proceeds from sales of businesses, net (YTD) | –</t>
      </text>
    </comment>
    <comment ref="D75" authorId="0">
      <text>
        <t>pm-20260630.htm 10-Q, 6M25 comparative (S15) | Proceeds from sales of businesses, net (YTD) | 32</t>
      </text>
    </comment>
    <comment ref="E75" authorId="0">
      <text>
        <t>pm-20250930.htm 10-Q (S12) | Proceeds from sales of businesses, net (YTD) | 32</t>
      </text>
    </comment>
    <comment ref="F75" authorId="0">
      <text>
        <t>R9.htm 10-K FY25 (S13) | Proceeds from sales of businesses, net (YTD) | 30</t>
      </text>
    </comment>
    <comment ref="H75" authorId="0">
      <text>
        <t>pm-20260331.htm 10-Q (S14) | Proceeds from sales of businesses, net (YTD) | –</t>
      </text>
    </comment>
    <comment ref="I75" authorId="0">
      <text>
        <t>pm-20260630.htm 10-Q (S15) | Proceeds from sales of businesses, net (YTD) | 87</t>
      </text>
    </comment>
    <comment ref="C76" authorId="0">
      <text>
        <t>pm-20260331.htm 10-Q, 3M25 comparative (S14) | Debt securities &amp; other investing, net (YTD) | (26.0)</t>
      </text>
    </comment>
    <comment ref="D76" authorId="0">
      <text>
        <t>pm-20260630.htm 10-Q, 6M25 comparative (S15) | Debt securities &amp; other investing, net (YTD) | (34.0)</t>
      </text>
    </comment>
    <comment ref="E76" authorId="0">
      <text>
        <t>pm-20250930.htm 10-Q (S12) | Debt securities &amp; other investing, net (YTD) | (80.0)</t>
      </text>
    </comment>
    <comment ref="F76" authorId="0">
      <text>
        <t>R9.htm 10-K FY25 (S13) | Debt securities &amp; other investing, net (YTD) | (91.0)</t>
      </text>
    </comment>
    <comment ref="H76" authorId="0">
      <text>
        <t>pm-20260331.htm 10-Q (S14) | Debt securities &amp; other investing, net (YTD) | 71</t>
      </text>
    </comment>
    <comment ref="I76" authorId="0">
      <text>
        <t>pm-20260630.htm 10-Q (S15) | Debt securities &amp; other investing, net (YTD) | 171</t>
      </text>
    </comment>
    <comment ref="C77" authorId="0">
      <text>
        <t>pm-20260331.htm 10-Q, 3M25 comparative (S14) | Equity investments (YTD) | (10.0)</t>
      </text>
    </comment>
    <comment ref="D77" authorId="0">
      <text>
        <t>pm-20260630.htm 10-Q, 6M25 comparative (S15) | Equity investments (YTD) | (35.0)</t>
      </text>
    </comment>
    <comment ref="E77" authorId="0">
      <text>
        <t>pm-20250930.htm 10-Q (S12) | Equity investments (YTD) | (48.0)</t>
      </text>
    </comment>
    <comment ref="F77" authorId="0">
      <text>
        <t>R9.htm 10-K FY25 (S13) | Equity investments (YTD) | (63.0)</t>
      </text>
    </comment>
    <comment ref="H77" authorId="0">
      <text>
        <t>pm-20260331.htm 10-Q (S14) | Equity investments (YTD) | (35.0)</t>
      </text>
    </comment>
    <comment ref="I77" authorId="0">
      <text>
        <t>pm-20260630.htm 10-Q (S15) | Equity investments (YTD) | (45.0)</t>
      </text>
    </comment>
    <comment ref="C78" authorId="0">
      <text>
        <t>pm-20260331.htm 10-Q, 3M25 comparative (S14) | Collateral posted/settlements for derivatives (YTD) | 6</t>
      </text>
    </comment>
    <comment ref="D78" authorId="0">
      <text>
        <t>pm-20260630.htm 10-Q, 6M25 comparative (S15) | Collateral posted/settlements for derivatives (YTD) | (1,953.0)</t>
      </text>
    </comment>
    <comment ref="E78" authorId="0">
      <text>
        <t>pm-20250930.htm 10-Q (S12) | Collateral posted/settlements for derivatives (YTD) | (2,318.0)</t>
      </text>
    </comment>
    <comment ref="F78" authorId="0">
      <text>
        <t>R9.htm 10-K FY25 (S13) | Collateral posted/settlements for derivatives (YTD) | (2,274.0)</t>
      </text>
    </comment>
    <comment ref="H78" authorId="0">
      <text>
        <t>pm-20260331.htm 10-Q (S14) | Collateral posted/settlements for derivatives (YTD) | 314</t>
      </text>
    </comment>
    <comment ref="I78" authorId="0">
      <text>
        <t>pm-20260630.htm 10-Q (S15) | Collateral posted/settlements for derivatives (YTD) | 543</t>
      </text>
    </comment>
    <comment ref="C79" authorId="0">
      <text>
        <t>pm-20260331.htm 10-Q, 3M25 comparative (S14) | Short-term borrowings, net (maturities &lt;= 90 days) (YTD) | 4,231.0</t>
      </text>
    </comment>
    <comment ref="D79" authorId="0">
      <text>
        <t>pm-20260630.htm 10-Q, 6M25 comparative (S15) | Short-term borrowings, net (maturities &lt;= 90 days) (YTD) | 2,294.0</t>
      </text>
    </comment>
    <comment ref="E79" authorId="0">
      <text>
        <t>pm-20250930.htm 10-Q (S12) | Short-term borrowings, net (maturities &lt;= 90 days) (YTD) | 1,733.0</t>
      </text>
    </comment>
    <comment ref="F79" authorId="0">
      <text>
        <t>R9.htm 10-K FY25 (S13) | Short-term borrowings, net (maturities &lt;= 90 days) (YTD) | 19</t>
      </text>
    </comment>
    <comment ref="H79" authorId="0">
      <text>
        <t>pm-20260331.htm 10-Q (S14) | Short-term borrowings, net (maturities &lt;= 90 days) (YTD) | 4,530.0</t>
      </text>
    </comment>
    <comment ref="I79" authorId="0">
      <text>
        <t>pm-20260630.htm 10-Q (S15) | Short-term borrowings, net (maturities &lt;= 90 days) (YTD) | 2,525.0</t>
      </text>
    </comment>
    <comment ref="C80" authorId="0">
      <text>
        <t>pm-20260331.htm 10-Q, 3M25 comparative (S14) | Short-term issuances (maturities &gt; 90 days) (YTD) | 70</t>
      </text>
    </comment>
    <comment ref="D80" authorId="0">
      <text>
        <t>pm-20260630.htm 10-Q, 6M25 comparative (S15) | Short-term issuances (maturities &gt; 90 days) (YTD) | 170</t>
      </text>
    </comment>
    <comment ref="E80" authorId="0">
      <text>
        <t>pm-20250930.htm 10-Q (S12) | Short-term issuances (maturities &gt; 90 days) (YTD) | 170</t>
      </text>
    </comment>
    <comment ref="F80" authorId="0">
      <text>
        <t>R9.htm 10-K FY25 (S13) | Short-term issuances (maturities &gt; 90 days) (YTD) | 170</t>
      </text>
    </comment>
    <comment ref="H80" authorId="0">
      <text>
        <t>pm-20260331.htm 10-Q (S14) | Short-term issuances (maturities &gt; 90 days) (YTD) | 993</t>
      </text>
    </comment>
    <comment ref="I80" authorId="0">
      <text>
        <t>pm-20260630.htm 10-Q (S15) | Short-term issuances (maturities &gt; 90 days) (YTD) | 1,659.0</t>
      </text>
    </comment>
    <comment ref="C81" authorId="0">
      <text>
        <t>pm-20260331.htm 10-Q, 3M25 comparative (S14) | Short-term repayments (maturities &gt; 90 days) (YTD) | –</t>
      </text>
    </comment>
    <comment ref="D81" authorId="0">
      <text>
        <t>pm-20260630.htm 10-Q, 6M25 comparative (S15) | Short-term repayments (maturities &gt; 90 days) (YTD) | (70.0)</t>
      </text>
    </comment>
    <comment ref="E81" authorId="0">
      <text>
        <t>pm-20250930.htm 10-Q (S12) | Short-term repayments (maturities &gt; 90 days) (YTD) | (170.0)</t>
      </text>
    </comment>
    <comment ref="F81" authorId="0">
      <text>
        <t>R9.htm 10-K FY25 (S13) | Short-term repayments (maturities &gt; 90 days) (YTD) | (170.0)</t>
      </text>
    </comment>
    <comment ref="H81" authorId="0">
      <text>
        <t>pm-20260331.htm 10-Q (S14) | Short-term repayments (maturities &gt; 90 days) (YTD) | –</t>
      </text>
    </comment>
    <comment ref="I81" authorId="0">
      <text>
        <t>pm-20260630.htm 10-Q (S15) | Short-term repayments (maturities &gt; 90 days) (YTD) | (994.0)</t>
      </text>
    </comment>
    <comment ref="C82" authorId="0">
      <text>
        <t>pm-20260331.htm 10-Q, 3M25 comparative (S14) | Long-term debt proceeds (YTD) | –</t>
      </text>
    </comment>
    <comment ref="D82" authorId="0">
      <text>
        <t>pm-20260630.htm 10-Q, 6M25 comparative (S15) | Long-term debt proceeds (YTD) | 3,596.0</t>
      </text>
    </comment>
    <comment ref="E82" authorId="0">
      <text>
        <t>pm-20250930.htm 10-Q (S12) | Long-term debt proceeds (YTD) | 3,596.0</t>
      </text>
    </comment>
    <comment ref="F82" authorId="0">
      <text>
        <t>R9.htm 10-K FY25 (S13) | Long-term debt proceeds (YTD) | 7,055.0</t>
      </text>
    </comment>
    <comment ref="H82" authorId="0">
      <text>
        <t>pm-20260331.htm 10-Q (S14) | Long-term debt proceeds (YTD) | –</t>
      </text>
    </comment>
    <comment ref="I82" authorId="0">
      <text>
        <t>pm-20260630.htm 10-Q (S15) | Long-term debt proceeds (YTD) | 1,478.0</t>
      </text>
    </comment>
    <comment ref="C83" authorId="0">
      <text>
        <t>pm-20260331.htm 10-Q, 3M25 comparative (S14) | Long-term debt repaid (YTD) | (822.0)</t>
      </text>
    </comment>
    <comment ref="D83" authorId="0">
      <text>
        <t>pm-20260630.htm 10-Q, 6M25 comparative (S15) | Long-term debt repaid (YTD) | (1,566.0)</t>
      </text>
    </comment>
    <comment ref="E83" authorId="0">
      <text>
        <t>pm-20250930.htm 10-Q (S12) | Long-term debt repaid (YTD) | (2,316.0)</t>
      </text>
    </comment>
    <comment ref="F83" authorId="0">
      <text>
        <t>R9.htm 10-K FY25 (S13) | Long-term debt repaid (YTD) | (5,368.0)</t>
      </text>
    </comment>
    <comment ref="H83" authorId="0">
      <text>
        <t>pm-20260331.htm 10-Q (S14) | Long-term debt repaid (YTD) | (2,142.0)</t>
      </text>
    </comment>
    <comment ref="I83" authorId="0">
      <text>
        <t>pm-20260630.htm 10-Q (S15) | Long-term debt repaid (YTD) | (4,021.0)</t>
      </text>
    </comment>
    <comment ref="C84" authorId="0">
      <text>
        <t>pm-20260331.htm 10-Q, 3M25 comparative (S14) | Dividends paid (YTD) | (2,116.0)</t>
      </text>
    </comment>
    <comment ref="D84" authorId="0">
      <text>
        <t>pm-20260630.htm 10-Q, 6M25 comparative (S15) | Dividends paid (YTD) | (4,222.0)</t>
      </text>
    </comment>
    <comment ref="E84" authorId="0">
      <text>
        <t>pm-20250930.htm 10-Q (S12) | Dividends paid (YTD) | (6,329.0)</t>
      </text>
    </comment>
    <comment ref="F84" authorId="0">
      <text>
        <t>R9.htm 10-K FY25 (S13) | Dividends paid (YTD) | (8,624.0)</t>
      </text>
    </comment>
    <comment ref="H84" authorId="0">
      <text>
        <t>pm-20260331.htm 10-Q (S14) | Dividends paid (YTD) | (2,307.0)</t>
      </text>
    </comment>
    <comment ref="I84" authorId="0">
      <text>
        <t>pm-20260630.htm 10-Q (S15) | Dividends paid (YTD) | (4,604.0)</t>
      </text>
    </comment>
    <comment ref="C85" authorId="0">
      <text>
        <t>pm-20260331.htm 10-Q, 3M25 comparative (S14) | Collateral received/settlements for derivatives (YTD) | (606.0)</t>
      </text>
    </comment>
    <comment ref="D85" authorId="0">
      <text>
        <t>pm-20260630.htm 10-Q, 6M25 comparative (S15) | Collateral received/settlements for derivatives (YTD) | (824.0)</t>
      </text>
    </comment>
    <comment ref="E85" authorId="0">
      <text>
        <t>pm-20250930.htm 10-Q (S12) | Collateral received/settlements for derivatives (YTD) | (815.0)</t>
      </text>
    </comment>
    <comment ref="F85" authorId="0">
      <text>
        <t>R9.htm 10-K FY25 (S13) | Collateral received/settlements for derivatives (YTD) | (693.0)</t>
      </text>
    </comment>
    <comment ref="H85" authorId="0">
      <text>
        <t>pm-20260331.htm 10-Q (S14) | Collateral received/settlements for derivatives (YTD) | 138</t>
      </text>
    </comment>
    <comment ref="I85" authorId="0">
      <text>
        <t>pm-20260630.htm 10-Q (S15) | Collateral received/settlements for derivatives (YTD) | 404</t>
      </text>
    </comment>
    <comment ref="C86" authorId="0">
      <text>
        <t>pm-20260331.htm 10-Q, 3M25 comparative (S14) | Noncontrolling interests activity &amp; other (YTD) | (86.0)</t>
      </text>
    </comment>
    <comment ref="D86" authorId="0">
      <text>
        <t>pm-20260630.htm 10-Q, 6M25 comparative (S15) | Noncontrolling interests activity &amp; other (YTD) | (268.0)</t>
      </text>
    </comment>
    <comment ref="E86" authorId="0">
      <text>
        <t>pm-20250930.htm 10-Q (S12) | Noncontrolling interests activity &amp; other (YTD) | (420.0)</t>
      </text>
    </comment>
    <comment ref="F86" authorId="0">
      <text>
        <t>R9.htm 10-K FY25 (S13) | Noncontrolling interests activity &amp; other (YTD) | (521.0)</t>
      </text>
    </comment>
    <comment ref="H86" authorId="0">
      <text>
        <t>pm-20260331.htm 10-Q (S14) | Noncontrolling interests activity &amp; other (YTD) | (116.0)</t>
      </text>
    </comment>
    <comment ref="I86" authorId="0">
      <text>
        <t>pm-20260630.htm 10-Q (S15) | Noncontrolling interests activity &amp; other (YTD) | (326.0)</t>
      </text>
    </comment>
    <comment ref="C87" authorId="0">
      <text>
        <t>pm-20260331.htm 10-Q, 3M25 comparative (S14) | Effect of exchange rate changes on cash (YTD) | 335</t>
      </text>
    </comment>
    <comment ref="D87" authorId="0">
      <text>
        <t>pm-20260630.htm 10-Q, 6M25 comparative (S15) | Effect of exchange rate changes on cash (YTD) | 500</t>
      </text>
    </comment>
    <comment ref="E87" authorId="0">
      <text>
        <t>pm-20250930.htm 10-Q (S12) | Effect of exchange rate changes on cash (YTD) | 373</t>
      </text>
    </comment>
    <comment ref="F87" authorId="0">
      <text>
        <t>R9.htm 10-K FY25 (S13) | Effect of exchange rate changes on cash (YTD) | 504</t>
      </text>
    </comment>
    <comment ref="H87" authorId="0">
      <text>
        <t>pm-20260331.htm 10-Q (S14) | Effect of exchange rate changes on cash (YTD) | (116.0)</t>
      </text>
    </comment>
    <comment ref="I87" authorId="0">
      <text>
        <t>pm-20260630.htm 10-Q (S15) | Effect of exchange rate changes on cash (YTD) | (105.0)</t>
      </text>
    </comment>
    <comment ref="C89" authorId="0">
      <text>
        <t>pm-20260331.htm 10-Q, 3M25 comparative (S14) | Net cash from operating activities as reported (YTD) | (350.0)</t>
      </text>
    </comment>
    <comment ref="D89" authorId="0">
      <text>
        <t>pm-20260630.htm 10-Q, 6M25 comparative (S15) | Net cash from operating activities as reported (YTD) | 3,062.0</t>
      </text>
    </comment>
    <comment ref="E89" authorId="0">
      <text>
        <t>pm-20250930.htm 10-Q (S12) | Net cash from operating activities as reported (YTD) | 7,524.0</t>
      </text>
    </comment>
    <comment ref="F89" authorId="0">
      <text>
        <t>R9.htm 10-K FY25 (S13) | Net cash from operating activities as reported (YTD) | 12,233.0</t>
      </text>
    </comment>
    <comment ref="H89" authorId="0">
      <text>
        <t>pm-20260331.htm 10-Q (S14) | Net cash from operating activities as reported (YTD) | (399.0)</t>
      </text>
    </comment>
    <comment ref="I89" authorId="0">
      <text>
        <t>pm-20260630.htm 10-Q (S15) | Net cash from operating activities as reported (YTD) | 5,093.0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9" authorId="0">
      <text>
        <t>glossaryselectfininfoandno.htm Sch.1 / pm-20250331.htm | Common shares issued | 2,109.3</t>
      </text>
    </comment>
    <comment ref="C10" authorId="0">
      <text>
        <t>glossaryselectfininfoandno.htm Sch.1 / pm-20250331.htm | Treasury (repurchased) shares | 552.8</t>
      </text>
    </comment>
    <comment ref="D10" authorId="0">
      <text>
        <t>glossaryselectfininfoandno.htm Sch.1 / pm-20250630.htm | Treasury (repurchased) shares | 552.7</t>
      </text>
    </comment>
    <comment ref="E10" authorId="0">
      <text>
        <t>glossaryselectfininfoandno.htm 3Q25 Sch.1 (S8) / pm-20250930.htm | Treasury (repurchased) shares | 552.7</t>
      </text>
    </comment>
    <comment ref="F10" authorId="0">
      <text>
        <t>glossaryselectfininfoandno.htm FY25 Sch.1 (S9) / R7.htm | Treasury (repurchased) shares | 552.7</t>
      </text>
    </comment>
    <comment ref="H10" authorId="0">
      <text>
        <t>glossaryselectfininfoandno.htm 1Q26 Sch.1 (S5) / pm-20260331.htm | Treasury (repurchased) shares | 550.8</t>
      </text>
    </comment>
    <comment ref="I10" authorId="0">
      <text>
        <t>glossaryselectfininfoandno.htm 2Q26 Sch.1 (S7) / pm-20260630.htm | Treasury (repurchased) shares | 550.7</t>
      </text>
    </comment>
    <comment ref="C13" authorId="0">
      <text>
        <t>glossaryselectfininfoandno.htm Sch.1 / pm-20250331.htm | Shares repurchased | –</t>
      </text>
    </comment>
    <comment ref="D13" authorId="0">
      <text>
        <t>glossaryselectfininfoandno.htm Sch.1 / pm-20250630.htm | Shares repurchased | –</t>
      </text>
    </comment>
    <comment ref="E13" authorId="0">
      <text>
        <t>glossaryselectfininfoandno.htm 3Q25 Sch.1 (S8) / pm-20250930.htm | Shares repurchased | –</t>
      </text>
    </comment>
    <comment ref="F13" authorId="0">
      <text>
        <t>glossaryselectfininfoandno.htm FY25 Sch.1 (S9) / R7.htm | Shares repurchased | –</t>
      </text>
    </comment>
    <comment ref="H13" authorId="0">
      <text>
        <t>glossaryselectfininfoandno.htm 1Q26 Sch.1 (S5) / pm-20260331.htm | Shares repurchased | –</t>
      </text>
    </comment>
    <comment ref="I13" authorId="0">
      <text>
        <t>glossaryselectfininfoandno.htm 2Q26 Sch.1 (S7) / pm-20260630.htm | Shares repurchased | –</t>
      </text>
    </comment>
    <comment ref="I15" authorId="0">
      <text>
        <t>glossaryselectfininfoandno.htm 2Q26 Sch.1 (S7) / pm-20260630.htm | Shares outstanding per 10-Q cover (17-Jul-2026) | 1,558.6</t>
      </text>
    </comment>
    <comment ref="C18" authorId="0">
      <text>
        <t>glossaryselectfininfoandno.htm Sch.1 / pm-20250331.htm | Weighted-average basic shares | 1,556.0</t>
      </text>
    </comment>
    <comment ref="D18" authorId="0">
      <text>
        <t>glossaryselectfininfoandno.htm Sch.1 / pm-20250630.htm | Weighted-average basic shares | 1,557.0</t>
      </text>
    </comment>
    <comment ref="E18" authorId="0">
      <text>
        <t>glossaryselectfininfoandno.htm 3Q25 Sch.1 (S8) / pm-20250930.htm | Weighted-average basic shares | 1,557.0</t>
      </text>
    </comment>
    <comment ref="F18" authorId="0">
      <text>
        <t>glossaryselectfininfoandno.htm FY25 Sch.1 (S9) / R7.htm | Weighted-average basic shares | 1,557.0</t>
      </text>
    </comment>
    <comment ref="H18" authorId="0">
      <text>
        <t>glossaryselectfininfoandno.htm 1Q26 Sch.1 (S5) / pm-20260331.htm | Weighted-average basic shares | 1,558.0</t>
      </text>
    </comment>
    <comment ref="I18" authorId="0">
      <text>
        <t>glossaryselectfininfoandno.htm 2Q26 Sch.1 (S7) / pm-20260630.htm | Weighted-average basic shares | 1,559.0</t>
      </text>
    </comment>
    <comment ref="G18" authorId="0">
      <text>
        <t>glossaryselectfininfoandno.htm FY25 Sch.1 (S9) | Weighted-average basic shares | 1,556.0</t>
      </text>
    </comment>
    <comment ref="C20" authorId="0">
      <text>
        <t>glossaryselectfininfoandno.htm Sch.1 / pm-20250331.htm | Weighted-average diluted shares | 1,557.0</t>
      </text>
    </comment>
    <comment ref="D20" authorId="0">
      <text>
        <t>glossaryselectfininfoandno.htm Sch.1 / pm-20250630.htm | Weighted-average diluted shares | 1,558.0</t>
      </text>
    </comment>
    <comment ref="E20" authorId="0">
      <text>
        <t>glossaryselectfininfoandno.htm 3Q25 Sch.1 (S8) / pm-20250930.htm | Weighted-average diluted shares | 1,558.0</t>
      </text>
    </comment>
    <comment ref="F20" authorId="0">
      <text>
        <t>glossaryselectfininfoandno.htm FY25 Sch.1 (S9) / R7.htm | Weighted-average diluted shares | 1,558.0</t>
      </text>
    </comment>
    <comment ref="H20" authorId="0">
      <text>
        <t>glossaryselectfininfoandno.htm 1Q26 Sch.1 (S5) / pm-20260331.htm | Weighted-average diluted shares | 1,559.0</t>
      </text>
    </comment>
    <comment ref="I20" authorId="0">
      <text>
        <t>glossaryselectfininfoandno.htm 2Q26 Sch.1 (S7) / pm-20260630.htm | Weighted-average diluted shares | 1,560.0</t>
      </text>
    </comment>
    <comment ref="G20" authorId="0">
      <text>
        <t>glossaryselectfininfoandno.htm FY25 Sch.1 (S9) | Weighted-average diluted shares | 1,558.0</t>
      </text>
    </comment>
    <comment ref="C26" authorId="0">
      <text>
        <t>glossaryselectfininfoandno.htm Sch.1 / pm-20250331.htm | Dividends declared per share ($) | $1.35</t>
      </text>
    </comment>
    <comment ref="D26" authorId="0">
      <text>
        <t>glossaryselectfininfoandno.htm Sch.1 / pm-20250630.htm | Dividends declared per share ($) | $1.35</t>
      </text>
    </comment>
    <comment ref="E26" authorId="0">
      <text>
        <t>glossaryselectfininfoandno.htm 3Q25 Sch.1 (S8) / pm-20250930.htm | Dividends declared per share ($) | $1.47</t>
      </text>
    </comment>
    <comment ref="F26" authorId="0">
      <text>
        <t>glossaryselectfininfoandno.htm FY25 Sch.1 (S9) / R7.htm | Dividends declared per share ($) | $1.47</t>
      </text>
    </comment>
    <comment ref="H26" authorId="0">
      <text>
        <t>glossaryselectfininfoandno.htm 1Q26 Sch.1 (S5) / pm-20260331.htm | Dividends declared per share ($) | $1.47</t>
      </text>
    </comment>
    <comment ref="I26" authorId="0">
      <text>
        <t>glossaryselectfininfoandno.htm 2Q26 Sch.1 (S7) / pm-20260630.htm | Dividends declared per share ($) | $1.47</t>
      </text>
    </comment>
    <comment ref="J26" authorId="0">
      <text>
        <t>PMI dividend press release 18-Sep-2026 (S30) | Dividends declared per share ($) | $1.60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11" authorId="0">
      <text>
        <t>PM_history.csv / PM_consensus.json (S1/S2) | eps_normalized_consensus | $1.61</t>
      </text>
    </comment>
    <comment ref="D11" authorId="0">
      <text>
        <t>PM_history.csv (S1) | eps_normalized_consensus | $1.86</t>
      </text>
    </comment>
    <comment ref="E11" authorId="0">
      <text>
        <t>PM_history.csv (S1) | eps_normalized_consensus | $2.10</t>
      </text>
    </comment>
    <comment ref="F11" authorId="0">
      <text>
        <t>PM_history.csv (S1) | eps_normalized_consensus | $1.70</t>
      </text>
    </comment>
    <comment ref="H11" authorId="0">
      <text>
        <t>PM_history.csv (S1) | eps_normalized_consensus | $1.83</t>
      </text>
    </comment>
    <comment ref="I11" authorId="0">
      <text>
        <t>PM_history.csv (S1) | eps_normalized_consensus | $2.05</t>
      </text>
    </comment>
    <comment ref="C12" authorId="0">
      <text>
        <t>PM_history.csv / PM_consensus.json (S1/S2) | eps_normalized_actual | $1.69</t>
      </text>
    </comment>
    <comment ref="D12" authorId="0">
      <text>
        <t>PM_history.csv (S1) | eps_normalized_actual | $1.91</t>
      </text>
    </comment>
    <comment ref="E12" authorId="0">
      <text>
        <t>PM_history.csv (S1) | eps_normalized_actual | $2.24</t>
      </text>
    </comment>
    <comment ref="F12" authorId="0">
      <text>
        <t>PM_history.csv (S1) | eps_normalized_actual | $1.70</t>
      </text>
    </comment>
    <comment ref="H12" authorId="0">
      <text>
        <t>PM_history.csv (S1) | eps_normalized_actual | $1.96</t>
      </text>
    </comment>
    <comment ref="I12" authorId="0">
      <text>
        <t>PM_history.csv (S1) | eps_normalized_actual | $2.20</t>
      </text>
    </comment>
    <comment ref="C13" authorId="0">
      <text>
        <t>PM_history.csv / PM_consensus.json (S1/S2) | eps_gaap_consensus | $1.58</t>
      </text>
    </comment>
    <comment ref="D13" authorId="0">
      <text>
        <t>PM_history.csv (S1) | eps_gaap_consensus | $1.79</t>
      </text>
    </comment>
    <comment ref="E13" authorId="0">
      <text>
        <t>PM_history.csv (S1) | eps_gaap_consensus | $1.98</t>
      </text>
    </comment>
    <comment ref="F13" authorId="0">
      <text>
        <t>PM_history.csv (S1) | eps_gaap_consensus | $1.51</t>
      </text>
    </comment>
    <comment ref="H13" authorId="0">
      <text>
        <t>PM_history.csv (S1) | eps_gaap_consensus | $1.74</t>
      </text>
    </comment>
    <comment ref="I13" authorId="0">
      <text>
        <t>PM_history.csv (S1) | eps_gaap_consensus | $1.97</t>
      </text>
    </comment>
    <comment ref="C14" authorId="0">
      <text>
        <t>PM_history.csv / PM_consensus.json (S1/S2) | eps_gaap_actual | $1.72</t>
      </text>
    </comment>
    <comment ref="D14" authorId="0">
      <text>
        <t>PM_history.csv (S1) | eps_gaap_actual | $1.95</t>
      </text>
    </comment>
    <comment ref="E14" authorId="0">
      <text>
        <t>PM_history.csv (S1) | eps_gaap_actual | $2.23</t>
      </text>
    </comment>
    <comment ref="F14" authorId="0">
      <text>
        <t>PM_history.csv (S1) | eps_gaap_actual | $1.37</t>
      </text>
    </comment>
    <comment ref="H14" authorId="0">
      <text>
        <t>PM_history.csv (S1) | eps_gaap_actual | $1.56</t>
      </text>
    </comment>
    <comment ref="I14" authorId="0">
      <text>
        <t>PM_history.csv (S1) | eps_gaap_actual | $1.80</t>
      </text>
    </comment>
    <comment ref="C15" authorId="0">
      <text>
        <t>PM_history.csv / PM_consensus.json (S1/S2) | revenue_m_consensus | 9,144.8</t>
      </text>
    </comment>
    <comment ref="D15" authorId="0">
      <text>
        <t>PM_history.csv (S1) | revenue_m_consensus | 10,332.9</t>
      </text>
    </comment>
    <comment ref="E15" authorId="0">
      <text>
        <t>PM_history.csv (S1) | revenue_m_consensus | 10,659.3</t>
      </text>
    </comment>
    <comment ref="F15" authorId="0">
      <text>
        <t>PM_history.csv (S1) | revenue_m_consensus | 10,402.8</t>
      </text>
    </comment>
    <comment ref="H15" authorId="0">
      <text>
        <t>PM_history.csv (S1) | revenue_m_consensus | 9,907.2</t>
      </text>
    </comment>
    <comment ref="I15" authorId="0">
      <text>
        <t>PM_history.csv (S1) | revenue_m_consensus | 10,632.2</t>
      </text>
    </comment>
    <comment ref="C16" authorId="0">
      <text>
        <t>PM_history.csv / PM_consensus.json (S1/S2) | revenue_m_actual | 9,301.0</t>
      </text>
    </comment>
    <comment ref="D16" authorId="0">
      <text>
        <t>PM_history.csv (S1) | revenue_m_actual | 10,140.0</t>
      </text>
    </comment>
    <comment ref="E16" authorId="0">
      <text>
        <t>PM_history.csv (S1) | revenue_m_actual | 10,845.0</t>
      </text>
    </comment>
    <comment ref="F16" authorId="0">
      <text>
        <t>PM_history.csv (S1) | revenue_m_actual | 10,362.0</t>
      </text>
    </comment>
    <comment ref="H16" authorId="0">
      <text>
        <t>PM_history.csv (S1) | revenue_m_actual | 10,146.0</t>
      </text>
    </comment>
    <comment ref="I16" authorId="0">
      <text>
        <t>PM_history.csv (S1) | revenue_m_actual | 11,192.0</t>
      </text>
    </comment>
    <comment ref="C28" authorId="0">
      <text>
        <t>PM_history.csv / PM_consensus.json (S1/S2) | analyst_count | 8</t>
      </text>
    </comment>
    <comment ref="C29" authorId="0">
      <text>
        <t>PM_history.csv / PM_consensus.json (S1/S2) | consensus_eps | $2.32</t>
      </text>
    </comment>
    <comment ref="C31" authorId="0">
      <text>
        <t>PM_history.csv / PM_consensus.json (S1/S2) | consensus_revenue_m | 11,369.0</t>
      </text>
    </comment>
    <comment ref="C53" authorId="0">
      <text>
        <t>PM_history.csv / PM_consensus.json (S1/S2) | eps_normalized_estimates | 8</t>
      </text>
    </comment>
    <comment ref="C54" authorId="0">
      <text>
        <t>PM_history.csv / PM_consensus.json (S1/S2) | eps_normalized_contributors | 12</t>
      </text>
    </comment>
    <comment ref="C56" authorId="0">
      <text>
        <t>PM_history.csv / PM_consensus.json (S1/S2) | eps_normalized_mean | $2.32</t>
      </text>
    </comment>
    <comment ref="C57" authorId="0">
      <text>
        <t>PM_history.csv / PM_consensus.json (S1/S2) | eps_normalized_median | $2.32</t>
      </text>
    </comment>
    <comment ref="C58" authorId="0">
      <text>
        <t>PM_history.csv / PM_consensus.json (S1/S2) | eps_normalized_high | $2.39</t>
      </text>
    </comment>
    <comment ref="C59" authorId="0">
      <text>
        <t>PM_history.csv / PM_consensus.json (S1/S2) | eps_normalized_low | $2.27</t>
      </text>
    </comment>
    <comment ref="C60" authorId="0">
      <text>
        <t>PM_history.csv / PM_consensus.json (S1/S2) | eps_normalized_std_dev | $0.03</t>
      </text>
    </comment>
    <comment ref="C61" authorId="0">
      <text>
        <t>PM_history.csv / PM_consensus.json (S1/S2) | eps_normalized_n_est | 8</t>
      </text>
    </comment>
    <comment ref="C63" authorId="0">
      <text>
        <t>PM_history.csv / PM_consensus.json (S1/S2) | eps_normalized_guidance_low | $2.29</t>
      </text>
    </comment>
    <comment ref="C64" authorId="0">
      <text>
        <t>PM_history.csv / PM_consensus.json (S1/S2) | eps_normalized_guidance_high | $2.34</t>
      </text>
    </comment>
    <comment ref="C65" authorId="0">
      <text>
        <t>PM_history.csv / PM_consensus.json (S1/S2) | eps_gaap_mean | $2.27</t>
      </text>
    </comment>
    <comment ref="C66" authorId="0">
      <text>
        <t>PM_history.csv / PM_consensus.json (S1/S2) | eps_gaap_median | $2.21</t>
      </text>
    </comment>
    <comment ref="C67" authorId="0">
      <text>
        <t>PM_history.csv / PM_consensus.json (S1/S2) | eps_gaap_high | $2.46</t>
      </text>
    </comment>
    <comment ref="C68" authorId="0">
      <text>
        <t>PM_history.csv / PM_consensus.json (S1/S2) | eps_gaap_low | $2.12</t>
      </text>
    </comment>
    <comment ref="C69" authorId="0">
      <text>
        <t>PM_history.csv / PM_consensus.json (S1/S2) | eps_gaap_std_dev | $0.14</t>
      </text>
    </comment>
    <comment ref="C70" authorId="0">
      <text>
        <t>PM_history.csv / PM_consensus.json (S1/S2) | eps_gaap_n_est | 3</t>
      </text>
    </comment>
    <comment ref="C74" authorId="0">
      <text>
        <t>PM_history.csv / PM_consensus.json (S1/S2) | revenue_mean | 11,369.0</t>
      </text>
    </comment>
    <comment ref="C75" authorId="0">
      <text>
        <t>PM_history.csv / PM_consensus.json (S1/S2) | revenue_median | 11,332.2</t>
      </text>
    </comment>
    <comment ref="C76" authorId="0">
      <text>
        <t>PM_history.csv / PM_consensus.json (S1/S2) | revenue_high | 11,796.0</t>
      </text>
    </comment>
    <comment ref="C77" authorId="0">
      <text>
        <t>PM_history.csv / PM_consensus.json (S1/S2) | revenue_low | 11,207.0</t>
      </text>
    </comment>
    <comment ref="C78" authorId="0">
      <text>
        <t>PM_history.csv / PM_consensus.json (S1/S2) | revenue_std_dev | 180.9</t>
      </text>
    </comment>
    <comment ref="C79" authorId="0">
      <text>
        <t>PM_history.csv / PM_consensus.json (S1/S2) | revenue_n_est | 9</t>
      </text>
    </comment>
    <comment ref="C83" authorId="0">
      <text>
        <t>PM_history.csv / PM_consensus.json (S1/S2) | ebitda | 5,209.1</t>
      </text>
    </comment>
    <comment ref="C84" authorId="0">
      <text>
        <t>PM_history.csv / PM_consensus.json (S1/S2) | ebit | 4,925.0</t>
      </text>
    </comment>
    <comment ref="C85" authorId="0">
      <text>
        <t>PM_history.csv / PM_consensus.json (S1/S2) | ebt_excl_excep | 4,654.0</t>
      </text>
    </comment>
    <comment ref="C86" authorId="0">
      <text>
        <t>PM_history.csv / PM_consensus.json (S1/S2) | ebt_gaap | 4,528.7</t>
      </text>
    </comment>
    <comment ref="C87" authorId="0">
      <text>
        <t>PM_history.csv / PM_consensus.json (S1/S2) | net_income_excl_excep | 3,652.8</t>
      </text>
    </comment>
    <comment ref="C88" authorId="0">
      <text>
        <t>PM_history.csv / PM_consensus.json (S1/S2) | net_income_gaap | 3,539.3</t>
      </text>
    </comment>
    <comment ref="C95" authorId="0">
      <text>
        <t>PM_history.csv / PM_consensus.json (S1/S2) | interest_expense | (239.7)</t>
      </text>
    </comment>
    <comment ref="C99" authorId="0">
      <text>
        <t>PM_history.csv / PM_consensus.json (S1/S2) | target_price_mean | 208.8</t>
      </text>
    </comment>
    <comment ref="C100" authorId="0">
      <text>
        <t>PM_history.csv / PM_consensus.json (S1/S2) | target_price_median | 211</t>
      </text>
    </comment>
    <comment ref="C101" authorId="0">
      <text>
        <t>PM_history.csv / PM_consensus.json (S1/S2) | target_price_high | 230</t>
      </text>
    </comment>
    <comment ref="C102" authorId="0">
      <text>
        <t>PM_history.csv / PM_consensus.json (S1/S2) | target_price_low | 175</t>
      </text>
    </comment>
    <comment ref="C103" authorId="0">
      <text>
        <t>PM_history.csv / PM_consensus.json (S1/S2) | target_price_std_dev | 15.72</t>
      </text>
    </comment>
    <comment ref="C104" authorId="0">
      <text>
        <t>PM_history.csv / PM_consensus.json (S1/S2) | target_price_n_est | 15</t>
      </text>
    </comment>
    <comment ref="C106" authorId="0">
      <text>
        <t>PM_history.csv / PM_consensus.json (S1/S2) | recommendation_score | 1.69</t>
      </text>
    </comment>
    <comment ref="C107" authorId="0">
      <text>
        <t>PM_history.csv / PM_consensus.json (S1/S2) | last_close_price | 205.2</t>
      </text>
    </comment>
    <comment ref="C116" authorId="0">
      <text>
        <t>PM_history.csv / PM_consensus.json (S1/S2) | Large-cap threshold, $ billions (playbook) | 10</t>
      </text>
    </comment>
    <comment ref="C117" authorId="0">
      <text>
        <t>PM_history.csv / PM_consensus.json (S1/S2) | Mid-cap threshold, $ billions (playbook) | 2</t>
      </text>
    </comment>
    <comment ref="C118" authorId="0">
      <text>
        <t>PM_history.csv / PM_consensus.json (S1/S2) | Cohort prior - large cap or S&amp;P 500 (playbook) | 78.0%</t>
      </text>
    </comment>
    <comment ref="C119" authorId="0">
      <text>
        <t>PM_history.csv / PM_consensus.json (S1/S2) | Cohort prior - mid cap (playbook) | 70.0%</t>
      </text>
    </comment>
    <comment ref="C120" authorId="0">
      <text>
        <t>PM_history.csv / PM_consensus.json (S1/S2) | Cohort prior - small cap (playbook) | 60.0%</t>
      </text>
    </comment>
    <comment ref="C126" authorId="0">
      <text>
        <t>PM_history.csv / PM_consensus.json (S1/S2) | Pseudo-observations | 8</t>
      </text>
    </comment>
    <comment ref="C130" authorId="0">
      <text>
        <t>PM_history.csv / PM_consensus.json (S1/S2) | Final P(beat consensus EPS) | 74.0%</t>
      </text>
    </comment>
  </commentList>
</comments>
</file>

<file path=xl/sharedStrings.xml><?xml version="1.0" encoding="utf-8"?>
<sst xmlns="http://schemas.openxmlformats.org/spreadsheetml/2006/main" count="1341" uniqueCount="908">
  <si>
    <t>Philip Morris International Inc. (NYSE: PM)</t>
  </si>
  <si>
    <t>Company Model — built by Shortcut</t>
  </si>
  <si>
    <t>$ millions, except per share</t>
  </si>
  <si>
    <t>Notes</t>
  </si>
  <si>
    <t>Company</t>
  </si>
  <si>
    <t>Philip Morris International Inc.</t>
  </si>
  <si>
    <t>Ticker / exchange</t>
  </si>
  <si>
    <t>PM / New York Stock Exchange (NYSE: PM)</t>
  </si>
  <si>
    <t>Fiscal year end</t>
  </si>
  <si>
    <t>December 31 (forecast quarter 3Q26 = FQ3 2026, quarter ended 30-Sep-2026; supplied label 2026-09-30 matches)</t>
  </si>
  <si>
    <t>Reporting currency</t>
  </si>
  <si>
    <t>USD; amounts in $ millions</t>
  </si>
  <si>
    <t>EPS basis (scored)</t>
  </si>
  <si>
    <t>Adjusted (normalized) diluted EPS per common share, USD - PMI "adjusted diluted EPS"; matched CapIQ normalized actuals in all six 2025-1H26 quarters (IS row 79), so treated as the consensus basis (not separately confirmed by CapIQ)</t>
  </si>
  <si>
    <t>Information cutoff</t>
  </si>
  <si>
    <t>2026-10-18 21:34 UTC</t>
  </si>
  <si>
    <t>Expected report date</t>
  </si>
  <si>
    <t>2026-10-21 ~7:00 a.m. ET (confirmed by PMI on 2026-10-14, S24; matches supplied CapIQ date)</t>
  </si>
  <si>
    <t>Model author</t>
  </si>
  <si>
    <t>Shortcut</t>
  </si>
  <si>
    <t>Headline 3Q26E</t>
  </si>
  <si>
    <t>Shortcut est.</t>
  </si>
  <si>
    <t>Consensus</t>
  </si>
  <si>
    <t>Variance</t>
  </si>
  <si>
    <t>Variance %</t>
  </si>
  <si>
    <t>Guidance mid</t>
  </si>
  <si>
    <t>Est. - guide</t>
  </si>
  <si>
    <t>Consensus = S&amp;P Capital IQ at the cutoff (captured 18-Oct-2026)</t>
  </si>
  <si>
    <t>Net revenues ($m)</t>
  </si>
  <si>
    <t>n/a</t>
  </si>
  <si>
    <t>Guidance: PMI gives no revenue or net-income guidance</t>
  </si>
  <si>
    <t>Adjusted net income attributable to PMI ($m)</t>
  </si>
  <si>
    <t>Adjusted (normalized) diluted EPS ($)</t>
  </si>
  <si>
    <t>GAAP net income attributable to PMI ($m)</t>
  </si>
  <si>
    <t>GAAP diluted EPS ($)</t>
  </si>
  <si>
    <t>Overall check result (all inline checks)</t>
  </si>
  <si>
    <t>C24 aggregates (portable SUMIF form; same ranges and tolerances as before): BS balance (BS row 54); CF cash tie (CF row 49); YTD CFO build (CF row 90); revenue ties (Revenue summary rows 71, 73, incl. FY25 G73); OCI and GP ties (IS rows 103, 111, incl. FY25 column G at $1m x 4 summed quarters); GAAP and adjusted EPS vs CapIQ (IS rows 58, 79); adjusted EPS identity (IS row 82); FY25 EBITDA (IS G119); Cover links C19:C21. Identities, not independent tests: IS row 82 and Revenue summary row 71 in every column, and the 3Q26E J-column checks in CF row 49, IS rows 103 and 111. For 3Q26E only BS J54 is an independent test</t>
  </si>
  <si>
    <t>P(beat consensus EPS)</t>
  </si>
  <si>
    <t>Confidence</t>
  </si>
  <si>
    <t>Consensus detail at cutoff (S&amp;P Capital IQ, captured 2026-10-18) and later public estimates (memo only)</t>
  </si>
  <si>
    <t>Normalized EPS estimates (eps_normalized_n_est)</t>
  </si>
  <si>
    <t>Normalized EPS high / low ($)</t>
  </si>
  <si>
    <t>Revenue high / low ($m)</t>
  </si>
  <si>
    <t>Zacks consensus EPS, 15-Oct-2026 (S27)</t>
  </si>
  <si>
    <t>Recorded separately; frozen CapIQ $2.32 remains the scoring baseline</t>
  </si>
  <si>
    <t>AlphaStreet consensus EPS, 16-Oct-2026 (S25)</t>
  </si>
  <si>
    <t>TradingView estimate EPS, 13-Oct-2026 (S28)</t>
  </si>
  <si>
    <t>Why we differ from consensus</t>
  </si>
  <si>
    <t>PMI beat its own quarterly adjusted-EPS guidance midpoint in each of the last five explicit guides (average +$0.13); consensus $2.32 vs the $2.315 latest guidance midpoint.</t>
  </si>
  <si>
    <t>Guidance tab</t>
  </si>
  <si>
    <t>In the build: tough 3Q25 tax and ZYN-promo comps, stepped-up U.S. spend (U.S. implied adj. opex +13% Q/Q, IS J145). Not in the build: Q2-to-Q3 SG&amp;A phasing (Intl implied adj. opex -3.9% Q/Q, IS J142). Tilt +$0.02, conditional on IC J33, IS J86, IS J125.</t>
  </si>
  <si>
    <t>S16</t>
  </si>
  <si>
    <t>Revenue summary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</si>
  <si>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</si>
  <si>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</si>
  <si>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</si>
  <si>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</si>
  <si>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</si>
  <si>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</si>
  <si>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</si>
  <si>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</si>
  <si>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</si>
  <si>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</si>
  <si>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</si>
  <si>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Net revenues by reported segment ($ millions)</t>
  </si>
  <si>
    <t>International Smoke-Free</t>
  </si>
  <si>
    <t>% Y/Y</t>
  </si>
  <si>
    <t>% Q/Q</t>
  </si>
  <si>
    <t>% of total net revenues</t>
  </si>
  <si>
    <t>Share change Y/Y (bps)</t>
  </si>
  <si>
    <t>FX impact (% of prior year)</t>
  </si>
  <si>
    <t>M&amp;A / scope (% of prior year)</t>
  </si>
  <si>
    <t>Organic growth = (1+Y/Y)/((1+M&amp;A)*(1+FX))-1</t>
  </si>
  <si>
    <t>International Combustibles</t>
  </si>
  <si>
    <t>Total International</t>
  </si>
  <si>
    <t>U.S.</t>
  </si>
  <si>
    <t>Rounding: consolidated (reported) less segment sum</t>
  </si>
  <si>
    <t>PMI segment figures are individually rounded; 3Q25 segments sum to $10,844m vs reported $10,845m</t>
  </si>
  <si>
    <t>Total net revenues (consolidated)</t>
  </si>
  <si>
    <t>Organic growth, PMI additive definition</t>
  </si>
  <si>
    <t>Matches PMI-reported organic growth (e.g., 2Q26 7.6%)</t>
  </si>
  <si>
    <t>Net revenues by product category ($ millions)</t>
  </si>
  <si>
    <t>Total smoke-free (ISF + U.S. smoke-free incl. Wellness)</t>
  </si>
  <si>
    <t>% of total net revenues (smoke-free mix)</t>
  </si>
  <si>
    <t>Smoke-free mix change Y/Y (bps)</t>
  </si>
  <si>
    <t>Total combustible tobacco (IC + U.S. cigars)</t>
  </si>
  <si>
    <t>Geography: PMI reports quarterly net revenues only as International vs. U.S. (rows above); country detail is annual-only in the 10-K, so no separate Geo tab.</t>
  </si>
  <si>
    <t>Checks</t>
  </si>
  <si>
    <t>Check: product categories + rounding less total (should be 0)</t>
  </si>
  <si>
    <t>Arithmetic identity in every column (U.S. segment = smoke-free + cigars by formula, Segment - U.S. row 58), so it confirms wiring only; not an independent test</t>
  </si>
  <si>
    <t>Net revenues per CapIQ history (Inputs)</t>
  </si>
  <si>
    <t>Formula link to Inputs (PM_history.csv revenue_m_actual)</t>
  </si>
  <si>
    <t>Check: segment sum within $1m of consolidated (0 = OK)</t>
  </si>
  <si>
    <t>Quarters: segments vs CapIQ consolidated, $1m tolerance. FY25 G73: tolerance $1m x summed quarters (G41 = +1 = sum of quarterly rounding). 3Q26E not tested: consolidated = segment sum by construction (J41 = 0)</t>
  </si>
  <si>
    <t>Bridge components and prior-year comparatives (memo, linked from segment tabs)</t>
  </si>
  <si>
    <t>Prior-year net revenues - ISF</t>
  </si>
  <si>
    <t>Currency - ISF</t>
  </si>
  <si>
    <t>Acquisitions / divestitures - ISF</t>
  </si>
  <si>
    <t>Organic change - ISF</t>
  </si>
  <si>
    <t>Prior-year net revenues - IC</t>
  </si>
  <si>
    <t>Currency - IC</t>
  </si>
  <si>
    <t>Acquisitions / divestitures - IC</t>
  </si>
  <si>
    <t>Organic change - IC</t>
  </si>
  <si>
    <t>Prior-year net revenues - U.S.</t>
  </si>
  <si>
    <t>Currency - U.S.</t>
  </si>
  <si>
    <t>Acquisitions / divestitures - U.S.</t>
  </si>
  <si>
    <t>Organic change - U.S.</t>
  </si>
  <si>
    <t>Prior-year net revenues - Total International</t>
  </si>
  <si>
    <t>Currency - Total International</t>
  </si>
  <si>
    <t>Acquisitions / divestitures - Total International</t>
  </si>
  <si>
    <t>Prior-year net revenues - Total PMI</t>
  </si>
  <si>
    <t>Currency - Total PMI</t>
  </si>
  <si>
    <t>Acquisitions / divestitures - Total PMI</t>
  </si>
  <si>
    <t>Organic change - Total PMI</t>
  </si>
  <si>
    <t>Prior-year total smoke-free</t>
  </si>
  <si>
    <t>Prior-year smoke-free mix (%)</t>
  </si>
  <si>
    <t>Prior-year total combustible</t>
  </si>
  <si>
    <t>Segment - International Smoke-Free (HTU, oral, e-vapor outside the U.S.)</t>
  </si>
  <si>
    <t>Shipment volume (million equivalent units)</t>
  </si>
  <si>
    <t>Heated tobacco units (HTU) shipments</t>
  </si>
  <si>
    <t>2025: S3 Sch.1. 1Q26/2Q26 = DERIVED (PY x reported growth rounded to 0.1%: S4 +11.3%, S6 +7.6%), not reported unit counts (issuer discloses only 0.1bn-rounded totals: 41.3bn, 41.8bn). 3Q26E = mgmt 'around 41 billion' (S16)</t>
  </si>
  <si>
    <t>HTU shipment growth, as reported / assumed</t>
  </si>
  <si>
    <t>S4 (Q1: +11.3%), S6 (Q2: +7.6%)</t>
  </si>
  <si>
    <t>Q/Q change (million units)</t>
  </si>
  <si>
    <t>Oral smoke-free products shipments (international)</t>
  </si>
  <si>
    <t>2025: S3 Sch.1. 1Q26/2Q26 = DERIVED (PY x reported rounded growth: S4 -5.1%, S6 -7.0%), not reported unit counts. 3Q26E = PY x assumed growth</t>
  </si>
  <si>
    <t>Oral SFP shipment growth, as reported / assumed</t>
  </si>
  <si>
    <t>S4 (-5.1%), S6 (-7.0%); 3Q26E assumption: Nordic snus decline continues</t>
  </si>
  <si>
    <t>of which nicotine pouches (modern oral)</t>
  </si>
  <si>
    <t>2025: S3 Sch.2. 1Q26 = '0.5 billion pouches' (S4, rounded disclosure); 2Q26 = DERIVED (PY x +14.7%, S6), not a reported unit count</t>
  </si>
  <si>
    <t>Modern oral growth, as reported / assumed</t>
  </si>
  <si>
    <t>S6 (+14.7%); 3Q26E assumption</t>
  </si>
  <si>
    <t>of which snus, moist snuff &amp; other oral</t>
  </si>
  <si>
    <t>E-vapor shipments (VEEV)</t>
  </si>
  <si>
    <t>2025: S3 Sch.1. 1Q26/2Q26 = DERIVED (PY x reported rounded growth: S4 +94.8%, S6 +55.1%), not reported unit counts</t>
  </si>
  <si>
    <t>E-vapor shipment growth, as reported / assumed</t>
  </si>
  <si>
    <t>S4, S6; 3Q26E assumption: growth decelerates on larger base</t>
  </si>
  <si>
    <t>Total International Smoke-Free shipment volume</t>
  </si>
  <si>
    <t>HTU share of segment volume (%)</t>
  </si>
  <si>
    <t>Change Y/Y (bps)</t>
  </si>
  <si>
    <t>E-vapor share of segment volume (%)</t>
  </si>
  <si>
    <t>Net revenues ($ millions) - price / volume bridge</t>
  </si>
  <si>
    <t>Prior-year net revenues</t>
  </si>
  <si>
    <t>2025 quarters: recast 2024 (S3 Sch.3); 2026: links to 2025 columns</t>
  </si>
  <si>
    <t>Price variance</t>
  </si>
  <si>
    <t>S3 Sch.10 (2025); S4, S6 operating review (2026)</t>
  </si>
  <si>
    <t>Volume / mix variance</t>
  </si>
  <si>
    <t>Other variance</t>
  </si>
  <si>
    <t>Organic change</t>
  </si>
  <si>
    <t>Acquisitions / divestitures</t>
  </si>
  <si>
    <t>S6: divestiture of consumer accessories (Q2 -$17m); 3Q26E assumes same run-rate</t>
  </si>
  <si>
    <t>Currency</t>
  </si>
  <si>
    <t>S3 Sch.3; S4/S6</t>
  </si>
  <si>
    <t>Rounding in reported bridge</t>
  </si>
  <si>
    <t>Net revenues - International Smoke-Free</t>
  </si>
  <si>
    <t>S3 Sch.3; S5 Sch.3; S7 Sch.3</t>
  </si>
  <si>
    <t>Total Y/Y (%)</t>
  </si>
  <si>
    <t>Q/Q change ($m)</t>
  </si>
  <si>
    <t>3Q26E: +1% assumption; PMI guided only +$0.01 Q3 EPS currency impact (S17)</t>
  </si>
  <si>
    <t>Price variance (% of prior-year revenue)</t>
  </si>
  <si>
    <t>3Q26E: HTU pricing ~2.5% (1Q26 2.9%, 2Q26 2.5%)</t>
  </si>
  <si>
    <t>Mix effect (vol/mix % less volume growth)</t>
  </si>
  <si>
    <t>3Q26E: devices/VEEV/mix ~ +1.8% (1Q26 +1.0%, 2Q26 +1.3%; 3Q25 +0.7%, 4Q25 +1.9%). Judgment above 1H26 run-rate; ~-$0.005 EPS at 1H26 average</t>
  </si>
  <si>
    <t>Net revenue per thousand units ($)</t>
  </si>
  <si>
    <t>Q/Q change ($ per thousand units)</t>
  </si>
  <si>
    <t>Gross profit ($ millions)</t>
  </si>
  <si>
    <t>Gross profit - International Smoke-Free</t>
  </si>
  <si>
    <t>S3 Sch.4; S5 Sch.4; S7 Sch.5</t>
  </si>
  <si>
    <t>Gross margin (%)</t>
  </si>
  <si>
    <t>3Q26E: 70.4% (3Q25 69.9%, 1Q26 70.0%, 2Q26 70.1%) - scale and pricing</t>
  </si>
  <si>
    <t>Amortization of intangibles in cost of sales</t>
  </si>
  <si>
    <t>S3 Sch.5; S5 Sch.4; S7 Sch.5</t>
  </si>
  <si>
    <t>Adjusted gross profit</t>
  </si>
  <si>
    <t>Adjusted gross margin (%)</t>
  </si>
  <si>
    <t>Prior-year comparatives (memo; recast 2024 for 2025 columns)</t>
  </si>
  <si>
    <t>Prior-year HTU shipments</t>
  </si>
  <si>
    <t>S3 Sch.1</t>
  </si>
  <si>
    <t>Prior-year oral SFP shipments</t>
  </si>
  <si>
    <t>Prior-year nicotine pouches</t>
  </si>
  <si>
    <t>S3 Sch.2</t>
  </si>
  <si>
    <t>Prior-year snus &amp; other oral</t>
  </si>
  <si>
    <t>Prior-year e-vapor shipments</t>
  </si>
  <si>
    <t>Prior-year total segment volume</t>
  </si>
  <si>
    <t>Prior-year HTU share of volume (%)</t>
  </si>
  <si>
    <t>Prior-year e-vapor share of volume (%)</t>
  </si>
  <si>
    <t>Prior-year net revenue per thousand units ($)</t>
  </si>
  <si>
    <t>Prior-year gross profit</t>
  </si>
  <si>
    <t>S3 Sch.4</t>
  </si>
  <si>
    <t>Prior-year gross margin (%)</t>
  </si>
  <si>
    <t>Prior-year adjusted gross profit</t>
  </si>
  <si>
    <t>S3 Sch.5 (2024 adjusted GP)</t>
  </si>
  <si>
    <t>Prior-year adjusted gross margin (%)</t>
  </si>
  <si>
    <t>Segment - International Combustibles (cigarettes outside the U.S.)</t>
  </si>
  <si>
    <t>Shipment volume (million units)</t>
  </si>
  <si>
    <t>Cigarette shipments</t>
  </si>
  <si>
    <t>2025: S3 Sch.1. 1Q26/2Q26 = DERIVED (2025 PY x reported growth rounded to 0.1%: S4 -5.1%, S6 +1.1%), not reported unit counts. Issuer discloses only 0.1bn-rounded totals (S4 137.3bn, S6 156.9bn), so exact units are unavailable; derivation error up to ~±0.05% x PY (e.g. H9 137,370.6 vs 137.3bn disclosed). 3Q26E = 3Q25 x assumed growth (not affected)</t>
  </si>
  <si>
    <t>Cigarette shipment growth, as reported / assumed</t>
  </si>
  <si>
    <t>3Q26E: -2.0% vs soft 3Q25 base (-3.2%); FY26 guide -2% to -3% (S6), 1H26 -1.9%</t>
  </si>
  <si>
    <t>S3 Sch.3</t>
  </si>
  <si>
    <t>S3 Sch.10; S4; S6</t>
  </si>
  <si>
    <t>Other variance (distribution fees)</t>
  </si>
  <si>
    <t>S3 Sch.10 Cost/Other; S4 Other</t>
  </si>
  <si>
    <t>S3 Sch.3; S4; S6</t>
  </si>
  <si>
    <t>Net revenues - International Combustibles</t>
  </si>
  <si>
    <t>3Q26E +1% assumption (S17: Q3 currency EPS impact only +$0.01)</t>
  </si>
  <si>
    <t>Pricing variance (% of prior-year revenue)</t>
  </si>
  <si>
    <t>3Q26E 7.0%: FY26 pricing "&gt;7%" with H2 moderation from ~10% in Q2 (S16)</t>
  </si>
  <si>
    <t>3Q26E -1.5%: judgment; the forecast is conditional on it. Mix is model-derived (vol/mix % of PY revenue less volume growth), not an issuer metric. S16 Slide 19 (Sources B49) is FULL-YEAR: pricing &gt;7%, with the additional benefit 'largely offset by a more adverse geographic mix'; no Q3 mix figure. FY &gt;7% implies H2 pricing &gt;4.9% (H1 9.3%), so J31 7.0% is consistent. But -1.5% is 313bp less adverse than 3Q25 (-4.6%) and outside the 2025-1H26 range (-3.5% to -5.1%, avg -4.5%). Downside if mix = historical average: row 52</t>
  </si>
  <si>
    <t>Net revenue per thousand cigarettes ($)</t>
  </si>
  <si>
    <t>Q/Q change ($ per thousand)</t>
  </si>
  <si>
    <t>Gross profit - International Combustibles</t>
  </si>
  <si>
    <t>3Q26E 67.6% (3Q25 67.2%, 2Q26 67.9%) - pricing partly offset by mix</t>
  </si>
  <si>
    <t>Prior-year cigarette shipments</t>
  </si>
  <si>
    <t>Prior-year net revenue per thousand ($)</t>
  </si>
  <si>
    <t>Sensitivity (not applied): adjusted EPS change if J33 mix = 2025-1H26 average</t>
  </si>
  <si>
    <t>Revenue change x International OCI margin (IS J86), after tax at IS J123, over diluted shares IS J52; forecast EPS unchanged</t>
  </si>
  <si>
    <t>Segment - U.S. (ZYN, other oral, Wellness/Aspeya, cigars)</t>
  </si>
  <si>
    <t>ZYN / nicotine pouch shipments (million pouches)</t>
  </si>
  <si>
    <t>2025: S3 Sch.2. 1Q26/2Q26 = DERIVED (PY x reported rounded growth: 1Q26 -23.5% S4/Bloomberg, 2Q26 +1.8% S6), not reported unit counts (issuer gives only rounded 2.3bn / 2.9bn pouches)</t>
  </si>
  <si>
    <t>ZYN shipment growth, as reported / assumed</t>
  </si>
  <si>
    <t>3Q26E -4%: laps ~250m one-off promotional pouches in Sep-2025 (S16); ex-promo underlying ~+4%</t>
  </si>
  <si>
    <t>Q/Q change (million pouches)</t>
  </si>
  <si>
    <t>Pouches per can (U.S. conversion)</t>
  </si>
  <si>
    <t>S3 glossary: 15 pouches per can in the U.S.</t>
  </si>
  <si>
    <t>ZYN / nicotine pouch shipments (million cans)</t>
  </si>
  <si>
    <t>Other U.S. oral (snus, moist snuff, chew bags)</t>
  </si>
  <si>
    <t>2025: S3 Sch.2. 2026 = DERIVED residual (derived total U.S. oral row 19 less derived ZYN row 9), not reported</t>
  </si>
  <si>
    <t>Other U.S. oral growth (assumed)</t>
  </si>
  <si>
    <t>3Q26E: legacy snus/moist snuff structural decline</t>
  </si>
  <si>
    <t>Total U.S. oral SFP shipments</t>
  </si>
  <si>
    <t>2026 = DERIVED (PY x reported rounded U.S. oral growth: S4 -21.3%, S6 +1.8%), not reported unit counts; U.S. HTU volumes &lt;50m units, excluded</t>
  </si>
  <si>
    <t>U.S. oral SFP growth, as reported</t>
  </si>
  <si>
    <t>S4, S6</t>
  </si>
  <si>
    <t>ZYN share of U.S. oral volume (%)</t>
  </si>
  <si>
    <t>2Q26 I24 = 0bps is a derivation artefact: ZYN (row 9) and total U.S. oral (row 19) both use the same rounded +1.8% growth</t>
  </si>
  <si>
    <t>Net revenues by component ($ millions)</t>
  </si>
  <si>
    <t>Oral nicotine &amp; other smoke-free (excl. Wellness)</t>
  </si>
  <si>
    <t>Currency ($m)</t>
  </si>
  <si>
    <t>Sch.3 (S3/S5/S7): U.S. smoke-free and Wellness currency/scope identical each quarter, so ex-Wellness FX and scope are nil</t>
  </si>
  <si>
    <t>Acquisitions / divestitures ($m)</t>
  </si>
  <si>
    <t>Revenue per thousand oral units, excl. Wellness ($)</t>
  </si>
  <si>
    <t>Revenue per unit change Y/Y (%)</t>
  </si>
  <si>
    <t>3Q26E +18%: laps heavy 3Q25 promotions (price -$255m in 3Q25, S3 Sch.10) but ZYN ULTRA lower price/pouch and H2 promotions</t>
  </si>
  <si>
    <t>Wellness (Aspeya)</t>
  </si>
  <si>
    <t>S3 Sch.3 "of which, Wellness"; S5/S7 Sch.3</t>
  </si>
  <si>
    <t>Wellness growth Y/Y (assumed)</t>
  </si>
  <si>
    <t>3Q26E flat; 2Q26 -1.3% reported</t>
  </si>
  <si>
    <t>U.S. smoke-free net revenues (incl. Wellness)</t>
  </si>
  <si>
    <t>Wellness currency ($m)</t>
  </si>
  <si>
    <t>S3/S5/S7 Sch.3 "of which, Wellness" currency</t>
  </si>
  <si>
    <t>Wellness acquisitions / divestitures ($m)</t>
  </si>
  <si>
    <t>Vectura-related scope (S3 Sch.3)</t>
  </si>
  <si>
    <t>Wellness organic growth = (1+Y/Y)/((1+M&amp;A)*(1+FX))-1</t>
  </si>
  <si>
    <t>U.S. combustible tobacco (cigars)</t>
  </si>
  <si>
    <t>S3 Sch.3; S5/S7 Sch.3</t>
  </si>
  <si>
    <t>Cigar revenue growth Y/Y (assumed)</t>
  </si>
  <si>
    <t>3Q26E: cigar declines continue (2Q26 -8.5%)</t>
  </si>
  <si>
    <t>Sch.3 shows "-" (nil) currency for U.S. combustibles</t>
  </si>
  <si>
    <t>Sch.3 shows "-" (nil)</t>
  </si>
  <si>
    <t>Net revenues - U.S.</t>
  </si>
  <si>
    <t>Prior-year U.S. net revenues (reported)</t>
  </si>
  <si>
    <t>S3 Sch.10; S4; S6 (3Q26E built bottom-up, not by variance)</t>
  </si>
  <si>
    <t>Gross profit - U.S.</t>
  </si>
  <si>
    <t>3Q26E 62.5%: promotions and higher manufacturing costs (3Q25 63.0%, 2Q26 64.8%)</t>
  </si>
  <si>
    <t>Prior-year ZYN shipments (million pouches)</t>
  </si>
  <si>
    <t>Prior-year other U.S. oral</t>
  </si>
  <si>
    <t>Prior-year total U.S. oral</t>
  </si>
  <si>
    <t>Prior-year ZYN share of U.S. oral (%)</t>
  </si>
  <si>
    <t>Prior-year U.S. smoke-free revenue</t>
  </si>
  <si>
    <t>Prior-year Wellness revenue</t>
  </si>
  <si>
    <t>Prior-year smoke-free excl. Wellness</t>
  </si>
  <si>
    <t>Prior-year revenue per thousand oral units ($)</t>
  </si>
  <si>
    <t>Prior-year cigar revenue</t>
  </si>
  <si>
    <t>Income statement (GAAP, 2026 presentation) and adjusted EPS bridge</t>
  </si>
  <si>
    <t>Statement of earnings ($ millions)</t>
  </si>
  <si>
    <t>Net revenues</t>
  </si>
  <si>
    <t>Cost of sales</t>
  </si>
  <si>
    <t>2025 recast for 2026 presentation (S3 Sch.12); S5 Sch.11; S7 Sch.14. 3Q26E J12 is a derived residual (net revenues less segment gross profit), so check J111 holds by construction</t>
  </si>
  <si>
    <t>Gross profit</t>
  </si>
  <si>
    <t>Marketing, administration &amp; research costs</t>
  </si>
  <si>
    <t>S3 Sch.12 (excl. corporate); S5 Sch.11; S7 Sch.14. 3Q26E J17 is a derived residual (gross profit less OCI built from J86 and J96), so check J103 holds by construction; see memo rows 134-147</t>
  </si>
  <si>
    <t>MA&amp;R as % of net revenues</t>
  </si>
  <si>
    <t>Impairment of goodwill</t>
  </si>
  <si>
    <t>Operating companies income (OCI)</t>
  </si>
  <si>
    <t>Corporate expenses &amp; other</t>
  </si>
  <si>
    <t>3Q26E $100m: volatile FX-driven line (3Q25 $40m; 1H26 avg ~$150m)</t>
  </si>
  <si>
    <t>Operating income</t>
  </si>
  <si>
    <t>Operating margin (%)</t>
  </si>
  <si>
    <t>Interest expense, net</t>
  </si>
  <si>
    <t>S8/S9 Sch.12, S5 Sch.11, S7 Sch.14; 3Q26E $240m (tough H2 comps, S16)</t>
  </si>
  <si>
    <t>Pension &amp; other employee benefit (income) costs</t>
  </si>
  <si>
    <t>Earnings before income taxes</t>
  </si>
  <si>
    <t>Provision for income taxes</t>
  </si>
  <si>
    <t>Effective tax rate (%)</t>
  </si>
  <si>
    <t>Impairment related to the RBH equity investment</t>
  </si>
  <si>
    <t>Equity investments &amp; securities (income)/loss, net</t>
  </si>
  <si>
    <t>Includes fair-value marks on India/Sri Lanka stakes (excluded from adjusted EPS)</t>
  </si>
  <si>
    <t>Net earnings</t>
  </si>
  <si>
    <t>Net earnings attributable to noncontrolling interests</t>
  </si>
  <si>
    <t>3Q26E $155m (3Q25 $135m, 2Q26 $168m)</t>
  </si>
  <si>
    <t>Net earnings attributable to PMI</t>
  </si>
  <si>
    <t>Net margin (%)</t>
  </si>
  <si>
    <t>Less: earnings allocated to share-based payment awards</t>
  </si>
  <si>
    <t>Schedule 1 footnotes (S5, S7, S8, S9)</t>
  </si>
  <si>
    <t>Net earnings for basic &amp; diluted EPS</t>
  </si>
  <si>
    <t>Weighted-average basic shares (m)</t>
  </si>
  <si>
    <t>Weighted-average diluted shares (m)</t>
  </si>
  <si>
    <t>Basic EPS (GAAP)</t>
  </si>
  <si>
    <t>Diluted EPS (GAAP)</t>
  </si>
  <si>
    <t>Q/Q change ($ per share)</t>
  </si>
  <si>
    <t>Reported diluted EPS (CapIQ eps_gaap_actual, Inputs)</t>
  </si>
  <si>
    <t>Check: computed less reported GAAP EPS (rounding only)</t>
  </si>
  <si>
    <t>ROUND to cents because PMI reports EPS to 2 decimals</t>
  </si>
  <si>
    <t>GAAP to adjusted (normalized) diluted EPS bridge ($ per share)</t>
  </si>
  <si>
    <t>Reported diluted EPS (GAAP)</t>
  </si>
  <si>
    <t>Amortization of intangibles</t>
  </si>
  <si>
    <t>FY25 as reported (EPS computed independently per period). 3Q26E: amortization only; other items not forecast (unknowable)</t>
  </si>
  <si>
    <t>Restructuring charges</t>
  </si>
  <si>
    <t>Impairment of goodwill and other intangibles</t>
  </si>
  <si>
    <t>Fair value adjustment for equity security investments</t>
  </si>
  <si>
    <t>Income tax impact associated with Swedish Match AB financing</t>
  </si>
  <si>
    <t>Germany excise tax classification litigation charge</t>
  </si>
  <si>
    <t>RBH (Canada) Plan implementation, incl. dividend income, net</t>
  </si>
  <si>
    <t>Impairment of Wellness business related equity investment</t>
  </si>
  <si>
    <t>Loss on expected sale of consumer accessories and other businesses</t>
  </si>
  <si>
    <t>Egypt sales tax settlement adjustment</t>
  </si>
  <si>
    <t>Tax items</t>
  </si>
  <si>
    <t>Total adjustments</t>
  </si>
  <si>
    <t>Adjusted diluted EPS (normalized; CapIQ basis per row 79 history)</t>
  </si>
  <si>
    <t>Adjusted diluted EPS per CapIQ (eps_normalized_actual, Inputs)</t>
  </si>
  <si>
    <t>Check: computed less CapIQ normalized EPS (rounding only)</t>
  </si>
  <si>
    <t>Adjusted net earnings attributable to PMI ($m)</t>
  </si>
  <si>
    <t>Derived, not an issuer-reported line: adjusted EPS x diluted shares + allocation (row 75 x row 52 + row 49). FY25 G80 uses the FY per-share bridge (FY reported adjustments, total $0.28) = 11,784.2; the sum of quarters C80:F80 = 11,768.7 (quarterly adjustments sum to $0.27); the ~15.6 difference is per-share rounding, not an error. Issuer values unchanged</t>
  </si>
  <si>
    <t>Check: adjusted EPS less (adj. NI - allocation)/diluted shares</t>
  </si>
  <si>
    <t>Arithmetic identity in every column: row 80 is defined from row 75, so this row is 0 by construction (confirms formula wiring only; not an independent test)</t>
  </si>
  <si>
    <t>Operating companies income (OCI) by business unit ($ millions)</t>
  </si>
  <si>
    <t>International adjusted OCI</t>
  </si>
  <si>
    <t>International adjusted OCI margin (%)</t>
  </si>
  <si>
    <t>3Q26E 46.5%: judgment; the forecast is conditional on it. +177bp Y/Y vs 3Q25 44.7% (1Q26 +91bp, 2Q26 +159bp) on combustible pricing and HTU scale. Implied Intl adj. opex falls 3.9% Q/Q (J142) and total adj. opex 2.2% (J137), so the S16 Q2-to-Q3 SG&amp;A phasing (Sources B46; amount not disclosed) is NOT in the build. The H2 U.S. step-up (Sources B47) is in U.S. adj. OCI J96 (U.S. opex +13% Q/Q, J145). S16 Q3 guide: 'modest organic margin expansion' (B51; model adj. OI margin +89bp reported, J108; organic not computed). Downside if adj. opex held at 2Q26: J138</t>
  </si>
  <si>
    <t>S3 Sch.11; S5 Sch.8; S7 Sch.10</t>
  </si>
  <si>
    <t>4Q25 F89 +2 = restructuring credit in reported OI (S9 Sch.9; FY25 -241 consistent with G119 tie); EPS bridge F63 +$0.01 charge (S9 EPS reconciliation). Both as reported by the issuer; the difference sits outside OI or is rounding. Historical only</t>
  </si>
  <si>
    <t>RBH (Canada) Plan implementation</t>
  </si>
  <si>
    <t>International OCI (GAAP)</t>
  </si>
  <si>
    <t>S3 Sch.11; S5 Sch.6; S7 Sch.8</t>
  </si>
  <si>
    <t>U.S. adjusted OCI</t>
  </si>
  <si>
    <t>3Q26E $160m: accelerated H2 U.S. investment behind ZYN and IQOS ILUMA prep (S6, S16); 3Q25 $168m, 2Q26 $279m</t>
  </si>
  <si>
    <t>U.S. adjusted OCI margin (%)</t>
  </si>
  <si>
    <t>U.S. OCI (GAAP)</t>
  </si>
  <si>
    <t>Total OCI (International + U.S.)</t>
  </si>
  <si>
    <t>Check: statement OCI vs business-unit OCI within $1m rounding (0 = OK)</t>
  </si>
  <si>
    <t>Quarters: $1m rounding tolerance. FY25 G103: tolerance $1m x summed quarters (COUNT(C21:F21) = 4), because FY flows are sums of rounded quarters (FY gap +1). 3Q26E J103: identity by construction (J17 is a residual), not an independent test</t>
  </si>
  <si>
    <t>Total adjusted OCI</t>
  </si>
  <si>
    <t>Adjusted operating income</t>
  </si>
  <si>
    <t>Adjusted operating margin (%)</t>
  </si>
  <si>
    <t>Total pre-tax OI adjusting items</t>
  </si>
  <si>
    <t>of which amortization of intangibles</t>
  </si>
  <si>
    <t>Check: gross profit vs sum of segment GP within $1m rounding (0 = OK)</t>
  </si>
  <si>
    <t>Quarters: $1m rounding tolerance. FY25 G111: tolerance $1m x summed quarters (COUNT(C13:F13) = 4); FY gap -2 = 1Q25 and 4Q25 quarterly rounding. 3Q26E J111: identity by construction (J12 is a residual), not an independent test</t>
  </si>
  <si>
    <t>Adjusted EBITDA (PMI definition) ($ millions)</t>
  </si>
  <si>
    <t>Depreciation &amp; amortization (Cash Flow Statement)</t>
  </si>
  <si>
    <t>Adjusted EBITDA</t>
  </si>
  <si>
    <t>Net earnings + equity (income)/loss + taxes + interest + RBH impairment + D&amp;A and goodwill impairment + restructuring &amp; other items (S7 Sch.16 definition)</t>
  </si>
  <si>
    <t>Adjusted EBITDA margin (%)</t>
  </si>
  <si>
    <t>Adjusted EBITDA as disclosed (FY25)</t>
  </si>
  <si>
    <t>S9 Sch.14: FY25 adjusted EBITDA $17,375m</t>
  </si>
  <si>
    <t>Check: FY25 build less disclosed (should be 0)</t>
  </si>
  <si>
    <t>3Q26E assumptions below operating income</t>
  </si>
  <si>
    <t>Adjusted earnings before income taxes</t>
  </si>
  <si>
    <t>Adjusted effective tax rate (assumption)</t>
  </si>
  <si>
    <t>FY26 guide ~21.5% ex discrete (S6); 2Q26 implied ~21.9%; tough 3Q25 comp (S16)</t>
  </si>
  <si>
    <t>Tax shield on amortization (assumption)</t>
  </si>
  <si>
    <t>2Q26: $252m pre-tax amortization = $0.13/share after tax (~20% shield)</t>
  </si>
  <si>
    <t>Adjusted equity-investment income, excl. fair-value marks (assumption)</t>
  </si>
  <si>
    <t>Judgment assumption, not a run-rate: above the implied 2025-1H26 history of $22-57m (avg $35m, line-level pre-tax basis, rows 149-156). Fair-value marks not forecast. Downside if set to the average: J156</t>
  </si>
  <si>
    <t>Prior-year comparatives (memo; recast 2024)</t>
  </si>
  <si>
    <t>S3 Sch.12</t>
  </si>
  <si>
    <t>Prior-year corporate expenses &amp; other</t>
  </si>
  <si>
    <t>Prior-year operating income</t>
  </si>
  <si>
    <t>Prior-year operating margin (%)</t>
  </si>
  <si>
    <t>Memo: implied operating expense behind 3Q26E (MA&amp;R J17 is a residual of J86 and J96)</t>
  </si>
  <si>
    <t>Implied adj. opex (GP - adj. OCI)</t>
  </si>
  <si>
    <t>Row 13 less row 104; historical values include any adjusting items recorded in gross profit or MA&amp;R</t>
  </si>
  <si>
    <t>Sensitivity (not applied): adjusted EPS change if implied opex held at 2Q26 level</t>
  </si>
  <si>
    <t>Assumption sensitivity only, after tax at J123 over diluted shares J52; forecast EPS J75 unchanged</t>
  </si>
  <si>
    <t>Memo: implied adjusted opex by business unit (segment gross profit less segment adjusted OCI)</t>
  </si>
  <si>
    <t>International implied adj. opex (ISF GP + IC GP - row 85)</t>
  </si>
  <si>
    <t>International GP from segment tabs (ISF row 62 + IC row 40) less International adjusted OCI (row 85)</t>
  </si>
  <si>
    <t>3Q26E falls Q/Q although S16 says Q2 commercial investments move into Q3 (Sources B46): phasing not reflected in the build</t>
  </si>
  <si>
    <t>U.S. implied adj. opex (U.S. GP - row 96)</t>
  </si>
  <si>
    <t>U.S. GP (U.S. row 75) less U.S. adjusted OCI (row 96); carries the H2 U.S. step-up (Sources B47)</t>
  </si>
  <si>
    <t>Segment-GP rounding vs row 135 (rows 141 + 144 - 135; memo, not a check)</t>
  </si>
  <si>
    <t>Historical values reflect $1m rounding between segment GP and reported GP; 0 for 3Q26E by construction</t>
  </si>
  <si>
    <t>Memo: adjusted equity-investment income implied by history vs the J125 assumption ($ millions)</t>
  </si>
  <si>
    <t>Equity investments &amp; securities income/(loss), GAAP (= -row 39)</t>
  </si>
  <si>
    <t>Equity-line items excluded from adjusted EPS, bridge basis after tax ((rows 65 + 68 + 69) x row 52)</t>
  </si>
  <si>
    <t>Per-share bridge items x diluted shares: fair-value marks (row 65), RBH Plan incl. dividend income (row 68), Wellness equity-investment impairment (row 69); after tax</t>
  </si>
  <si>
    <t>Implied adjusted equity income, bridge basis (approximation; mixes after-tax and line-level amounts)</t>
  </si>
  <si>
    <t>Not used for the sensitivity: 3Q25 RBH item is -$0.10/share after tax (and includes the OCI item in row 91) vs $303m pre-tax in the equity line</t>
  </si>
  <si>
    <t>Equity-line items excluded from adjusted EPS, line-level pre-tax per 10-Q (blank = not in cached sources)</t>
  </si>
  <si>
    <t>Negative = income excluded. 1Q25 FV gain 183 -&gt; -183 (S10); 2Q25 FV gain 342 = 6M 525 less 1Q 183 -&gt; -342 (S11, S10); 3Q25 FV gain 131 (9M 656 less 6M 525) + RBH dividend income net 303 - Wellness impairment 146 = 288 -&gt; -288 (S12, S11); 4Q25 blank (FY pre-tax not in cached sources); 1Q26 FV loss 433 -&gt; +433 (S14); 2Q26 FV gain 125 = 6M loss 308 less 1Q loss 433 -&gt; -125 (S15, S14); 3Q26E 0 (not forecast)</t>
  </si>
  <si>
    <t>Implied adjusted equity income, line-level pre-tax basis (row 150 + row 153)</t>
  </si>
  <si>
    <t>Comparable basis to J125 (equity line sits below the tax provision; tax on FV marks is in row 35)</t>
  </si>
  <si>
    <t>2025-1H26 average of available quarters, line-level basis (row 154; memo in 3Q26E column)</t>
  </si>
  <si>
    <t>Simple average of C154:F154, H154:I154; blank quarters excluded (not zero)</t>
  </si>
  <si>
    <t>Sensitivity (not applied): adjusted EPS change if J125 = row 155 average</t>
  </si>
  <si>
    <t>Assumption sensitivity only: (row 155 - J125) / J52 (no tax: equity line is below the provision); forecast EPS J75 unchanged</t>
  </si>
  <si>
    <t>Balance sheet (as reported, period end)</t>
  </si>
  <si>
    <t>Assets ($ millions)</t>
  </si>
  <si>
    <t>Cash and cash equivalents</t>
  </si>
  <si>
    <t>S10, S11, S12, S13 (R7), S14, S15 balance sheets</t>
  </si>
  <si>
    <t>Trade receivables, net</t>
  </si>
  <si>
    <t>Other receivables, net</t>
  </si>
  <si>
    <t>Inventories - leaf tobacco</t>
  </si>
  <si>
    <t>Inventories - other raw materials</t>
  </si>
  <si>
    <t>Inventories - finished product</t>
  </si>
  <si>
    <t>Total inventories</t>
  </si>
  <si>
    <t>Other current assets</t>
  </si>
  <si>
    <t>Total current assets</t>
  </si>
  <si>
    <t>Property, plant &amp; equipment, at cost</t>
  </si>
  <si>
    <t>Less: accumulated depreciation</t>
  </si>
  <si>
    <t>Property, plant &amp; equipment, net</t>
  </si>
  <si>
    <t>Goodwill</t>
  </si>
  <si>
    <t>Other intangible assets, net</t>
  </si>
  <si>
    <t>Equity investments</t>
  </si>
  <si>
    <t>Deferred income taxes</t>
  </si>
  <si>
    <t>Other assets</t>
  </si>
  <si>
    <t>Total assets</t>
  </si>
  <si>
    <t>Liabilities ($ millions)</t>
  </si>
  <si>
    <t>Short-term borrowings</t>
  </si>
  <si>
    <t>Current portion of long-term debt</t>
  </si>
  <si>
    <t>Accounts payable</t>
  </si>
  <si>
    <t>Accrued - marketing and selling</t>
  </si>
  <si>
    <t>Accrued - taxes, except income taxes</t>
  </si>
  <si>
    <t>Accrued - employment costs</t>
  </si>
  <si>
    <t>Accrued - dividends payable</t>
  </si>
  <si>
    <t>Accrued - other</t>
  </si>
  <si>
    <t>Income taxes</t>
  </si>
  <si>
    <t>Total current liabilities</t>
  </si>
  <si>
    <t>Long-term debt</t>
  </si>
  <si>
    <t>Employment costs</t>
  </si>
  <si>
    <t>Other liabilities</t>
  </si>
  <si>
    <t>Total liabilities</t>
  </si>
  <si>
    <t>Stockholders' (deficit) equity ($ millions)</t>
  </si>
  <si>
    <t>Additional paid-in capital</t>
  </si>
  <si>
    <t>Earnings reinvested in the business</t>
  </si>
  <si>
    <t>Accumulated other comprehensive losses</t>
  </si>
  <si>
    <t>Less: cost of repurchased stock</t>
  </si>
  <si>
    <t>Total PMI stockholders' deficit</t>
  </si>
  <si>
    <t>Noncontrolling interests</t>
  </si>
  <si>
    <t>Total stockholders' (deficit) equity</t>
  </si>
  <si>
    <t>Total liabilities and stockholders' (deficit) equity</t>
  </si>
  <si>
    <t>Check: assets - liabilities - equity (should be 0)</t>
  </si>
  <si>
    <t>Memo</t>
  </si>
  <si>
    <t>Restricted cash (in other current assets)</t>
  </si>
  <si>
    <t>Cash-flow statement footnotes (S10-S15); 1Q25 = CF ending balance less BS cash</t>
  </si>
  <si>
    <t>Cash, equivalents &amp; restricted cash</t>
  </si>
  <si>
    <t>Total debt</t>
  </si>
  <si>
    <t>Net debt</t>
  </si>
  <si>
    <t>Net debt / LTM adjusted EBITDA (x)</t>
  </si>
  <si>
    <t>PMI reported 2.53x at FY25 and 2.35x at 2Q26 (S9, S7)</t>
  </si>
  <si>
    <t>Cash flow statement (discrete quarters derived from reported year-to-date)</t>
  </si>
  <si>
    <t>Operating activities ($ millions, discrete quarter)</t>
  </si>
  <si>
    <t>Depreciation &amp; amortization</t>
  </si>
  <si>
    <t>Impairment of goodwill &amp; other intangibles</t>
  </si>
  <si>
    <t>Losses on sales of businesses</t>
  </si>
  <si>
    <t>Deferred income tax (benefit) provision</t>
  </si>
  <si>
    <t>Restructuring charges, net of cash paid</t>
  </si>
  <si>
    <t>Receivables, net</t>
  </si>
  <si>
    <t>Inventories</t>
  </si>
  <si>
    <t>Accrued liabilities &amp; other current assets</t>
  </si>
  <si>
    <t>Pension plan contributions</t>
  </si>
  <si>
    <t>Other operating</t>
  </si>
  <si>
    <t>3Q26E 0: assumes cash dividends from equity investees equal the $70m equity income (BS J23 held flat) and ignores $5m non-cash pension income; simplification, no EPS effect</t>
  </si>
  <si>
    <t>Net cash provided by (used in) operating activities</t>
  </si>
  <si>
    <t>Investing activities ($ millions, discrete quarter)</t>
  </si>
  <si>
    <t>Capital expenditures</t>
  </si>
  <si>
    <t>Proceeds from sales of businesses, net</t>
  </si>
  <si>
    <t>Debt securities &amp; other investing, net</t>
  </si>
  <si>
    <t>Collateral posted/settlements for derivatives</t>
  </si>
  <si>
    <t>Net cash provided by (used in) investing activities</t>
  </si>
  <si>
    <t>Financing activities ($ millions, discrete quarter)</t>
  </si>
  <si>
    <t>Short-term borrowings, net (maturities &lt;= 90 days)</t>
  </si>
  <si>
    <t>Short-term issuances (maturities &gt; 90 days)</t>
  </si>
  <si>
    <t>Short-term repayments (maturities &gt; 90 days)</t>
  </si>
  <si>
    <t>Long-term debt proceeds</t>
  </si>
  <si>
    <t>Long-term debt repaid</t>
  </si>
  <si>
    <t>Dividends paid</t>
  </si>
  <si>
    <t>Collateral received/settlements for derivatives</t>
  </si>
  <si>
    <t>Noncontrolling interests activity &amp; other</t>
  </si>
  <si>
    <t>Net cash provided by (used in) financing activities</t>
  </si>
  <si>
    <t>Effect of exchange rate changes on cash</t>
  </si>
  <si>
    <t>Net change in cash, cash equivalents &amp; restricted cash</t>
  </si>
  <si>
    <t>Cash, equivalents &amp; restricted cash - beginning</t>
  </si>
  <si>
    <t>S13 cash-flow statement: $4,254m at 31-Dec-2024 (incl. $38m restricted)</t>
  </si>
  <si>
    <t>Cash, equivalents &amp; restricted cash - end</t>
  </si>
  <si>
    <t>Check: CF ending cash less BS cash + restricted cash (should be 0)</t>
  </si>
  <si>
    <t>Historical: independent tie to reported balance sheet. 3Q26E J49: identity by construction (BS J9 cash = CF J48 less restricted cash J57), not an independent test</t>
  </si>
  <si>
    <t>Free cash flow and forecast drivers</t>
  </si>
  <si>
    <t>Operating cash flow less capex (not an issuer-defined FCF)</t>
  </si>
  <si>
    <t>PMI does not define free cash flow in its releases; shown as a memo only</t>
  </si>
  <si>
    <t>Capex as % of net revenues</t>
  </si>
  <si>
    <t>Depreciation (3Q26E assumption)</t>
  </si>
  <si>
    <t>2Q26 D&amp;A $513m less ~$251m amortization</t>
  </si>
  <si>
    <t>Working capital &amp; other inflow (3Q26E assumption)</t>
  </si>
  <si>
    <t>3Q25 implied ~$340m inflow; FY26 OCF guide ~$13.5bn (S6)</t>
  </si>
  <si>
    <t>As reported, year-to-date ($ millions) - source of discrete quarters</t>
  </si>
  <si>
    <t>Columns hold 3M25, 6M25, 9M25, FY25, FY25, 3M26, 6M26 year-to-date figures as filed.</t>
  </si>
  <si>
    <t>Net earnings (YTD)</t>
  </si>
  <si>
    <t>S10, S11, S12, S13 (R9), S14, S15 cash-flow statements</t>
  </si>
  <si>
    <t>Depreciation &amp; amortization (YTD)</t>
  </si>
  <si>
    <t>Impairment of goodwill &amp; other intangibles (YTD)</t>
  </si>
  <si>
    <t>Impairment related to the RBH equity investment (YTD)</t>
  </si>
  <si>
    <t>Losses on sales of businesses (YTD)</t>
  </si>
  <si>
    <t>Deferred income tax (benefit) provision (YTD)</t>
  </si>
  <si>
    <t>Restructuring charges, net of cash paid (YTD)</t>
  </si>
  <si>
    <t>Receivables, net (YTD)</t>
  </si>
  <si>
    <t>Inventories (YTD)</t>
  </si>
  <si>
    <t>Accounts payable (YTD)</t>
  </si>
  <si>
    <t>Accrued liabilities &amp; other current assets (YTD)</t>
  </si>
  <si>
    <t>Income taxes (YTD)</t>
  </si>
  <si>
    <t>Pension plan contributions (YTD)</t>
  </si>
  <si>
    <t>Other operating (YTD)</t>
  </si>
  <si>
    <t>Capital expenditures (YTD)</t>
  </si>
  <si>
    <t>Proceeds from sales of businesses, net (YTD)</t>
  </si>
  <si>
    <t>Debt securities &amp; other investing, net (YTD)</t>
  </si>
  <si>
    <t>Equity investments (YTD)</t>
  </si>
  <si>
    <t>Collateral posted/settlements for derivatives (YTD)</t>
  </si>
  <si>
    <t>Short-term borrowings, net (maturities &lt;= 90 days) (YTD)</t>
  </si>
  <si>
    <t>Short-term issuances (maturities &gt; 90 days) (YTD)</t>
  </si>
  <si>
    <t>Short-term repayments (maturities &gt; 90 days) (YTD)</t>
  </si>
  <si>
    <t>Long-term debt proceeds (YTD)</t>
  </si>
  <si>
    <t>Long-term debt repaid (YTD)</t>
  </si>
  <si>
    <t>Dividends paid (YTD)</t>
  </si>
  <si>
    <t>Collateral received/settlements for derivatives (YTD)</t>
  </si>
  <si>
    <t>Noncontrolling interests activity &amp; other (YTD)</t>
  </si>
  <si>
    <t>Effect of exchange rate changes on cash (YTD)</t>
  </si>
  <si>
    <t>Net cash from operating activities (YTD)</t>
  </si>
  <si>
    <t>Net cash from operating activities as reported (YTD)</t>
  </si>
  <si>
    <t>Check: YTD build less reported operating cash flow (should be 0)</t>
  </si>
  <si>
    <t>Share count</t>
  </si>
  <si>
    <t>Millions of shares, except per share</t>
  </si>
  <si>
    <t>Shares outstanding (millions)</t>
  </si>
  <si>
    <t>Common shares issued</t>
  </si>
  <si>
    <t>S10-S15 balance sheets: 2,109,316,331 shares issued</t>
  </si>
  <si>
    <t>Treasury (repurchased) shares</t>
  </si>
  <si>
    <t>S10, S11, S12, S13, S14, S15 balance-sheet captions</t>
  </si>
  <si>
    <t>Shares outstanding at period end</t>
  </si>
  <si>
    <t>Q/Q change (net issuance from stock awards)</t>
  </si>
  <si>
    <t>Shares repurchased</t>
  </si>
  <si>
    <t>No repurchases in 2025-1H26 cash flows; 2026 guidance: "No share repurchases" (S6)</t>
  </si>
  <si>
    <t>Shares issued under stock awards (forecast)</t>
  </si>
  <si>
    <t>3Q26E: immaterial</t>
  </si>
  <si>
    <t>Shares outstanding per 10-Q cover (17-Jul-2026)</t>
  </si>
  <si>
    <t>S15 cover: 1,558,613,439 shares at July 17, 2026</t>
  </si>
  <si>
    <t>Weighted-average shares (millions)</t>
  </si>
  <si>
    <t>Weighted-average basic shares</t>
  </si>
  <si>
    <t>S5/S7/S8/S9 Schedule 1 footnote; FY25 reported 1,556 (not a sum). 3Q26E J18 = average of period-end counts (approximation, retained). Reported basic ran ~0.4m above that average in 3Q25, 1Q26 and 2Q26; applying the offset (~1,560.0m diluted) would lower EPS by ~$0.0006 (sensitivity only, not applied)</t>
  </si>
  <si>
    <t>Dilutive performance share units</t>
  </si>
  <si>
    <t>3Q26E: 1m (1-2m in recent quarters)</t>
  </si>
  <si>
    <t>Weighted-average diluted shares</t>
  </si>
  <si>
    <t>S5/S7/S8/S9 Schedule 1 footnote</t>
  </si>
  <si>
    <t>Q/Q change</t>
  </si>
  <si>
    <t>Share count behind forecast EPS (diluted)</t>
  </si>
  <si>
    <t>Dividends</t>
  </si>
  <si>
    <t>Dividends declared per share ($)</t>
  </si>
  <si>
    <t>S12 9M25 $4.17; S11 1H25 $2.70; 3Q26 $1.60 declared 18-Sep-2026, record 2-Oct, payable 26-Oct (S30)</t>
  </si>
  <si>
    <t>Dividends declared ($m, forecast = DPS x shares outstanding)</t>
  </si>
  <si>
    <t>Guidance history (PMI adjusted diluted EPS and 2026 assumptions)</t>
  </si>
  <si>
    <t>$ per share unless stated</t>
  </si>
  <si>
    <t>Adj. EPS guidance ($/share)</t>
  </si>
  <si>
    <t>Date</t>
  </si>
  <si>
    <t>Low</t>
  </si>
  <si>
    <t>High</t>
  </si>
  <si>
    <t>Midpoint</t>
  </si>
  <si>
    <t>Actual / est.</t>
  </si>
  <si>
    <t>vs. midpoint</t>
  </si>
  <si>
    <t>Beat / miss</t>
  </si>
  <si>
    <t>Source</t>
  </si>
  <si>
    <t>Adj. diluted EPS - 9M25 actual (reported)</t>
  </si>
  <si>
    <t>9M25</t>
  </si>
  <si>
    <t>S8 Sch.2: 9M25 adjusted diluted EPS $5.83</t>
  </si>
  <si>
    <t>Adj. diluted EPS - 1Q25</t>
  </si>
  <si>
    <t>1Q25</t>
  </si>
  <si>
    <t>S22</t>
  </si>
  <si>
    <t>Adj. diluted EPS - 2Q25</t>
  </si>
  <si>
    <t>2Q25</t>
  </si>
  <si>
    <t>S21</t>
  </si>
  <si>
    <t>Adj. diluted EPS - 3Q25</t>
  </si>
  <si>
    <t>3Q25</t>
  </si>
  <si>
    <t>S20</t>
  </si>
  <si>
    <t>Adj. diluted EPS - FY25</t>
  </si>
  <si>
    <t>FY25</t>
  </si>
  <si>
    <t>S23</t>
  </si>
  <si>
    <t>Adj. diluted EPS - 4Q25 (implied: FY25 guide less 9M25 actual $5.83)</t>
  </si>
  <si>
    <t>4Q25</t>
  </si>
  <si>
    <t>S23 / S8</t>
  </si>
  <si>
    <t>Adj. diluted EPS - 1Q26</t>
  </si>
  <si>
    <t>1Q26</t>
  </si>
  <si>
    <t>S18</t>
  </si>
  <si>
    <t>Adj. diluted EPS - FY26 (initial)</t>
  </si>
  <si>
    <t>FY26</t>
  </si>
  <si>
    <t>Adj. diluted EPS - 2Q26 (initial)</t>
  </si>
  <si>
    <t>2Q26</t>
  </si>
  <si>
    <t>S4</t>
  </si>
  <si>
    <t>Adj. diluted EPS - FY26</t>
  </si>
  <si>
    <t>Adj. diluted EPS - 2Q26 (currency update)</t>
  </si>
  <si>
    <t>S19</t>
  </si>
  <si>
    <t>Adj. diluted EPS - 3Q26 (initial)</t>
  </si>
  <si>
    <t>3Q26</t>
  </si>
  <si>
    <t>S6</t>
  </si>
  <si>
    <t>Adj. diluted EPS - 3Q26 (currency update, latest)</t>
  </si>
  <si>
    <t>S17</t>
  </si>
  <si>
    <t>Adj. diluted EPS - FY26 (latest)</t>
  </si>
  <si>
    <t>Average actual less guidance midpoint, explicit quarterly guides 1Q25-2Q26</t>
  </si>
  <si>
    <t>Uses latest guide before each report (2Q26 = 2-Jun update). Quarterly 'Actual' cells H10:H12, H14, H15, H17, H19 = issuer-reported adjusted diluted EPS (Inputs row 12, 2dp); FY25 H13 = IS G75 FY bridge</t>
  </si>
  <si>
    <t>FY26 operating assumptions</t>
  </si>
  <si>
    <t>Organic net revenue growth (%)</t>
  </si>
  <si>
    <t>S6, S16</t>
  </si>
  <si>
    <t>Organic operating income growth (%)</t>
  </si>
  <si>
    <t>Cigarette shipment volume change (%)</t>
  </si>
  <si>
    <t>Effective tax rate excl. discrete items (%)</t>
  </si>
  <si>
    <t>Operating cash flow ($m)</t>
  </si>
  <si>
    <t>Capital expenditures ($m)</t>
  </si>
  <si>
    <t>3Q26 HTU shipments (million units, mgmt "around 41 billion")</t>
  </si>
  <si>
    <t>Inputs - attached S&amp;P Capital IQ files (raw, unmodified)</t>
  </si>
  <si>
    <t>As provided; USD, $ millions, $ per share</t>
  </si>
  <si>
    <t>PM_history.csv - six-quarter history (one column per quarter; raw values)</t>
  </si>
  <si>
    <t>period_end_date</t>
  </si>
  <si>
    <t>PM_history.csv row values (file S1)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</si>
  <si>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</si>
  <si>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</si>
  <si>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</si>
  <si>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</si>
  <si>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</si>
  <si>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</si>
  <si>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</si>
  <si>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EPS surprise, $ (actual - consensus)</t>
  </si>
  <si>
    <t>Strict beat (1 = actual &gt; consensus)</t>
  </si>
  <si>
    <t>Revenue surprise (%)</t>
  </si>
  <si>
    <t>PM_consensus.json - top-level fields</t>
  </si>
  <si>
    <t>Value</t>
  </si>
  <si>
    <t>source</t>
  </si>
  <si>
    <t>S&amp;P Capital IQ</t>
  </si>
  <si>
    <t>ticker</t>
  </si>
  <si>
    <t>PM</t>
  </si>
  <si>
    <t>company</t>
  </si>
  <si>
    <t>fiscal_period</t>
  </si>
  <si>
    <t>FQ3 2026 - Sep 2026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</si>
  <si>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</si>
  <si>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</si>
  <si>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</si>
  <si>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</si>
  <si>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</si>
  <si>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</si>
  <si>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</si>
  <si>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</si>
  <si>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</si>
  <si>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</si>
  <si>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</si>
  <si>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</si>
  <si>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</si>
  <si>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</si>
  <si>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</si>
  <si>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</si>
  <si>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</si>
  <si>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</si>
  <si>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</si>
  <si>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</si>
  <si>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</si>
  <si>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PM_consensus.json - summary_row (complete; blank source values left blank)</t>
  </si>
  <si>
    <t>company_name</t>
  </si>
  <si>
    <t>exchange_ticker</t>
  </si>
  <si>
    <t>NYSE:PM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</si>
  <si>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</si>
  <si>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</si>
  <si>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</si>
  <si>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</si>
  <si>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</si>
  <si>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</si>
  <si>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</si>
  <si>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</si>
  <si>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</si>
  <si>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</si>
  <si>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</si>
  <si>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blank in source - unavailable, not zero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</si>
  <si>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</si>
  <si>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</si>
  <si>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</si>
  <si>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</si>
  <si>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</si>
  <si>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</si>
  <si>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</si>
  <si>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</si>
  <si>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</si>
  <si>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</si>
  <si>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</si>
  <si>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</si>
  <si>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</si>
  <si>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</si>
  <si>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</si>
  <si>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</si>
  <si>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</si>
  <si>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</si>
  <si>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</si>
  <si>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</si>
  <si>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</si>
  <si>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</si>
  <si>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</si>
  <si>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</si>
  <si>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</si>
  <si>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</si>
  <si>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</si>
  <si>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</si>
  <si>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</si>
  <si>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</si>
  <si>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</si>
  <si>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</si>
  <si>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</si>
  <si>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</si>
  <si>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</si>
  <si>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</si>
  <si>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</si>
  <si>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</si>
  <si>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</si>
  <si>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</si>
  <si>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</si>
  <si>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</si>
  <si>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</si>
  <si>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</si>
  <si>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</si>
  <si>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</si>
  <si>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</si>
  <si>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</si>
  <si>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</si>
  <si>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</si>
  <si>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</si>
  <si>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</si>
  <si>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</si>
  <si>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</si>
  <si>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210.45/142.11</t>
  </si>
  <si>
    <t>estimates_captured_at</t>
  </si>
  <si>
    <t>notes</t>
  </si>
  <si>
    <t>only 8 of 12 contributors file normalized EPS for the quarter and just 3 of 5 file GAAP, so both panels are thin for a company this size; a GAAP EPS "Guidance 1.60" value looks like a different line item and was excluded</t>
  </si>
  <si>
    <t>Market data and size-aware prior (forecasting playbook section 7)</t>
  </si>
  <si>
    <t>Last close price, USD (CapIQ, 18-Oct-2026)</t>
  </si>
  <si>
    <t>Shares outstanding, millions (10-Q cover, 17-Jul-2026)</t>
  </si>
  <si>
    <t>Market capitalization, $ billions (price x shares)</t>
  </si>
  <si>
    <t>Computed from CapIQ last close (18-Oct-2026) and 10-Q cover share count</t>
  </si>
  <si>
    <t>Large-cap threshold, $ billions (playbook)</t>
  </si>
  <si>
    <t>Mid-cap threshold, $ billions (playbook)</t>
  </si>
  <si>
    <t>Cohort prior - large cap or S&amp;P 500 (playbook)</t>
  </si>
  <si>
    <t>Cohort prior - mid cap (playbook)</t>
  </si>
  <si>
    <t>Cohort prior - small cap (playbook)</t>
  </si>
  <si>
    <t>Size bucket</t>
  </si>
  <si>
    <t>S&amp;P 500 member</t>
  </si>
  <si>
    <t>Yes</t>
  </si>
  <si>
    <t>whichindex.com (16-Oct-2026); S&amp;P 500 member since 31-Mar-2008 (S26)</t>
  </si>
  <si>
    <t>Cohort prior</t>
  </si>
  <si>
    <t>b = strict beats in six CapIQ pairs</t>
  </si>
  <si>
    <t>n = valid pairs</t>
  </si>
  <si>
    <t>Pseudo-observations</t>
  </si>
  <si>
    <t>Starting P(beat) = (k x prior + b) / (k + n)</t>
  </si>
  <si>
    <t>Mean historical surprise, $ per share</t>
  </si>
  <si>
    <t>Implied quarter-specific evidence adjustment (final less starting)</t>
  </si>
  <si>
    <t>Final P(beat consensus EPS)</t>
  </si>
  <si>
    <t>Judgment: start 80.3% (C127) less ~6pp for SG&amp;A phasing, stepped-up U.S. spend, tough tax and ZYN-promo comps; not revised toward consensus. Conditional on the stated assumptions IC J33 (-1.5% mix), IS J86 (46.5% Intl adj. OCI margin) and IS J125 ($70m equity income). The +$0.025 margin over the $2.32 consensus is smaller than the IC J52 (-$0.044) and IS J138 (-$0.030) downsides and the combined ~-$0.10; IS J156 alone (-$0.022) would leave EPS at ~$2.32. The ~6pp haircut does not fully price these. These are forward judgments, not source errors</t>
  </si>
  <si>
    <t>medium</t>
  </si>
  <si>
    <t>Sources</t>
  </si>
  <si>
    <t>Publication dates precede the 18-Oct-2026 21:34 UTC information cutoff</t>
  </si>
  <si>
    <t>Document</t>
  </si>
  <si>
    <t>ID</t>
  </si>
  <si>
    <t>Published</t>
  </si>
  <si>
    <t>Publisher</t>
  </si>
  <si>
    <t>What it feeds</t>
  </si>
  <si>
    <t>URL or file</t>
  </si>
  <si>
    <t>PM_history.csv (attached)</t>
  </si>
  <si>
    <t>S1</t>
  </si>
  <si>
    <t>Inputs history; revenue/EPS checks; prior calibration</t>
  </si>
  <si>
    <t>workspace/PM_history.csv</t>
  </si>
  <si>
    <t>PM_consensus.json (attached)</t>
  </si>
  <si>
    <t>S2</t>
  </si>
  <si>
    <t>Cover consensus at cutoff; Inputs summary row</t>
  </si>
  <si>
    <t>workspace/PM_consensus.json</t>
  </si>
  <si>
    <t>Recast 2023-25 schedules for new segments</t>
  </si>
  <si>
    <t>S3</t>
  </si>
  <si>
    <t>PMI (8-K Ex.99.1)</t>
  </si>
  <si>
    <t>2025 segment volumes, bridges, GP, OCI; 2024 comps</t>
  </si>
  <si>
    <t>https://www.sec.gov/Archives/edgar/data/1413329/000162828026017497/ex991recastschedules_2025v.htm</t>
  </si>
  <si>
    <t>1Q26 earnings release</t>
  </si>
  <si>
    <t>1Q26 volume growth, variances; 2Q26/FY26 guidance</t>
  </si>
  <si>
    <t>https://www.sec.gov/Archives/edgar/data/1413329/000162828026026385/earningsreleasepm-ex991xq1.htm</t>
  </si>
  <si>
    <t>1Q26 financial schedules</t>
  </si>
  <si>
    <t>S5</t>
  </si>
  <si>
    <t>PMI (8-K Ex.99.2)</t>
  </si>
  <si>
    <t>1Q26 IS, segment revenue/GP/OCI, EPS bridge, shares</t>
  </si>
  <si>
    <t>https://www.sec.gov/Archives/edgar/data/1413329/000162828026026385/glossaryselectfininfoandno.htm</t>
  </si>
  <si>
    <t>2Q26 earnings release</t>
  </si>
  <si>
    <t>2Q26 volumes, variances; FY26 guide; 3Q26 $2.20-2.25</t>
  </si>
  <si>
    <t>https://www.sec.gov/Archives/edgar/data/1413329/000162828026049107/earningsreleasepm-ex991xq2.htm</t>
  </si>
  <si>
    <t>2Q26 financial schedules</t>
  </si>
  <si>
    <t>S7</t>
  </si>
  <si>
    <t>2Q26 IS, segment data, EPS bridge, EBITDA, BS summary</t>
  </si>
  <si>
    <t>https://www.sec.gov/Archives/edgar/data/1413329/000162828026049107/glossaryselectfininfoandno.htm</t>
  </si>
  <si>
    <t>3Q25 financial schedules</t>
  </si>
  <si>
    <t>S8</t>
  </si>
  <si>
    <t>3Q25 below-OI lines, EPS bridge, shares</t>
  </si>
  <si>
    <t>https://www.sec.gov/Archives/edgar/data/1413329/000162828025045579/glossaryselectfininfoandno.htm</t>
  </si>
  <si>
    <t>4Q25/FY25 financial schedules</t>
  </si>
  <si>
    <t>S9</t>
  </si>
  <si>
    <t>4Q25 and FY25 IS, EPS bridge, shares, EBITDA</t>
  </si>
  <si>
    <t>https://www.sec.gov/Archives/edgar/data/1413329/000162828026005932/glossaryselectfininfoandno.htm</t>
  </si>
  <si>
    <t>10-Q 1Q25</t>
  </si>
  <si>
    <t>S10</t>
  </si>
  <si>
    <t>PMI (10-Q)</t>
  </si>
  <si>
    <t>Balance sheet Mar-25; treasury shares</t>
  </si>
  <si>
    <t>https://www.sec.gov/Archives/edgar/data/1413329/000141332925000094/pm-20250331.htm</t>
  </si>
  <si>
    <t>10-Q 2Q25</t>
  </si>
  <si>
    <t>S11</t>
  </si>
  <si>
    <t>Balance sheet Jun-25; 6M25 cash flow</t>
  </si>
  <si>
    <t>https://www.sec.gov/Archives/edgar/data/1413329/000141332925000150/pm-20250630.htm</t>
  </si>
  <si>
    <t>10-Q 3Q25</t>
  </si>
  <si>
    <t>S12</t>
  </si>
  <si>
    <t>Balance sheet Sep-25; 9M25 cash flow</t>
  </si>
  <si>
    <t>https://www.sec.gov/Archives/edgar/data/1413329/000162828025046179/pm-20250930.htm</t>
  </si>
  <si>
    <t>10-K FY25 (XBRL R7 balance sheet, R9 cash flow)</t>
  </si>
  <si>
    <t>S13</t>
  </si>
  <si>
    <t>PMI (10-K)</t>
  </si>
  <si>
    <t>Balance sheet Dec-25; FY25 cash flow</t>
  </si>
  <si>
    <t>https://www.sec.gov/Archives/edgar/data/1413329/000162828026005939/R9.htm</t>
  </si>
  <si>
    <t>10-Q 1Q26</t>
  </si>
  <si>
    <t>S14</t>
  </si>
  <si>
    <t>Balance sheet Mar-26; 3M26 and restated 3M25 cash flow</t>
  </si>
  <si>
    <t>https://www.sec.gov/Archives/edgar/data/1413329/000162828026027019/pm-20260331.htm</t>
  </si>
  <si>
    <t>10-Q 2Q26</t>
  </si>
  <si>
    <t>S15</t>
  </si>
  <si>
    <t>BS Jun-26; 6M26/6M25 cash flow; cover share count</t>
  </si>
  <si>
    <t>https://www.sec.gov/Archives/edgar/data/1413329/000162828026049493/pm-20260630.htm</t>
  </si>
  <si>
    <t>2Q26 earnings call script</t>
  </si>
  <si>
    <t>PMI (via Tobacco Insider)</t>
  </si>
  <si>
    <t>3Q26 color: HTU ~41bn, MSD organic, SG&amp;A phasing, comps</t>
  </si>
  <si>
    <t>https://tobaccoinsider.com/wp-content/uploads/2026/07/PMI-Earnings-Script-Q2-2026-FINAL.pdf</t>
  </si>
  <si>
    <t>Barclays conference: FY26 and 3Q26 EPS forecast raised for currency only</t>
  </si>
  <si>
    <t>PMI press release</t>
  </si>
  <si>
    <t>3Q26 guidance $2.29-2.34 incl. +$0.01 FX; FY26 $8.35-8.50</t>
  </si>
  <si>
    <t>https://www.pmi.com/investor-relations/press-releases-and-events/press-releases-overview/press-release-details?newsId=30381</t>
  </si>
  <si>
    <t>4Q25 earnings release</t>
  </si>
  <si>
    <t>FY26 initial guidance; 1Q26 guidance $1.80-1.85</t>
  </si>
  <si>
    <t>https://www.sec.gov/Archives/edgar/data/1413329/000162828026005932/earningsreleasepm-ex991xq4.htm</t>
  </si>
  <si>
    <t>dbAccess conference release</t>
  </si>
  <si>
    <t>PMI (8-K)</t>
  </si>
  <si>
    <t>2Q26 guidance updated to $1.97-2.02</t>
  </si>
  <si>
    <t>https://www.sec.gov/Archives/edgar/data/1413329/000162828026039666/a2026-06x02xdbconference_r.htm</t>
  </si>
  <si>
    <t>2Q25 earnings release</t>
  </si>
  <si>
    <t>3Q25 guidance $2.08-2.13</t>
  </si>
  <si>
    <t>https://www.sec.gov/Archives/edgar/data/1413329/000141332925000145/earningsreleasepm-ex991xq2.htm</t>
  </si>
  <si>
    <t>1Q25 earnings release</t>
  </si>
  <si>
    <t>2Q25 guidance $1.80-1.85</t>
  </si>
  <si>
    <t>https://www.pmi.com/investor-relations/press-releases-and-events/press-releases-overview/press-release-details?newsId=28756</t>
  </si>
  <si>
    <t>4Q24 earnings release</t>
  </si>
  <si>
    <t>1Q25 guidance $1.58-1.63</t>
  </si>
  <si>
    <t>https://www.sec.gov/Archives/edgar/data/1413329/000141332925000011/earningsreleasepm-ex991xfy.htm</t>
  </si>
  <si>
    <t>3Q25 earnings release</t>
  </si>
  <si>
    <t>FY25 guidance $7.46-7.56 (implied 4Q25)</t>
  </si>
  <si>
    <t>https://www.sec.gov/Archives/edgar/data/1413329/000162828025045579/earningsreleasepm-ex991xq3.htm</t>
  </si>
  <si>
    <t>Webcast notice: 3Q26 results on 21-Oct-2026 ~7:00 a.m. ET</t>
  </si>
  <si>
    <t>S24</t>
  </si>
  <si>
    <t>PMI / Business Wire</t>
  </si>
  <si>
    <t>Cover expected report date (confirmed by issuer)</t>
  </si>
  <si>
    <t>https://www.pmi.com/media-center/press-releases/press-details?newsId=30436</t>
  </si>
  <si>
    <t>3Q26 preview: EPS $2.32, revenue $11.38bn, 8 analysts</t>
  </si>
  <si>
    <t>S25</t>
  </si>
  <si>
    <t>AlphaStreet</t>
  </si>
  <si>
    <t>Cover newer-consensus memo (not used as baseline)</t>
  </si>
  <si>
    <t>https://news.alphastreet.com/philip-morris-international-pm-q3-2026-preview-eps-est-2-32-reports-october-21/</t>
  </si>
  <si>
    <t>PM index memberships (S&amp;P 500)</t>
  </si>
  <si>
    <t>S26</t>
  </si>
  <si>
    <t>whichindex.com</t>
  </si>
  <si>
    <t>Inputs prior calibration: S&amp;P 500 membership</t>
  </si>
  <si>
    <t>https://whichindex.com/companies/philip-morris-international/</t>
  </si>
  <si>
    <t>3Q26 preview: EPS $2.31, revenue $11.42bn</t>
  </si>
  <si>
    <t>S27</t>
  </si>
  <si>
    <t>Zacks via Yahoo Finance</t>
  </si>
  <si>
    <t>https://finance.yahoo.com/markets/stocks/articles/philip-morris-q3-earnings-deck-145000666.html</t>
  </si>
  <si>
    <t>3Q26 estimate: EPS $2.29, revenue $11.32bn</t>
  </si>
  <si>
    <t>S28</t>
  </si>
  <si>
    <t>TradingView</t>
  </si>
  <si>
    <t>https://www.tradingview.com/news/tradingview:959e8cc482fdd:0-pm-q3-26-earnings-revenue-estimate-is-11-32b-usd/</t>
  </si>
  <si>
    <t>ZYN 2Q26 growth slowdown vs Velo Plus / on! Plus</t>
  </si>
  <si>
    <t>S29</t>
  </si>
  <si>
    <t>PouchDaily</t>
  </si>
  <si>
    <t>U.S. ZYN volume assumption context</t>
  </si>
  <si>
    <t>https://pouchdaily.com/article/pmi-q2-2026-zyn-growth-slows-velo-on-competition</t>
  </si>
  <si>
    <t>Dividend raised 8.8% to $1.60 per quarter</t>
  </si>
  <si>
    <t>S30</t>
  </si>
  <si>
    <t>PMI press release (8-K)</t>
  </si>
  <si>
    <t>3Q26 dividend declared; BS dividends payable</t>
  </si>
  <si>
    <t>https://www.pmi.com/media-center/press-releases/press-details?newsId=30411</t>
  </si>
  <si>
    <t>Tabs checked and omitted</t>
  </si>
  <si>
    <t>Geo tab omitted: 10-Q 2Q26 (S15) and Ex.99.2 (S7) give quarterly revenue only for International vs. U.S.; that split sits on Revenue summary.</t>
  </si>
  <si>
    <t>Customer/subscriber ladder not applicable: PMI reports shipment volumes, pricing and mix (used as segment drivers), not customers or subscribers (S7).</t>
  </si>
  <si>
    <t>Consensus and Checks tabs intentionally absent: consensus at cutoff is on the Cover; the named check list is in Cover!K24.</t>
  </si>
  <si>
    <t>S16 verbatim excerpts used as 3Q26E drivers (2Q26 call script, published 22-Jul-2026; slide references from the script text)</t>
  </si>
  <si>
    <t>Slide 5 (SG&amp;A phasing): "a combination of SG&amp;A phasing, as certain commercial investments previously anticipated in Q2 are now expected to occur in Q3"</t>
  </si>
  <si>
    <t>Slide 10 (H2 SG&amp;A): "We now expect higher SG&amp;A costs in the second half than previously anticipated, as we made the strategic decision to step-up our U.S. growth investments."</t>
  </si>
  <si>
    <t>Slide 17 (ZYN comp): "volume comparisons in Q3 will be impacted by the one-off promotional activity in September of last year, which accounted for around 250 million pouches."</t>
  </si>
  <si>
    <t>Slide 19 (combustibles): "we now forecast a pricing variance of more than 7% for the full year, although we expect this additional benefit will be largely offset by a more adverse geographic mix"</t>
  </si>
  <si>
    <t>Slide 20 (H2 comps): "noting challenging H2 comparisons on net finance costs and the effective tax rate."</t>
  </si>
  <si>
    <t>Slide 20 (Q3): "For Q3 specifically, we expect HTU shipment volumes of around 41 billion units." ... "For PMI overall we forecast mid single-digit Q3 organic top-line growth with modest organic margin expansion."</t>
  </si>
</sst>
</file>

<file path=xl/styles.xml><?xml version="1.0" encoding="utf-8"?>
<styleSheet xmlns="http://schemas.openxmlformats.org/spreadsheetml/2006/main">
  <numFmts count="12">
    <numFmt numFmtId="164" formatCode="#,##0.0_);(#,##0.0);–_)"/>
    <numFmt numFmtId="165" formatCode="0"/>
    <numFmt numFmtId="166" formatCode="yyyy-mm-dd"/>
    <numFmt numFmtId="167" formatCode="@"/>
    <numFmt numFmtId="168" formatCode="$0.00_);($0.00);–_)"/>
    <numFmt numFmtId="169" formatCode="0.0%_);(0.0%);–_)"/>
    <numFmt numFmtId="170" formatCode="#,##0_);(#,##0);–_)"/>
    <numFmt numFmtId="171" formatCode="0.0%"/>
    <numFmt numFmtId="172" formatCode="#,##0.00_);(#,##0.00);–_)"/>
    <numFmt numFmtId="173" formatCode="0.0x"/>
    <numFmt numFmtId="174" formatCode="General"/>
    <numFmt numFmtId="175" formatCode="$0.000_);($0.000);–_)"/>
  </numFmts>
  <fonts count="40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595959"/>
      <name val="Arial"/>
    </font>
    <font>
      <b/>
      <i/>
      <strike val="0"/>
      <sz val="10"/>
      <color rgb="FF595959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1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u/>
      <sz val="10"/>
      <color rgb="FF000000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595959"/>
      <name val="Arial"/>
    </font>
    <font>
      <b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theme="1"/>
      <name val="Arial"/>
      <family val="2"/>
      <scheme val="minor"/>
    </font>
    <font>
      <b/>
      <i val="0"/>
      <strike val="0"/>
      <u/>
      <sz val="10"/>
      <color rgb="FF000000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theme="1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Calibri"/>
      <family val="2"/>
      <scheme val="minor"/>
    </font>
    <font>
      <b val="0"/>
      <i val="0"/>
      <strike val="0"/>
      <sz val="11"/>
      <color theme="1"/>
      <name val="Calibri"/>
      <family val="2"/>
      <scheme val="minor"/>
    </font>
    <font>
      <b val="0"/>
      <i/>
      <strike val="0"/>
      <sz val="11"/>
      <color theme="1"/>
      <name val="Calibri"/>
      <family val="2"/>
      <scheme val="minor"/>
    </font>
    <font>
      <b val="0"/>
      <i val="0"/>
      <strike val="0"/>
      <sz val="11"/>
      <color rgb="FF0000FF"/>
      <name val="Calibri"/>
      <family val="2"/>
      <scheme val="minor"/>
    </font>
    <font>
      <b val="0"/>
      <i val="0"/>
      <strike val="0"/>
      <sz val="11"/>
      <color rgb="FF000000"/>
      <name val="Calibri"/>
      <family val="2"/>
      <scheme val="minor"/>
    </font>
    <font>
      <b val="0"/>
      <i/>
      <strike val="0"/>
      <sz val="11"/>
      <color rgb="FF595959"/>
      <name val="Calibri"/>
      <family val="2"/>
      <scheme val="minor"/>
    </font>
    <font>
      <b/>
      <i val="0"/>
      <strike val="0"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1FB"/>
      </patternFill>
    </fill>
    <fill>
      <patternFill patternType="none"/>
    </fill>
    <fill>
      <patternFill patternType="solid">
        <fgColor rgb="FFF2F2F2"/>
      </patternFill>
    </fill>
    <fill>
      <patternFill patternType="solid">
        <fgColor rgb="FFDCE6F2"/>
      </patternFill>
    </fill>
  </fills>
  <borders count="5">
    <border/>
    <border>
      <top style="thin">
        <color rgb="FF808080"/>
      </top>
    </border>
    <border>
      <top style="thin">
        <color rgb="FF00000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217">
    <xf numFmtId="0" fontId="0" fillId="0" borderId="0" xfId="0"/>
    <xf numFmtId="164" fontId="1" fillId="2" borderId="0" xfId="0" applyNumberFormat="1" applyFont="1" applyFill="1" applyAlignment="1" applyProtection="1">
      <alignment horizontal="right" vertical="top"/>
      <protection locked="1" hidden="0"/>
    </xf>
    <xf numFmtId="0" fontId="2" fillId="3" borderId="0" xfId="0" applyFont="1" applyFill="1" applyAlignment="1" applyProtection="1">
      <alignment horizontal="lef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2" fillId="3" borderId="0" xfId="0" applyFont="1" applyFill="1" applyAlignment="1" applyProtection="1">
      <alignment horizontal="left" vertical="top" wrapText="1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0" fontId="2" fillId="4" borderId="1" xfId="0" applyFont="1" applyFill="1" applyBorder="1" applyAlignment="1" applyProtection="1">
      <alignment horizontal="right" vertical="bottom"/>
      <protection locked="1" hidden="0"/>
    </xf>
    <xf numFmtId="0" fontId="4" fillId="3" borderId="0" xfId="0" applyFont="1" applyFill="1" applyAlignment="1" applyProtection="1">
      <alignment horizontal="left" vertical="bottom" indent="1"/>
      <protection locked="1" hidden="0"/>
    </xf>
    <xf numFmtId="164" fontId="2" fillId="3" borderId="0" xfId="0" applyNumberFormat="1" applyFont="1" applyFill="1" applyAlignment="1" applyProtection="1">
      <alignment horizontal="right" vertical="top"/>
      <protection locked="1" hidden="0"/>
    </xf>
    <xf numFmtId="164" fontId="5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1" fillId="5" borderId="3" xfId="0" applyNumberFormat="1" applyFont="1" applyFill="1" applyBorder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0" fontId="6" fillId="3" borderId="0" xfId="0" applyFont="1" applyFill="1" applyAlignment="1" applyProtection="1">
      <alignment horizontal="left" vertical="bottom"/>
      <protection locked="1" hidden="0"/>
    </xf>
    <xf numFmtId="164" fontId="2" fillId="3" borderId="2" xfId="0" applyNumberFormat="1" applyFont="1" applyFill="1" applyBorder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top"/>
      <protection locked="1" hidden="0"/>
    </xf>
    <xf numFmtId="0" fontId="1" fillId="3" borderId="0" xfId="0" applyFont="1" applyFill="1" applyAlignment="1" applyProtection="1">
      <alignment horizontal="left" vertical="bottom"/>
      <protection locked="1" hidden="0"/>
    </xf>
    <xf numFmtId="164" fontId="1" fillId="3" borderId="0" xfId="0" applyNumberFormat="1" applyFont="1" applyFill="1" applyAlignment="1" applyProtection="1">
      <alignment horizontal="right" vertical="top"/>
      <protection locked="1" hidden="0"/>
    </xf>
    <xf numFmtId="168" fontId="1" fillId="3" borderId="0" xfId="0" applyNumberFormat="1" applyFont="1" applyFill="1" applyAlignment="1" applyProtection="1">
      <alignment horizontal="right" vertical="top"/>
      <protection locked="1" hidden="0"/>
    </xf>
    <xf numFmtId="164" fontId="3" fillId="3" borderId="0" xfId="0" applyNumberFormat="1" applyFont="1" applyFill="1" applyAlignment="1" applyProtection="1">
      <alignment horizontal="right" vertical="top"/>
      <protection locked="1" hidden="0"/>
    </xf>
    <xf numFmtId="164" fontId="3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0" xfId="0" applyFont="1" applyFill="1" applyAlignment="1" applyProtection="1">
      <alignment horizontal="left" vertical="bottom"/>
      <protection locked="1" hidden="0"/>
    </xf>
    <xf numFmtId="167" fontId="1" fillId="3" borderId="0" xfId="0" applyNumberFormat="1" applyFont="1" applyFill="1" applyAlignment="1" applyProtection="1">
      <alignment horizontal="left" vertical="bottom"/>
      <protection locked="1" hidden="0"/>
    </xf>
    <xf numFmtId="0" fontId="7" fillId="4" borderId="4" xfId="0" applyFont="1" applyFill="1" applyBorder="1" applyAlignment="1" applyProtection="1">
      <alignment horizontal="left" vertical="bottom"/>
      <protection locked="1" hidden="0"/>
    </xf>
    <xf numFmtId="168" fontId="2" fillId="3" borderId="0" xfId="0" applyNumberFormat="1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8" fontId="8" fillId="3" borderId="0" xfId="0" applyNumberFormat="1" applyFont="1" applyFill="1" applyAlignment="1" applyProtection="1">
      <alignment horizontal="right" vertical="bottom"/>
      <protection locked="1" hidden="0"/>
    </xf>
    <xf numFmtId="169" fontId="4" fillId="3" borderId="0" xfId="0" applyNumberFormat="1" applyFont="1" applyFill="1" applyAlignment="1" applyProtection="1">
      <alignment horizontal="right" vertical="bottom"/>
      <protection locked="1" hidden="0"/>
    </xf>
    <xf numFmtId="168" fontId="3" fillId="2" borderId="0" xfId="0" applyNumberFormat="1" applyFont="1" applyFill="1" applyAlignment="1" applyProtection="1">
      <alignment horizontal="right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0" fontId="9" fillId="3" borderId="0" xfId="0" applyFont="1" applyFill="1" applyAlignment="1" applyProtection="1">
      <alignment horizontal="general" vertical="bottom"/>
      <protection locked="1" hidden="0"/>
    </xf>
    <xf numFmtId="165" fontId="1" fillId="4" borderId="3" xfId="0" applyNumberFormat="1" applyFont="1" applyFill="1" applyBorder="1" applyAlignment="1" applyProtection="1">
      <alignment horizontal="right" vertical="bottom"/>
      <protection locked="1" hidden="0"/>
    </xf>
    <xf numFmtId="166" fontId="1" fillId="4" borderId="0" xfId="0" applyNumberFormat="1" applyFont="1" applyFill="1" applyAlignment="1" applyProtection="1">
      <alignment horizontal="right" vertical="bottom"/>
      <protection locked="1" hidden="0"/>
    </xf>
    <xf numFmtId="168" fontId="3" fillId="3" borderId="0" xfId="0" applyNumberFormat="1" applyFont="1" applyFill="1" applyAlignment="1" applyProtection="1">
      <alignment horizontal="right" vertical="top"/>
      <protection locked="1" hidden="0"/>
    </xf>
    <xf numFmtId="0" fontId="2" fillId="4" borderId="4" xfId="0" applyFont="1" applyFill="1" applyBorder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top"/>
      <protection locked="1" hidden="0"/>
    </xf>
    <xf numFmtId="0" fontId="4" fillId="3" borderId="0" xfId="0" applyFont="1" applyFill="1" applyAlignment="1" applyProtection="1">
      <alignment horizontal="general" vertical="bottom"/>
      <protection locked="1" hidden="0"/>
    </xf>
    <xf numFmtId="170" fontId="1" fillId="3" borderId="0" xfId="0" applyNumberFormat="1" applyFont="1" applyFill="1" applyAlignment="1" applyProtection="1">
      <alignment horizontal="right" vertical="top"/>
      <protection locked="1" hidden="0"/>
    </xf>
    <xf numFmtId="167" fontId="2" fillId="3" borderId="0" xfId="0" applyNumberFormat="1" applyFont="1" applyFill="1" applyAlignment="1" applyProtection="1">
      <alignment horizontal="left" vertical="top"/>
      <protection locked="1" hidden="0"/>
    </xf>
    <xf numFmtId="0" fontId="2" fillId="4" borderId="1" xfId="0" applyFont="1" applyFill="1" applyBorder="1" applyAlignment="1" applyProtection="1">
      <alignment horizontal="general" vertical="bottom"/>
      <protection locked="1" hidden="0"/>
    </xf>
    <xf numFmtId="0" fontId="6" fillId="3" borderId="0" xfId="0" applyFont="1" applyFill="1" applyAlignment="1" applyProtection="1">
      <alignment horizontal="left" vertical="top"/>
      <protection locked="1" hidden="0"/>
    </xf>
    <xf numFmtId="166" fontId="3" fillId="3" borderId="0" xfId="0" applyNumberFormat="1" applyFont="1" applyFill="1" applyAlignment="1" applyProtection="1">
      <alignment horizontal="right" vertical="top"/>
      <protection locked="1" hidden="0"/>
    </xf>
    <xf numFmtId="0" fontId="1" fillId="4" borderId="3" xfId="0" applyFont="1" applyFill="1" applyBorder="1" applyAlignment="1" applyProtection="1">
      <alignment horizontal="general" vertical="bottom"/>
      <protection locked="1" hidden="0"/>
    </xf>
    <xf numFmtId="168" fontId="3" fillId="3" borderId="0" xfId="0" applyNumberFormat="1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left" vertical="bottom"/>
      <protection locked="1" hidden="0"/>
    </xf>
    <xf numFmtId="167" fontId="1" fillId="3" borderId="0" xfId="0" applyNumberFormat="1" applyFont="1" applyFill="1" applyAlignment="1" applyProtection="1">
      <alignment horizontal="right" vertical="top"/>
      <protection locked="1" hidden="0"/>
    </xf>
    <xf numFmtId="169" fontId="10" fillId="3" borderId="0" xfId="0" applyNumberFormat="1" applyFont="1" applyFill="1" applyAlignment="1" applyProtection="1">
      <alignment horizontal="right" vertical="bottom"/>
      <protection locked="1" hidden="0"/>
    </xf>
    <xf numFmtId="169" fontId="4" fillId="3" borderId="3" xfId="0" applyNumberFormat="1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8" fontId="2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left" vertical="top" wrapText="1" indent="1"/>
      <protection locked="1" hidden="0"/>
    </xf>
    <xf numFmtId="0" fontId="1" fillId="3" borderId="0" xfId="0" applyFont="1" applyFill="1" applyAlignment="1" applyProtection="1">
      <alignment horizontal="left" vertical="top" wrapText="1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71" fontId="10" fillId="3" borderId="0" xfId="0" applyNumberFormat="1" applyFont="1" applyFill="1" applyAlignment="1" applyProtection="1">
      <alignment horizontal="right" vertical="bottom"/>
      <protection locked="1" hidden="0"/>
    </xf>
    <xf numFmtId="164" fontId="8" fillId="3" borderId="0" xfId="0" applyNumberFormat="1" applyFont="1" applyFill="1" applyAlignment="1" applyProtection="1">
      <alignment horizontal="right" vertical="bottom"/>
      <protection locked="1" hidden="0"/>
    </xf>
    <xf numFmtId="0" fontId="11" fillId="3" borderId="0" xfId="0" applyFont="1" applyFill="1" applyAlignment="1" applyProtection="1">
      <alignment horizontal="general" vertical="bottom"/>
      <protection locked="1" hidden="0"/>
    </xf>
    <xf numFmtId="168" fontId="12" fillId="3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top"/>
      <protection locked="1" hidden="0"/>
    </xf>
    <xf numFmtId="169" fontId="13" fillId="3" borderId="0" xfId="0" applyNumberFormat="1" applyFont="1" applyFill="1" applyAlignment="1" applyProtection="1">
      <alignment horizontal="right" vertical="bottom"/>
      <protection locked="1" hidden="0"/>
    </xf>
    <xf numFmtId="168" fontId="8" fillId="3" borderId="3" xfId="0" applyNumberFormat="1" applyFont="1" applyFill="1" applyBorder="1" applyAlignment="1" applyProtection="1">
      <alignment horizontal="right" vertical="bottom"/>
      <protection locked="1" hidden="0"/>
    </xf>
    <xf numFmtId="169" fontId="4" fillId="3" borderId="0" xfId="0" applyNumberFormat="1" applyFont="1" applyFill="1" applyAlignment="1" applyProtection="1">
      <alignment horizontal="right" vertical="top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5" fontId="8" fillId="3" borderId="0" xfId="0" applyNumberFormat="1" applyFont="1" applyFill="1" applyAlignment="1" applyProtection="1">
      <alignment horizontal="right" vertical="top"/>
      <protection locked="1" hidden="0"/>
    </xf>
    <xf numFmtId="166" fontId="1" fillId="5" borderId="0" xfId="0" applyNumberFormat="1" applyFont="1" applyFill="1" applyAlignment="1" applyProtection="1">
      <alignment horizontal="right" vertical="bottom"/>
      <protection locked="1" hidden="0"/>
    </xf>
    <xf numFmtId="169" fontId="13" fillId="3" borderId="0" xfId="0" applyNumberFormat="1" applyFont="1" applyFill="1" applyAlignment="1" applyProtection="1">
      <alignment horizontal="right" vertical="top"/>
      <protection locked="1" hidden="0"/>
    </xf>
    <xf numFmtId="0" fontId="1" fillId="3" borderId="0" xfId="0" applyFont="1" applyFill="1" applyAlignment="1" applyProtection="1">
      <alignment horizontal="left" vertical="bottom" indent="1"/>
      <protection locked="1" hidden="0"/>
    </xf>
    <xf numFmtId="169" fontId="4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3" xfId="0" applyFont="1" applyFill="1" applyBorder="1" applyAlignment="1" applyProtection="1">
      <alignment horizontal="left" vertical="bottom"/>
      <protection locked="1" hidden="0"/>
    </xf>
    <xf numFmtId="0" fontId="14" fillId="3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right" vertical="top"/>
      <protection locked="1" hidden="0"/>
    </xf>
    <xf numFmtId="164" fontId="2" fillId="2" borderId="2" xfId="0" applyNumberFormat="1" applyFont="1" applyFill="1" applyBorder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left" vertical="bottom"/>
      <protection locked="1" hidden="0"/>
    </xf>
    <xf numFmtId="167" fontId="2" fillId="2" borderId="0" xfId="0" applyNumberFormat="1" applyFont="1" applyFill="1" applyAlignment="1" applyProtection="1">
      <alignment horizontal="right" vertical="top"/>
      <protection locked="1" hidden="0"/>
    </xf>
    <xf numFmtId="0" fontId="4" fillId="3" borderId="0" xfId="0" applyFont="1" applyFill="1" applyAlignment="1" applyProtection="1">
      <alignment horizontal="left" vertical="top" wrapText="1"/>
      <protection locked="1" hidden="0"/>
    </xf>
    <xf numFmtId="0" fontId="2" fillId="5" borderId="1" xfId="0" applyFont="1" applyFill="1" applyBorder="1" applyAlignment="1" applyProtection="1">
      <alignment horizontal="right" vertical="bottom"/>
      <protection locked="1" hidden="0"/>
    </xf>
    <xf numFmtId="168" fontId="2" fillId="3" borderId="0" xfId="0" applyNumberFormat="1" applyFont="1" applyFill="1" applyAlignment="1" applyProtection="1">
      <alignment horizontal="right" vertical="top"/>
      <protection locked="1" hidden="0"/>
    </xf>
    <xf numFmtId="164" fontId="8" fillId="3" borderId="0" xfId="0" applyNumberFormat="1" applyFont="1" applyFill="1" applyAlignment="1" applyProtection="1">
      <alignment horizontal="right" vertical="top"/>
      <protection locked="1" hidden="0"/>
    </xf>
    <xf numFmtId="167" fontId="1" fillId="2" borderId="0" xfId="0" applyNumberFormat="1" applyFont="1" applyFill="1" applyAlignment="1" applyProtection="1">
      <alignment horizontal="right" vertical="top"/>
      <protection locked="1" hidden="0"/>
    </xf>
    <xf numFmtId="0" fontId="10" fillId="3" borderId="0" xfId="0" applyFont="1" applyFill="1" applyAlignment="1" applyProtection="1">
      <alignment horizontal="left" vertical="bottom"/>
      <protection locked="1" hidden="0"/>
    </xf>
    <xf numFmtId="167" fontId="1" fillId="3" borderId="0" xfId="0" applyNumberFormat="1" applyFont="1" applyFill="1" applyAlignment="1" applyProtection="1">
      <alignment horizontal="left" vertical="top"/>
      <protection locked="1" hidden="0"/>
    </xf>
    <xf numFmtId="170" fontId="3" fillId="3" borderId="0" xfId="0" applyNumberFormat="1" applyFont="1" applyFill="1" applyAlignment="1" applyProtection="1">
      <alignment horizontal="right" vertical="top"/>
      <protection locked="1" hidden="0"/>
    </xf>
    <xf numFmtId="167" fontId="12" fillId="3" borderId="0" xfId="0" applyNumberFormat="1" applyFont="1" applyFill="1" applyAlignment="1" applyProtection="1">
      <alignment horizontal="right" vertical="top"/>
      <protection locked="1" hidden="0"/>
    </xf>
    <xf numFmtId="170" fontId="8" fillId="3" borderId="0" xfId="0" applyNumberFormat="1" applyFont="1" applyFill="1" applyAlignment="1" applyProtection="1">
      <alignment horizontal="right" vertical="top"/>
      <protection locked="1" hidden="0"/>
    </xf>
    <xf numFmtId="167" fontId="1" fillId="2" borderId="0" xfId="0" applyNumberFormat="1" applyFont="1" applyFill="1" applyAlignment="1" applyProtection="1">
      <alignment horizontal="left" vertical="top"/>
      <protection locked="1" hidden="0"/>
    </xf>
    <xf numFmtId="167" fontId="1" fillId="3" borderId="0" xfId="0" applyNumberFormat="1" applyFont="1" applyFill="1" applyAlignment="1" applyProtection="1">
      <alignment horizontal="left" vertical="top" wrapText="1"/>
      <protection locked="1" hidden="0"/>
    </xf>
    <xf numFmtId="166" fontId="2" fillId="3" borderId="0" xfId="0" applyNumberFormat="1" applyFont="1" applyFill="1" applyAlignment="1" applyProtection="1">
      <alignment horizontal="right" vertical="top"/>
      <protection locked="1" hidden="0"/>
    </xf>
    <xf numFmtId="0" fontId="2" fillId="4" borderId="4" xfId="0" applyFont="1" applyFill="1" applyBorder="1" applyAlignment="1" applyProtection="1">
      <alignment horizontal="general" vertical="bottom"/>
      <protection locked="1" hidden="0"/>
    </xf>
    <xf numFmtId="168" fontId="8" fillId="3" borderId="0" xfId="0" applyNumberFormat="1" applyFont="1" applyFill="1" applyAlignment="1" applyProtection="1">
      <alignment horizontal="right" vertical="top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left" vertical="top"/>
      <protection locked="1" hidden="0"/>
    </xf>
    <xf numFmtId="164" fontId="3" fillId="2" borderId="0" xfId="0" applyNumberFormat="1" applyFont="1" applyFill="1" applyAlignment="1" applyProtection="1">
      <alignment horizontal="right" vertical="top"/>
      <protection locked="1" hidden="0"/>
    </xf>
    <xf numFmtId="172" fontId="1" fillId="3" borderId="0" xfId="0" applyNumberFormat="1" applyFont="1" applyFill="1" applyAlignment="1" applyProtection="1">
      <alignment horizontal="right" vertical="top"/>
      <protection locked="1" hidden="0"/>
    </xf>
    <xf numFmtId="0" fontId="1" fillId="3" borderId="0" xfId="0" applyFont="1" applyFill="1" applyAlignment="1" applyProtection="1">
      <alignment horizontal="left" vertical="top"/>
      <protection locked="1" hidden="0"/>
    </xf>
    <xf numFmtId="170" fontId="3" fillId="3" borderId="0" xfId="0" applyNumberFormat="1" applyFont="1" applyFill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top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8" fontId="1" fillId="3" borderId="3" xfId="0" applyNumberFormat="1" applyFont="1" applyFill="1" applyBorder="1" applyAlignment="1" applyProtection="1">
      <alignment horizontal="right" vertical="bottom"/>
      <protection locked="1" hidden="0"/>
    </xf>
    <xf numFmtId="171" fontId="10" fillId="2" borderId="0" xfId="0" applyNumberFormat="1" applyFont="1" applyFill="1" applyAlignment="1" applyProtection="1">
      <alignment horizontal="righ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top"/>
      <protection locked="1" hidden="0"/>
    </xf>
    <xf numFmtId="164" fontId="2" fillId="3" borderId="2" xfId="0" applyNumberFormat="1" applyFont="1" applyFill="1" applyBorder="1" applyAlignment="1" applyProtection="1">
      <alignment horizontal="right" vertical="top"/>
      <protection locked="1" hidden="0"/>
    </xf>
    <xf numFmtId="169" fontId="4" fillId="2" borderId="0" xfId="0" applyNumberFormat="1" applyFont="1" applyFill="1" applyAlignment="1" applyProtection="1">
      <alignment horizontal="right" vertical="top"/>
      <protection locked="1" hidden="0"/>
    </xf>
    <xf numFmtId="170" fontId="4" fillId="2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left" vertical="bottom"/>
      <protection locked="1" hidden="0"/>
    </xf>
    <xf numFmtId="169" fontId="13" fillId="2" borderId="0" xfId="0" applyNumberFormat="1" applyFont="1" applyFill="1" applyAlignment="1" applyProtection="1">
      <alignment horizontal="right" vertical="bottom"/>
      <protection locked="1" hidden="0"/>
    </xf>
    <xf numFmtId="164" fontId="5" fillId="3" borderId="2" xfId="0" applyNumberFormat="1" applyFont="1" applyFill="1" applyBorder="1" applyAlignment="1" applyProtection="1">
      <alignment horizontal="right" vertical="top"/>
      <protection locked="1" hidden="0"/>
    </xf>
    <xf numFmtId="167" fontId="12" fillId="3" borderId="0" xfId="0" applyNumberFormat="1" applyFont="1" applyFill="1" applyAlignment="1" applyProtection="1">
      <alignment horizontal="right" vertical="bottom"/>
      <protection locked="1" hidden="0"/>
    </xf>
    <xf numFmtId="164" fontId="8" fillId="2" borderId="0" xfId="0" applyNumberFormat="1" applyFont="1" applyFill="1" applyAlignment="1" applyProtection="1">
      <alignment horizontal="right" vertical="bottom"/>
      <protection locked="1" hidden="0"/>
    </xf>
    <xf numFmtId="171" fontId="15" fillId="3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left" vertical="top"/>
      <protection locked="1" hidden="0"/>
    </xf>
    <xf numFmtId="0" fontId="4" fillId="3" borderId="0" xfId="0" applyFont="1" applyFill="1" applyAlignment="1" applyProtection="1">
      <alignment horizontal="left" vertical="top" wrapText="1" indent="1"/>
      <protection locked="1" hidden="0"/>
    </xf>
    <xf numFmtId="173" fontId="4" fillId="3" borderId="0" xfId="0" applyNumberFormat="1" applyFont="1" applyFill="1" applyAlignment="1" applyProtection="1">
      <alignment horizontal="right" vertical="bottom"/>
      <protection locked="1" hidden="0"/>
    </xf>
    <xf numFmtId="164" fontId="2" fillId="2" borderId="2" xfId="0" applyNumberFormat="1" applyFont="1" applyFill="1" applyBorder="1" applyAlignment="1" applyProtection="1">
      <alignment horizontal="right" vertical="top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73" fontId="16" fillId="3" borderId="0" xfId="0" applyNumberFormat="1" applyFont="1" applyFill="1" applyAlignment="1" applyProtection="1">
      <alignment horizontal="right" vertical="bottom"/>
      <protection locked="1" hidden="0"/>
    </xf>
    <xf numFmtId="169" fontId="13" fillId="2" borderId="0" xfId="0" applyNumberFormat="1" applyFont="1" applyFill="1" applyAlignment="1" applyProtection="1">
      <alignment horizontal="right" vertical="top"/>
      <protection locked="1" hidden="0"/>
    </xf>
    <xf numFmtId="173" fontId="16" fillId="2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top"/>
      <protection locked="1" hidden="0"/>
    </xf>
    <xf numFmtId="0" fontId="17" fillId="3" borderId="0" xfId="0" applyFont="1" applyFill="1" applyAlignment="1" applyProtection="1">
      <alignment horizontal="left" vertical="top" wrapText="1"/>
      <protection locked="1" hidden="0"/>
    </xf>
    <xf numFmtId="169" fontId="16" fillId="3" borderId="0" xfId="0" applyNumberFormat="1" applyFont="1" applyFill="1" applyAlignment="1" applyProtection="1">
      <alignment horizontal="right" vertical="bottom"/>
      <protection locked="1" hidden="0"/>
    </xf>
    <xf numFmtId="164" fontId="12" fillId="3" borderId="2" xfId="0" applyNumberFormat="1" applyFont="1" applyFill="1" applyBorder="1" applyAlignment="1" applyProtection="1">
      <alignment horizontal="right" vertical="top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4" fontId="12" fillId="2" borderId="2" xfId="0" applyNumberFormat="1" applyFont="1" applyFill="1" applyBorder="1" applyAlignment="1" applyProtection="1">
      <alignment horizontal="right" vertical="top"/>
      <protection locked="1" hidden="0"/>
    </xf>
    <xf numFmtId="169" fontId="16" fillId="2" borderId="0" xfId="0" applyNumberFormat="1" applyFont="1" applyFill="1" applyAlignment="1" applyProtection="1">
      <alignment horizontal="right" vertical="bottom"/>
      <protection locked="1" hidden="0"/>
    </xf>
    <xf numFmtId="170" fontId="2" fillId="3" borderId="2" xfId="0" applyNumberFormat="1" applyFont="1" applyFill="1" applyBorder="1" applyAlignment="1" applyProtection="1">
      <alignment horizontal="right" vertical="top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170" fontId="2" fillId="3" borderId="2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left" vertical="bottom" indent="2"/>
      <protection locked="1" hidden="0"/>
    </xf>
    <xf numFmtId="172" fontId="3" fillId="3" borderId="0" xfId="0" applyNumberFormat="1" applyFont="1" applyFill="1" applyAlignment="1" applyProtection="1">
      <alignment horizontal="right" vertical="bottom"/>
      <protection locked="1" hidden="0"/>
    </xf>
    <xf numFmtId="168" fontId="4" fillId="3" borderId="0" xfId="0" applyNumberFormat="1" applyFont="1" applyFill="1" applyAlignment="1" applyProtection="1">
      <alignment horizontal="right" vertical="top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74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0" xfId="0" applyFont="1" applyFill="1" applyAlignment="1" applyProtection="1">
      <alignment horizontal="left" vertical="top" wrapText="1" indent="2"/>
      <protection locked="1" hidden="0"/>
    </xf>
    <xf numFmtId="164" fontId="12" fillId="3" borderId="0" xfId="0" applyNumberFormat="1" applyFont="1" applyFill="1" applyAlignment="1" applyProtection="1">
      <alignment horizontal="right" vertical="bottom"/>
      <protection locked="1" hidden="0"/>
    </xf>
    <xf numFmtId="168" fontId="2" fillId="3" borderId="2" xfId="0" applyNumberFormat="1" applyFont="1" applyFill="1" applyBorder="1" applyAlignment="1" applyProtection="1">
      <alignment horizontal="right" vertical="bottom"/>
      <protection locked="1" hidden="0"/>
    </xf>
    <xf numFmtId="170" fontId="2" fillId="2" borderId="2" xfId="0" applyNumberFormat="1" applyFont="1" applyFill="1" applyBorder="1" applyAlignment="1" applyProtection="1">
      <alignment horizontal="right" vertical="top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68" fontId="2" fillId="3" borderId="2" xfId="0" applyNumberFormat="1" applyFont="1" applyFill="1" applyBorder="1" applyAlignment="1" applyProtection="1">
      <alignment horizontal="right" vertical="top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8" fontId="3" fillId="2" borderId="0" xfId="0" applyNumberFormat="1" applyFont="1" applyFill="1" applyAlignment="1" applyProtection="1">
      <alignment horizontal="right" vertical="top"/>
      <protection locked="1" hidden="0"/>
    </xf>
    <xf numFmtId="170" fontId="1" fillId="2" borderId="0" xfId="0" applyNumberFormat="1" applyFont="1" applyFill="1" applyAlignment="1" applyProtection="1">
      <alignment horizontal="right" vertical="top"/>
      <protection locked="1" hidden="0"/>
    </xf>
    <xf numFmtId="0" fontId="4" fillId="3" borderId="0" xfId="0" applyFont="1" applyFill="1" applyAlignment="1" applyProtection="1">
      <alignment horizontal="left" vertical="bottom" indent="2"/>
      <protection locked="1" hidden="0"/>
    </xf>
    <xf numFmtId="168" fontId="2" fillId="2" borderId="2" xfId="0" applyNumberFormat="1" applyFont="1" applyFill="1" applyBorder="1" applyAlignment="1" applyProtection="1">
      <alignment horizontal="right" vertical="top"/>
      <protection locked="1" hidden="0"/>
    </xf>
    <xf numFmtId="164" fontId="8" fillId="2" borderId="0" xfId="0" applyNumberFormat="1" applyFont="1" applyFill="1" applyAlignment="1" applyProtection="1">
      <alignment horizontal="right" vertical="top"/>
      <protection locked="1" hidden="0"/>
    </xf>
    <xf numFmtId="170" fontId="8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left" vertical="top" wrapText="1" indent="2"/>
      <protection locked="1" hidden="0"/>
    </xf>
    <xf numFmtId="169" fontId="18" fillId="3" borderId="0" xfId="0" applyNumberFormat="1" applyFont="1" applyFill="1" applyAlignment="1" applyProtection="1">
      <alignment horizontal="right" vertical="bottom"/>
      <protection locked="1" hidden="0"/>
    </xf>
    <xf numFmtId="170" fontId="2" fillId="2" borderId="2" xfId="0" applyNumberFormat="1" applyFont="1" applyFill="1" applyBorder="1" applyAlignment="1" applyProtection="1">
      <alignment horizontal="right" vertical="bottom"/>
      <protection locked="1" hidden="0"/>
    </xf>
    <xf numFmtId="167" fontId="3" fillId="3" borderId="0" xfId="0" applyNumberFormat="1" applyFont="1" applyFill="1" applyAlignment="1" applyProtection="1">
      <alignment horizontal="left" vertical="bottom"/>
      <protection locked="1" hidden="0"/>
    </xf>
    <xf numFmtId="168" fontId="2" fillId="2" borderId="2" xfId="0" applyNumberFormat="1" applyFont="1" applyFill="1" applyBorder="1" applyAlignment="1" applyProtection="1">
      <alignment horizontal="right" vertical="bottom"/>
      <protection locked="1" hidden="0"/>
    </xf>
    <xf numFmtId="169" fontId="10" fillId="2" borderId="0" xfId="0" applyNumberFormat="1" applyFont="1" applyFill="1" applyAlignment="1" applyProtection="1">
      <alignment horizontal="right" vertical="bottom"/>
      <protection locked="1" hidden="0"/>
    </xf>
    <xf numFmtId="164" fontId="5" fillId="2" borderId="0" xfId="0" applyNumberFormat="1" applyFont="1" applyFill="1" applyAlignment="1" applyProtection="1">
      <alignment horizontal="right" vertical="bottom"/>
      <protection locked="1" hidden="0"/>
    </xf>
    <xf numFmtId="164" fontId="12" fillId="2" borderId="0" xfId="0" applyNumberFormat="1" applyFont="1" applyFill="1" applyAlignment="1" applyProtection="1">
      <alignment horizontal="right" vertical="bottom"/>
      <protection locked="1" hidden="0"/>
    </xf>
    <xf numFmtId="0" fontId="2" fillId="3" borderId="0" xfId="0" applyFont="1" applyFill="1" applyAlignment="1" applyProtection="1">
      <alignment horizontal="left" vertical="bottom" indent="1"/>
      <protection locked="1" hidden="0"/>
    </xf>
    <xf numFmtId="168" fontId="4" fillId="2" borderId="0" xfId="0" applyNumberFormat="1" applyFont="1" applyFill="1" applyAlignment="1" applyProtection="1">
      <alignment horizontal="right" vertical="top"/>
      <protection locked="1" hidden="0"/>
    </xf>
    <xf numFmtId="174" fontId="19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9" fillId="2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74" fontId="21" fillId="4" borderId="4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0" fontId="22" fillId="0" borderId="0" xfId="0" applyFont="1" applyFill="1" applyAlignment="1" applyProtection="1">
      <alignment horizontal="general" vertical="bottom"/>
      <protection locked="1" hidden="0"/>
    </xf>
    <xf numFmtId="174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8" fontId="24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9" fillId="0" borderId="0" xfId="0" applyNumberFormat="1" applyFont="1" applyFill="1" applyAlignment="1" applyProtection="1">
      <alignment horizontal="right" vertical="bottom"/>
      <protection locked="1" hidden="0"/>
    </xf>
    <xf numFmtId="174" fontId="2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25" fillId="0" borderId="0" xfId="0" applyFont="1" applyFill="1" applyAlignment="1" applyProtection="1">
      <alignment horizontal="left" vertical="bottom"/>
      <protection locked="1" hidden="0"/>
    </xf>
    <xf numFmtId="164" fontId="19" fillId="2" borderId="0" xfId="0" applyNumberFormat="1" applyFont="1" applyFill="1" applyAlignment="1" applyProtection="1">
      <alignment horizontal="right" vertical="bottom"/>
      <protection locked="1" hidden="0"/>
    </xf>
    <xf numFmtId="0" fontId="27" fillId="0" borderId="0" xfId="0" applyFont="1" applyFill="1" applyAlignment="1" applyProtection="1">
      <alignment horizontal="general" vertical="bottom"/>
      <protection locked="1" hidden="0"/>
    </xf>
    <xf numFmtId="169" fontId="22" fillId="0" borderId="0" xfId="0" applyNumberFormat="1" applyFont="1" applyFill="1" applyAlignment="1" applyProtection="1">
      <alignment horizontal="right" vertical="bottom"/>
      <protection locked="1" hidden="0"/>
    </xf>
    <xf numFmtId="168" fontId="22" fillId="2" borderId="0" xfId="0" applyNumberFormat="1" applyFont="1" applyFill="1" applyAlignment="1" applyProtection="1">
      <alignment horizontal="right" vertical="bottom"/>
      <protection locked="1" hidden="0"/>
    </xf>
    <xf numFmtId="169" fontId="22" fillId="2" borderId="0" xfId="0" applyNumberFormat="1" applyFont="1" applyFill="1" applyAlignment="1" applyProtection="1">
      <alignment horizontal="right" vertical="bottom"/>
      <protection locked="1" hidden="0"/>
    </xf>
    <xf numFmtId="174" fontId="19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8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7" fontId="29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74" fontId="3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3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3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8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5" fontId="30" fillId="4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0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9" fillId="4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3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7" fontId="29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1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30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74" fontId="3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9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7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3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74" fontId="33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74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34" fillId="0" borderId="0" xfId="0" applyFont="1" applyFill="1" applyAlignment="1" applyProtection="1">
      <alignment horizontal="general" vertical="bottom"/>
      <protection locked="1" hidden="0"/>
    </xf>
    <xf numFmtId="169" fontId="35" fillId="2" borderId="0" xfId="0" applyNumberFormat="1" applyFont="1" applyFill="1" applyAlignment="1" applyProtection="1">
      <alignment horizontal="right" vertical="bottom"/>
      <protection locked="1" hidden="0"/>
    </xf>
    <xf numFmtId="164" fontId="36" fillId="0" borderId="0" xfId="0" applyNumberFormat="1" applyFont="1" applyFill="1" applyAlignment="1" applyProtection="1">
      <alignment horizontal="right" vertical="bottom"/>
      <protection locked="1" hidden="0"/>
    </xf>
    <xf numFmtId="164" fontId="37" fillId="0" borderId="0" xfId="0" applyNumberFormat="1" applyFont="1" applyFill="1" applyAlignment="1" applyProtection="1">
      <alignment horizontal="right" vertical="bottom"/>
      <protection locked="1" hidden="0"/>
    </xf>
    <xf numFmtId="0" fontId="38" fillId="0" borderId="0" xfId="0" applyFont="1" applyFill="1" applyAlignment="1" applyProtection="1">
      <alignment horizontal="left" vertical="bottom"/>
      <protection locked="1" hidden="0"/>
    </xf>
    <xf numFmtId="169" fontId="35" fillId="0" borderId="0" xfId="0" applyNumberFormat="1" applyFont="1" applyFill="1" applyAlignment="1" applyProtection="1">
      <alignment horizontal="right" vertical="bottom"/>
      <protection locked="1" hidden="0"/>
    </xf>
    <xf numFmtId="168" fontId="35" fillId="2" borderId="0" xfId="0" applyNumberFormat="1" applyFont="1" applyFill="1" applyAlignment="1" applyProtection="1">
      <alignment horizontal="right" vertical="bottom"/>
      <protection locked="1" hidden="0"/>
    </xf>
    <xf numFmtId="164" fontId="37" fillId="2" borderId="0" xfId="0" applyNumberFormat="1" applyFont="1" applyFill="1" applyAlignment="1" applyProtection="1">
      <alignment horizontal="right" vertical="bottom"/>
      <protection locked="1" hidden="0"/>
    </xf>
    <xf numFmtId="164" fontId="35" fillId="2" borderId="0" xfId="0" applyNumberFormat="1" applyFont="1" applyFill="1" applyAlignment="1" applyProtection="1">
      <alignment horizontal="right" vertical="bottom"/>
      <protection locked="1" hidden="0"/>
    </xf>
    <xf numFmtId="0" fontId="34" fillId="2" borderId="0" xfId="0" applyFont="1" applyFill="1" applyAlignment="1" applyProtection="1">
      <alignment horizontal="general" vertical="bottom"/>
      <protection locked="1" hidden="0"/>
    </xf>
    <xf numFmtId="0" fontId="35" fillId="0" borderId="0" xfId="0" applyFont="1" applyFill="1" applyAlignment="1" applyProtection="1">
      <alignment horizontal="general" vertical="bottom"/>
      <protection locked="1" hidden="0"/>
    </xf>
    <xf numFmtId="164" fontId="36" fillId="2" borderId="0" xfId="0" applyNumberFormat="1" applyFont="1" applyFill="1" applyAlignment="1" applyProtection="1">
      <alignment horizontal="right" vertical="bottom"/>
      <protection locked="1" hidden="0"/>
    </xf>
    <xf numFmtId="0" fontId="39" fillId="0" borderId="0" xfId="0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19050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showGridLines="0" tabSelected="1" workbookViewId="0"/>
  </sheetViews>
  <sheetFormatPr defaultColWidth="8.42578125" defaultRowHeight="15"/>
  <cols>
    <col min="1" max="1" width="10" customWidth="1"/>
    <col min="2" max="2" width="34" customWidth="1"/>
    <col min="3" max="10" width="12" customWidth="1"/>
    <col min="11" max="11" width="60" customWidth="1"/>
  </cols>
  <sheetData>
    <row r="1" ht="15.75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ht="15.75">
      <c r="A2" s="3"/>
      <c r="B2" s="57" t="s">
        <v>1</v>
      </c>
      <c r="C2" s="3"/>
      <c r="D2" s="3"/>
      <c r="E2" s="3"/>
      <c r="F2" s="3"/>
      <c r="G2" s="3"/>
      <c r="H2" s="3"/>
      <c r="I2" s="3"/>
      <c r="J2" s="3"/>
      <c r="K2" s="3"/>
    </row>
    <row r="3" ht="15.75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/>
      <c r="C4" s="7"/>
      <c r="D4" s="7"/>
      <c r="E4" s="7"/>
      <c r="F4" s="7"/>
      <c r="G4" s="7"/>
      <c r="H4" s="7"/>
      <c r="I4" s="7"/>
      <c r="J4" s="193"/>
      <c r="K4" s="41" t="s">
        <v>3</v>
      </c>
    </row>
    <row r="5">
      <c r="A5" s="3"/>
      <c r="B5" s="54"/>
      <c r="C5" s="34"/>
      <c r="D5" s="34"/>
      <c r="E5" s="34"/>
      <c r="F5" s="34"/>
      <c r="G5" s="34"/>
      <c r="H5" s="34"/>
      <c r="I5" s="34"/>
      <c r="J5" s="191"/>
      <c r="K5" s="54"/>
    </row>
    <row r="6">
      <c r="A6" s="3"/>
      <c r="B6" s="44"/>
      <c r="C6" s="33"/>
      <c r="D6" s="33"/>
      <c r="E6" s="33"/>
      <c r="F6" s="33"/>
      <c r="G6" s="33"/>
      <c r="H6" s="33"/>
      <c r="I6" s="33"/>
      <c r="J6" s="188"/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182"/>
      <c r="K7" s="3"/>
    </row>
    <row r="8">
      <c r="A8" s="3"/>
      <c r="B8" s="70" t="s">
        <v>1</v>
      </c>
      <c r="C8" s="3"/>
      <c r="D8" s="3"/>
      <c r="E8" s="3"/>
      <c r="F8" s="3"/>
      <c r="G8" s="3"/>
      <c r="H8" s="3"/>
      <c r="I8" s="3"/>
      <c r="J8" s="182"/>
      <c r="K8" s="13"/>
    </row>
    <row r="9">
      <c r="A9" s="3"/>
      <c r="B9" s="16" t="s">
        <v>4</v>
      </c>
      <c r="C9" s="22" t="s">
        <v>5</v>
      </c>
      <c r="D9" s="22"/>
      <c r="E9" s="22"/>
      <c r="F9" s="22"/>
      <c r="G9" s="22"/>
      <c r="H9" s="22"/>
      <c r="I9" s="22"/>
      <c r="J9" s="183"/>
      <c r="K9" s="13"/>
    </row>
    <row r="10">
      <c r="A10" s="3"/>
      <c r="B10" s="16" t="s">
        <v>6</v>
      </c>
      <c r="C10" s="22" t="s">
        <v>7</v>
      </c>
      <c r="D10" s="22"/>
      <c r="E10" s="22"/>
      <c r="F10" s="22"/>
      <c r="G10" s="22"/>
      <c r="H10" s="22"/>
      <c r="I10" s="22"/>
      <c r="J10" s="183"/>
      <c r="K10" s="13"/>
    </row>
    <row r="11">
      <c r="A11" s="3"/>
      <c r="B11" s="16" t="s">
        <v>8</v>
      </c>
      <c r="C11" s="22" t="s">
        <v>9</v>
      </c>
      <c r="D11" s="22"/>
      <c r="E11" s="22"/>
      <c r="F11" s="22"/>
      <c r="G11" s="22"/>
      <c r="H11" s="22"/>
      <c r="I11" s="22"/>
      <c r="J11" s="183"/>
      <c r="K11" s="13"/>
    </row>
    <row r="12">
      <c r="A12" s="3"/>
      <c r="B12" s="16" t="s">
        <v>10</v>
      </c>
      <c r="C12" s="22" t="s">
        <v>11</v>
      </c>
      <c r="D12" s="22"/>
      <c r="E12" s="22"/>
      <c r="F12" s="22"/>
      <c r="G12" s="22"/>
      <c r="H12" s="22"/>
      <c r="I12" s="22"/>
      <c r="J12" s="183"/>
      <c r="K12" s="13"/>
    </row>
    <row r="13">
      <c r="A13" s="3"/>
      <c r="B13" s="16" t="s">
        <v>12</v>
      </c>
      <c r="C13" s="22" t="s">
        <v>13</v>
      </c>
      <c r="D13" s="22"/>
      <c r="E13" s="22"/>
      <c r="F13" s="22"/>
      <c r="G13" s="22"/>
      <c r="H13" s="22"/>
      <c r="I13" s="22"/>
      <c r="J13" s="183"/>
      <c r="K13" s="13"/>
    </row>
    <row r="14">
      <c r="A14" s="3"/>
      <c r="B14" s="16" t="s">
        <v>14</v>
      </c>
      <c r="C14" s="22" t="s">
        <v>15</v>
      </c>
      <c r="D14" s="22"/>
      <c r="E14" s="22"/>
      <c r="F14" s="22"/>
      <c r="G14" s="22"/>
      <c r="H14" s="22"/>
      <c r="I14" s="22"/>
      <c r="J14" s="183"/>
      <c r="K14" s="13"/>
    </row>
    <row r="15">
      <c r="A15" s="3"/>
      <c r="B15" s="16" t="s">
        <v>16</v>
      </c>
      <c r="C15" s="22" t="s">
        <v>17</v>
      </c>
      <c r="D15" s="22"/>
      <c r="E15" s="22"/>
      <c r="F15" s="22"/>
      <c r="G15" s="22"/>
      <c r="H15" s="22"/>
      <c r="I15" s="22"/>
      <c r="J15" s="183"/>
      <c r="K15" s="13"/>
    </row>
    <row r="16">
      <c r="A16" s="3"/>
      <c r="B16" s="16" t="s">
        <v>18</v>
      </c>
      <c r="C16" s="22" t="s">
        <v>19</v>
      </c>
      <c r="D16" s="22"/>
      <c r="E16" s="22"/>
      <c r="F16" s="22"/>
      <c r="G16" s="22"/>
      <c r="H16" s="22"/>
      <c r="I16" s="22"/>
      <c r="J16" s="183"/>
      <c r="K16" s="13"/>
    </row>
    <row r="17">
      <c r="A17" s="3"/>
      <c r="B17" s="3"/>
      <c r="C17" s="3"/>
      <c r="D17" s="3"/>
      <c r="E17" s="3"/>
      <c r="F17" s="3"/>
      <c r="G17" s="3"/>
      <c r="H17" s="3"/>
      <c r="I17" s="3"/>
      <c r="J17" s="182"/>
      <c r="K17" s="13"/>
    </row>
    <row r="18">
      <c r="A18" s="3"/>
      <c r="B18" s="88" t="s">
        <v>20</v>
      </c>
      <c r="C18" s="36" t="s">
        <v>21</v>
      </c>
      <c r="D18" s="36" t="s">
        <v>22</v>
      </c>
      <c r="E18" s="36" t="s">
        <v>23</v>
      </c>
      <c r="F18" s="36" t="s">
        <v>24</v>
      </c>
      <c r="G18" s="36" t="s">
        <v>25</v>
      </c>
      <c r="H18" s="36" t="s">
        <v>26</v>
      </c>
      <c r="I18" s="3"/>
      <c r="J18" s="182"/>
      <c r="K18" s="13" t="s">
        <v>27</v>
      </c>
    </row>
    <row r="19">
      <c r="A19" s="3"/>
      <c r="B19" s="16" t="s">
        <v>28</v>
      </c>
      <c r="C19" s="56">
        <f>'Income Statement'!J9</f>
        <v>11429.328875510319</v>
      </c>
      <c r="D19" s="56">
        <f>Inputs!C74</f>
        <v>11368.95</v>
      </c>
      <c r="E19" s="5">
        <f>C19-D19</f>
        <v>60.37887551031781</v>
      </c>
      <c r="F19" s="29">
        <f>C19/D19-1</f>
        <v>0.00531085768785311</v>
      </c>
      <c r="G19" s="5" t="s">
        <v>29</v>
      </c>
      <c r="H19" s="5"/>
      <c r="I19" s="5"/>
      <c r="J19" s="190"/>
      <c r="K19" s="13" t="s">
        <v>30</v>
      </c>
    </row>
    <row r="20" ht="24.75">
      <c r="A20" s="3"/>
      <c r="B20" s="53" t="s">
        <v>31</v>
      </c>
      <c r="C20" s="78">
        <f>'Income Statement'!J80</f>
        <v>3663.8643084791775</v>
      </c>
      <c r="D20" s="78">
        <f>Inputs!C87</f>
        <v>3652.77</v>
      </c>
      <c r="E20" s="17">
        <f>C20-D20</f>
        <v>11.09430847917747</v>
      </c>
      <c r="F20" s="62">
        <f>C20/D20-1</f>
        <v>0.0030372316020930157</v>
      </c>
      <c r="G20" s="17" t="s">
        <v>29</v>
      </c>
      <c r="H20" s="17"/>
      <c r="I20" s="17"/>
      <c r="J20" s="185"/>
      <c r="K20" s="42"/>
    </row>
    <row r="21">
      <c r="A21" s="3"/>
      <c r="B21" s="2" t="s">
        <v>32</v>
      </c>
      <c r="C21" s="58">
        <f>'Income Statement'!J75</f>
        <v>2.344740672788727</v>
      </c>
      <c r="D21" s="58">
        <f>Inputs!C56</f>
        <v>2.32</v>
      </c>
      <c r="E21" s="24">
        <f>C21-D21</f>
        <v>0.02474067278872738</v>
      </c>
      <c r="F21" s="48">
        <f>C21/D21-1</f>
        <v>0.01066408309858935</v>
      </c>
      <c r="G21" s="192">
        <f>Guidance!G23</f>
        <v>2.315</v>
      </c>
      <c r="H21" s="189">
        <f>C21-G21</f>
        <v>0.029740672788727274</v>
      </c>
      <c r="I21" s="24"/>
      <c r="J21" s="186"/>
      <c r="K21" s="13"/>
    </row>
    <row r="22" ht="24.75">
      <c r="A22" s="3"/>
      <c r="B22" s="53" t="s">
        <v>33</v>
      </c>
      <c r="C22" s="78">
        <f>'Income Statement'!J44</f>
        <v>3463.0643084791773</v>
      </c>
      <c r="D22" s="78">
        <f>Inputs!C88</f>
        <v>3539.32</v>
      </c>
      <c r="E22" s="17">
        <f>C22-D22</f>
        <v>-76.2556915208229</v>
      </c>
      <c r="F22" s="62">
        <f>C22/D22-1</f>
        <v>-0.02154529444097253</v>
      </c>
      <c r="G22" s="17" t="s">
        <v>29</v>
      </c>
      <c r="H22" s="17"/>
      <c r="I22" s="17"/>
      <c r="J22" s="185"/>
      <c r="K22" s="42"/>
    </row>
    <row r="23">
      <c r="A23" s="3"/>
      <c r="B23" s="69" t="s">
        <v>34</v>
      </c>
      <c r="C23" s="61">
        <f>'Income Statement'!J54</f>
        <v>2.215989948840815</v>
      </c>
      <c r="D23" s="61">
        <f>Inputs!C65</f>
        <v>2.27</v>
      </c>
      <c r="E23" s="98">
        <f>C23-D23</f>
        <v>-0.054010051159185224</v>
      </c>
      <c r="F23" s="49">
        <f>C23/D23-1</f>
        <v>-0.023792974078936213</v>
      </c>
      <c r="G23" s="98" t="s">
        <v>29</v>
      </c>
      <c r="H23" s="98"/>
      <c r="I23" s="26"/>
      <c r="J23" s="184"/>
      <c r="K23" s="13"/>
    </row>
    <row r="24" ht="24.75">
      <c r="A24" s="3"/>
      <c r="B24" s="4" t="s">
        <v>35</v>
      </c>
      <c r="C24" s="180" t="str">
        <f>IF(AND(SUMIF('Balance Sheet'!C54:J54,"&gt;0")-SUMIF('Balance Sheet'!C54:J54,"&lt;0")+0*SUM('Balance Sheet'!C54:J54)&lt;0.5,SUMIF('Cash Flow Statement'!C49:J49,"&gt;0")-SUMIF('Cash Flow Statement'!C49:J49,"&lt;0")+0*SUM('Cash Flow Statement'!C49:J49)&lt;0.5,SUMIF('Cash Flow Statement'!C90:I90,"&gt;0")-SUMIF('Cash Flow Statement'!C90:I90,"&lt;0")+0*SUM('Cash Flow Statement'!C90:I90)&lt;0.5,SUMIF('Revenue summary'!C71:J71,"&gt;0")-SUMIF('Revenue summary'!C71:J71,"&lt;0")+0*SUM('Revenue summary'!C71:J71)&lt;0.5,SUMIF('Revenue summary'!C73:I73,"&gt;0")-SUMIF('Revenue summary'!C73:I73,"&lt;0")+0*SUM('Revenue summary'!C73:I73)&lt;0.5,SUMIF('Income Statement'!C103:J103,"&gt;0")-SUMIF('Income Statement'!C103:J103,"&lt;0")+0*SUM('Income Statement'!C103:J103)&lt;0.5,SUMIF('Income Statement'!C111:J111,"&gt;0")-SUMIF('Income Statement'!C111:J111,"&lt;0")+0*SUM('Income Statement'!C111:J111)&lt;0.5,SUMIF('Income Statement'!C58:I58,"&gt;0")-SUMIF('Income Statement'!C58:I58,"&lt;0")+0*SUM('Income Statement'!C58:I58)&lt;0.5,SUMIF('Income Statement'!C79:I79,"&gt;0")-SUMIF('Income Statement'!C79:I79,"&lt;0")+0*SUM('Income Statement'!C79:I79)&lt;0.5,SUMIF('Income Statement'!C82:J82,"&gt;0")-SUMIF('Income Statement'!C82:J82,"&lt;0")+0*SUM('Income Statement'!C82:J82)&lt;0.5,ABS('Income Statement'!G119)&lt;0.5,ABS(C19-'Income Statement'!J9)&lt;0.000001,ABS(C21-'Income Statement'!J75)&lt;0.000001,ABS(C20-'Income Statement'!J80)&lt;0.000001),"PASS","FAIL")</f>
        <v>PASS</v>
      </c>
      <c r="D24" s="40"/>
      <c r="E24" s="40"/>
      <c r="F24" s="40"/>
      <c r="G24" s="40"/>
      <c r="H24" s="40"/>
      <c r="I24" s="40"/>
      <c r="J24" s="181"/>
      <c r="K24" s="42" t="s">
        <v>36</v>
      </c>
    </row>
    <row r="25">
      <c r="A25" s="3"/>
      <c r="B25" s="80" t="s">
        <v>37</v>
      </c>
      <c r="C25" s="110">
        <f>Inputs!C130</f>
        <v>0.74</v>
      </c>
      <c r="D25" s="55"/>
      <c r="E25" s="55"/>
      <c r="F25" s="55"/>
      <c r="G25" s="55"/>
      <c r="H25" s="55"/>
      <c r="I25" s="55"/>
      <c r="J25" s="196"/>
      <c r="K25" s="13"/>
    </row>
    <row r="26">
      <c r="A26" s="3"/>
      <c r="B26" s="2" t="s">
        <v>38</v>
      </c>
      <c r="C26" s="108" t="str">
        <f>Inputs!C131</f>
        <v>medium</v>
      </c>
      <c r="D26" s="73"/>
      <c r="E26" s="73"/>
      <c r="F26" s="73"/>
      <c r="G26" s="73"/>
      <c r="H26" s="73"/>
      <c r="I26" s="73"/>
      <c r="J26" s="195"/>
      <c r="K26" s="13"/>
    </row>
    <row r="27">
      <c r="A27" s="3"/>
      <c r="B27" s="3"/>
      <c r="C27" s="3"/>
      <c r="D27" s="3"/>
      <c r="E27" s="3"/>
      <c r="F27" s="3"/>
      <c r="G27" s="3"/>
      <c r="H27" s="3"/>
      <c r="I27" s="3"/>
      <c r="J27" s="182"/>
      <c r="K27" s="13"/>
    </row>
    <row r="28">
      <c r="A28" s="3"/>
      <c r="B28" s="70" t="s">
        <v>39</v>
      </c>
      <c r="C28" s="3"/>
      <c r="D28" s="3"/>
      <c r="E28" s="3"/>
      <c r="F28" s="3"/>
      <c r="G28" s="3"/>
      <c r="H28" s="3"/>
      <c r="I28" s="3"/>
      <c r="J28" s="182"/>
      <c r="K28" s="13"/>
    </row>
    <row r="29" ht="24.75">
      <c r="A29" s="3"/>
      <c r="B29" s="53" t="s">
        <v>40</v>
      </c>
      <c r="C29" s="64">
        <f>Inputs!C61</f>
        <v>8</v>
      </c>
      <c r="D29" s="59"/>
      <c r="E29" s="59"/>
      <c r="F29" s="59"/>
      <c r="G29" s="59"/>
      <c r="H29" s="59"/>
      <c r="I29" s="59"/>
      <c r="J29" s="194"/>
      <c r="K29" s="42"/>
    </row>
    <row r="30">
      <c r="A30" s="3"/>
      <c r="B30" s="16" t="s">
        <v>41</v>
      </c>
      <c r="C30" s="28">
        <f>Inputs!C58</f>
        <v>2.39</v>
      </c>
      <c r="D30" s="28">
        <f>Inputs!C59</f>
        <v>2.27</v>
      </c>
      <c r="E30" s="26"/>
      <c r="F30" s="26"/>
      <c r="G30" s="26"/>
      <c r="H30" s="26"/>
      <c r="I30" s="26"/>
      <c r="J30" s="184"/>
      <c r="K30" s="13"/>
    </row>
    <row r="31">
      <c r="A31" s="3"/>
      <c r="B31" s="16" t="s">
        <v>42</v>
      </c>
      <c r="C31" s="56">
        <f>Inputs!C76</f>
        <v>11796</v>
      </c>
      <c r="D31" s="56">
        <f>Inputs!C77</f>
        <v>11207</v>
      </c>
      <c r="E31" s="5"/>
      <c r="F31" s="5"/>
      <c r="G31" s="5"/>
      <c r="H31" s="5"/>
      <c r="I31" s="5"/>
      <c r="J31" s="190"/>
      <c r="K31" s="13"/>
    </row>
    <row r="32">
      <c r="A32" s="3"/>
      <c r="B32" s="16" t="s">
        <v>43</v>
      </c>
      <c r="C32" s="45">
        <v>2.31</v>
      </c>
      <c r="D32" s="26"/>
      <c r="E32" s="26"/>
      <c r="F32" s="26"/>
      <c r="G32" s="26"/>
      <c r="H32" s="26"/>
      <c r="I32" s="26"/>
      <c r="J32" s="184"/>
      <c r="K32" s="13" t="s">
        <v>44</v>
      </c>
    </row>
    <row r="33" ht="24.75">
      <c r="A33" s="3"/>
      <c r="B33" s="53" t="s">
        <v>45</v>
      </c>
      <c r="C33" s="35">
        <v>2.32</v>
      </c>
      <c r="D33" s="18"/>
      <c r="E33" s="18"/>
      <c r="F33" s="18"/>
      <c r="G33" s="18"/>
      <c r="H33" s="18"/>
      <c r="I33" s="18"/>
      <c r="J33" s="187"/>
      <c r="K33" s="42"/>
    </row>
    <row r="34" ht="24.75">
      <c r="A34" s="3"/>
      <c r="B34" s="53" t="s">
        <v>46</v>
      </c>
      <c r="C34" s="35">
        <v>2.29</v>
      </c>
      <c r="D34" s="18"/>
      <c r="E34" s="18"/>
      <c r="F34" s="18"/>
      <c r="G34" s="18"/>
      <c r="H34" s="18"/>
      <c r="I34" s="18"/>
      <c r="J34" s="187"/>
      <c r="K34" s="42"/>
    </row>
    <row r="35">
      <c r="A35" s="3"/>
      <c r="B35" s="3"/>
      <c r="C35" s="3"/>
      <c r="D35" s="3"/>
      <c r="E35" s="3"/>
      <c r="F35" s="3"/>
      <c r="G35" s="3"/>
      <c r="H35" s="3"/>
      <c r="I35" s="3"/>
      <c r="J35" s="182"/>
      <c r="K35" s="13"/>
    </row>
    <row r="36">
      <c r="A36" s="3"/>
      <c r="B36" s="70" t="s">
        <v>47</v>
      </c>
      <c r="C36" s="3"/>
      <c r="D36" s="3"/>
      <c r="E36" s="3"/>
      <c r="F36" s="3"/>
      <c r="G36" s="3"/>
      <c r="H36" s="3"/>
      <c r="I36" s="3"/>
      <c r="J36" s="182"/>
      <c r="K36" s="13"/>
    </row>
    <row r="37">
      <c r="A37" s="3"/>
      <c r="B37" s="38" t="s">
        <v>48</v>
      </c>
      <c r="C37" s="3"/>
      <c r="D37" s="3"/>
      <c r="E37" s="3"/>
      <c r="F37" s="3"/>
      <c r="G37" s="3"/>
      <c r="H37" s="3"/>
      <c r="I37" s="3"/>
      <c r="J37" s="182"/>
      <c r="K37" s="13" t="s">
        <v>49</v>
      </c>
    </row>
    <row r="38">
      <c r="A38" s="3"/>
      <c r="B38" s="38" t="s">
        <v>50</v>
      </c>
      <c r="C38" s="3"/>
      <c r="D38" s="3"/>
      <c r="E38" s="3"/>
      <c r="F38" s="3"/>
      <c r="G38" s="3"/>
      <c r="H38" s="3"/>
      <c r="I38" s="3"/>
      <c r="J38" s="182"/>
      <c r="K38" s="13" t="s">
        <v>51</v>
      </c>
    </row>
    <row r="39">
      <c r="A39" s="3"/>
      <c r="B39" s="3"/>
      <c r="C39" s="3"/>
      <c r="D39" s="3"/>
      <c r="E39" s="3"/>
      <c r="F39" s="3"/>
      <c r="G39" s="3"/>
      <c r="H39" s="3"/>
      <c r="I39" s="3"/>
      <c r="J39" s="182"/>
      <c r="K39" s="13"/>
    </row>
    <row r="40">
      <c r="A40" s="3"/>
      <c r="B40" s="3"/>
      <c r="C40" s="3"/>
      <c r="D40" s="3"/>
      <c r="E40" s="3"/>
      <c r="F40" s="3"/>
      <c r="G40" s="3"/>
      <c r="H40" s="3"/>
      <c r="I40" s="3"/>
      <c r="J40" s="182"/>
      <c r="K40" s="1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52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64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16" t="s">
        <v>65</v>
      </c>
      <c r="C9" s="56">
        <f>'Segment - Intl Smoke-Free'!C45</f>
        <v>3076</v>
      </c>
      <c r="D9" s="56">
        <f>'Segment - Intl Smoke-Free'!D45</f>
        <v>3395</v>
      </c>
      <c r="E9" s="56">
        <f>'Segment - Intl Smoke-Free'!E45</f>
        <v>3839</v>
      </c>
      <c r="F9" s="56">
        <f>'Segment - Intl Smoke-Free'!F45</f>
        <v>3686</v>
      </c>
      <c r="G9" s="56">
        <f>'Segment - Intl Smoke-Free'!G45</f>
        <v>13996</v>
      </c>
      <c r="H9" s="56">
        <f>'Segment - Intl Smoke-Free'!H45</f>
        <v>3836</v>
      </c>
      <c r="I9" s="56">
        <f>'Segment - Intl Smoke-Free'!I45</f>
        <v>3877</v>
      </c>
      <c r="J9" s="109">
        <f>'Segment - Intl Smoke-Free'!J45</f>
        <v>4072.5146117886175</v>
      </c>
      <c r="K9" s="13"/>
    </row>
    <row r="10">
      <c r="A10" s="3"/>
      <c r="B10" s="8" t="s">
        <v>66</v>
      </c>
      <c r="C10" s="29">
        <f>C9/C76-1</f>
        <v>0.07929824561403498</v>
      </c>
      <c r="D10" s="29">
        <f>D9/D76-1</f>
        <v>0.12603648424543956</v>
      </c>
      <c r="E10" s="29">
        <f>E9/E76-1</f>
        <v>0.2379877458884232</v>
      </c>
      <c r="F10" s="29">
        <f>F9/F76-1</f>
        <v>0.16682494460272235</v>
      </c>
      <c r="G10" s="29">
        <f>G9/G76-1</f>
        <v>0.15430927835051556</v>
      </c>
      <c r="H10" s="29">
        <f>H9/H76-1</f>
        <v>0.24707412223667102</v>
      </c>
      <c r="I10" s="29">
        <f>I9/I76-1</f>
        <v>0.14197349042709861</v>
      </c>
      <c r="J10" s="68">
        <f>J9/J76-1</f>
        <v>0.060826937168173334</v>
      </c>
      <c r="K10" s="13"/>
    </row>
    <row r="11">
      <c r="A11" s="3"/>
      <c r="B11" s="8" t="s">
        <v>67</v>
      </c>
      <c r="C11" s="29"/>
      <c r="D11" s="29">
        <f>IFERROR(D9/C9-1,"")</f>
        <v>0.10370611183355005</v>
      </c>
      <c r="E11" s="29">
        <f>IFERROR(E9/D9-1,"")</f>
        <v>0.130780559646539</v>
      </c>
      <c r="F11" s="29">
        <f>IFERROR(F9/E9-1,"")</f>
        <v>-0.03985412867934357</v>
      </c>
      <c r="G11" s="29"/>
      <c r="H11" s="29">
        <f>IFERROR(H9/F9-1,"")</f>
        <v>0.04069451980466621</v>
      </c>
      <c r="I11" s="29">
        <f>IFERROR(I9/H9-1,"")</f>
        <v>0.010688216892596358</v>
      </c>
      <c r="J11" s="68">
        <f>IFERROR(J9/I9-1,"")</f>
        <v>0.05042935563286499</v>
      </c>
      <c r="K11" s="13"/>
    </row>
    <row r="12">
      <c r="A12" s="3"/>
      <c r="B12" s="8" t="s">
        <v>68</v>
      </c>
      <c r="C12" s="29">
        <f>C9/C42</f>
        <v>0.3307171271906247</v>
      </c>
      <c r="D12" s="29">
        <f>D9/D42</f>
        <v>0.3348126232741617</v>
      </c>
      <c r="E12" s="29">
        <f>E9/E42</f>
        <v>0.35398801290917475</v>
      </c>
      <c r="F12" s="29">
        <f>F9/F42</f>
        <v>0.3557228334298398</v>
      </c>
      <c r="G12" s="29">
        <f>G9/G42</f>
        <v>0.3443219838614446</v>
      </c>
      <c r="H12" s="29">
        <f>H9/H42</f>
        <v>0.37808003153952296</v>
      </c>
      <c r="I12" s="29">
        <f>I9/I42</f>
        <v>0.34640814867762687</v>
      </c>
      <c r="J12" s="68">
        <f>J9/J42</f>
        <v>0.3563214127572106</v>
      </c>
      <c r="K12" s="13"/>
    </row>
    <row r="13">
      <c r="A13" s="3"/>
      <c r="B13" s="8" t="s">
        <v>69</v>
      </c>
      <c r="C13" s="90">
        <f>(C12-C76/C91)*10000</f>
        <v>65.95666938151112</v>
      </c>
      <c r="D13" s="90">
        <f>(D12-D76/D91)*10000</f>
        <v>163.7155863537848</v>
      </c>
      <c r="E13" s="90">
        <f>(E12-E76/E91)*10000</f>
        <v>411.0333931417931</v>
      </c>
      <c r="F13" s="90">
        <f>(F12-F76/F91)*10000</f>
        <v>302.5405123326036</v>
      </c>
      <c r="G13" s="90">
        <f>(G12-G76/G91)*10000</f>
        <v>242.15325642953644</v>
      </c>
      <c r="H13" s="90">
        <f>(H12-H76/H91)*10000</f>
        <v>473.6290434889828</v>
      </c>
      <c r="I13" s="90">
        <f>(I12-I76/I91)*10000</f>
        <v>115.95525403465146</v>
      </c>
      <c r="J13" s="104">
        <f>(J12-J76/J91)*10000</f>
        <v>23.33399848035822</v>
      </c>
      <c r="K13" s="13"/>
    </row>
    <row r="14">
      <c r="A14" s="3"/>
      <c r="B14" s="8" t="s">
        <v>70</v>
      </c>
      <c r="C14" s="29">
        <f>C77/C76</f>
        <v>-0.0456140350877193</v>
      </c>
      <c r="D14" s="29">
        <f>D77/D76</f>
        <v>0.02155887230514096</v>
      </c>
      <c r="E14" s="29">
        <f>E77/E76</f>
        <v>0.05772331505965817</v>
      </c>
      <c r="F14" s="29">
        <f>F77/F76</f>
        <v>0.05444761000316556</v>
      </c>
      <c r="G14" s="29">
        <f>G77/G76</f>
        <v>0.02358762886597938</v>
      </c>
      <c r="H14" s="29">
        <f>H77/H76</f>
        <v>0.0887516254876463</v>
      </c>
      <c r="I14" s="29">
        <f>I77/I76</f>
        <v>0.0288659793814433</v>
      </c>
      <c r="J14" s="68">
        <f>J77/J76</f>
        <v>0.01</v>
      </c>
      <c r="K14" s="13"/>
    </row>
    <row r="15">
      <c r="A15" s="3"/>
      <c r="B15" s="8" t="s">
        <v>71</v>
      </c>
      <c r="C15" s="29">
        <f>C78/C76</f>
        <v>0</v>
      </c>
      <c r="D15" s="29">
        <f>D78/D76</f>
        <v>0</v>
      </c>
      <c r="E15" s="29">
        <f>E78/E76</f>
        <v>0</v>
      </c>
      <c r="F15" s="29">
        <f>F78/F76</f>
        <v>0</v>
      </c>
      <c r="G15" s="29">
        <f>G78/G76</f>
        <v>0</v>
      </c>
      <c r="H15" s="29">
        <f>H78/H76</f>
        <v>0</v>
      </c>
      <c r="I15" s="29">
        <f>I78/I76</f>
        <v>-0.005007363770250369</v>
      </c>
      <c r="J15" s="68">
        <f>J78/J76</f>
        <v>-0.004428236519927064</v>
      </c>
      <c r="K15" s="13"/>
    </row>
    <row r="16" ht="24.75">
      <c r="A16" s="3"/>
      <c r="B16" s="112" t="s">
        <v>72</v>
      </c>
      <c r="C16" s="62">
        <f>(1+C10)/((1+C15)*(1+C14))-1</f>
        <v>0.13088235294117645</v>
      </c>
      <c r="D16" s="62">
        <f>(1+D10)/((1+D15)*(1+D14))-1</f>
        <v>0.10227272727272729</v>
      </c>
      <c r="E16" s="62">
        <f>(1+E10)/((1+E15)*(1+E14))-1</f>
        <v>0.1704268292682929</v>
      </c>
      <c r="F16" s="62">
        <f>(1+F10)/((1+F15)*(1+F14))-1</f>
        <v>0.10657460222155524</v>
      </c>
      <c r="G16" s="62">
        <f>(1+G10)/((1+G15)*(1+G14))-1</f>
        <v>0.12770929014583854</v>
      </c>
      <c r="H16" s="62">
        <f>(1+H10)/((1+H15)*(1+H14))-1</f>
        <v>0.1454165422514182</v>
      </c>
      <c r="I16" s="62">
        <f>(1+I10)/((1+I15)*(1+I14))-1</f>
        <v>0.11551996829656952</v>
      </c>
      <c r="J16" s="103">
        <f>(1+J10)/((1+J15)*(1+J14))-1</f>
        <v>0.05499546963349711</v>
      </c>
      <c r="K16" s="42"/>
    </row>
    <row r="17">
      <c r="A17" s="3"/>
      <c r="B17" s="16" t="s">
        <v>73</v>
      </c>
      <c r="C17" s="56">
        <f>'Segment - Intl Combustibles'!C23</f>
        <v>5326</v>
      </c>
      <c r="D17" s="56">
        <f>'Segment - Intl Combustibles'!D23</f>
        <v>5883</v>
      </c>
      <c r="E17" s="56">
        <f>'Segment - Intl Combustibles'!E23</f>
        <v>6316</v>
      </c>
      <c r="F17" s="56">
        <f>'Segment - Intl Combustibles'!F23</f>
        <v>5911</v>
      </c>
      <c r="G17" s="56">
        <f>'Segment - Intl Combustibles'!G23</f>
        <v>23436</v>
      </c>
      <c r="H17" s="56">
        <f>'Segment - Intl Combustibles'!H23</f>
        <v>5688</v>
      </c>
      <c r="I17" s="56">
        <f>'Segment - Intl Combustibles'!I23</f>
        <v>6459</v>
      </c>
      <c r="J17" s="109">
        <f>'Segment - Intl Combustibles'!J23</f>
        <v>6600.22</v>
      </c>
      <c r="K17" s="13"/>
    </row>
    <row r="18">
      <c r="A18" s="3"/>
      <c r="B18" s="8" t="s">
        <v>66</v>
      </c>
      <c r="C18" s="29">
        <f>C17/C80-1</f>
        <v>0.005095301000188623</v>
      </c>
      <c r="D18" s="29">
        <f>D17/D80-1</f>
        <v>0.023486430062630514</v>
      </c>
      <c r="E18" s="29">
        <f>E17/E80-1</f>
        <v>0.04552226452574071</v>
      </c>
      <c r="F18" s="29">
        <f>F17/F80-1</f>
        <v>0.033391608391608374</v>
      </c>
      <c r="G18" s="29">
        <f>G17/G80-1</f>
        <v>0.0275341985268327</v>
      </c>
      <c r="H18" s="29">
        <f>H17/H80-1</f>
        <v>0.06796845662786333</v>
      </c>
      <c r="I18" s="29">
        <f>I17/I80-1</f>
        <v>0.09790922998470175</v>
      </c>
      <c r="J18" s="68">
        <f>J17/J80-1</f>
        <v>0.04500000000000015</v>
      </c>
      <c r="K18" s="13"/>
    </row>
    <row r="19">
      <c r="A19" s="3"/>
      <c r="B19" s="8" t="s">
        <v>67</v>
      </c>
      <c r="C19" s="29"/>
      <c r="D19" s="29">
        <f>IFERROR(D17/C17-1,"")</f>
        <v>0.10458129928651894</v>
      </c>
      <c r="E19" s="29">
        <f>IFERROR(E17/D17-1,"")</f>
        <v>0.07360190379058307</v>
      </c>
      <c r="F19" s="29">
        <f>IFERROR(F17/E17-1,"")</f>
        <v>-0.06412286257124766</v>
      </c>
      <c r="G19" s="29"/>
      <c r="H19" s="29">
        <f>IFERROR(H17/F17-1,"")</f>
        <v>-0.03772627305024534</v>
      </c>
      <c r="I19" s="29">
        <f>IFERROR(I17/H17-1,"")</f>
        <v>0.13554852320675104</v>
      </c>
      <c r="J19" s="68">
        <f>IFERROR(J17/I17-1,"")</f>
        <v>0.021864065644836783</v>
      </c>
      <c r="K19" s="13"/>
    </row>
    <row r="20">
      <c r="A20" s="3"/>
      <c r="B20" s="8" t="s">
        <v>68</v>
      </c>
      <c r="C20" s="29">
        <f>C17/C42</f>
        <v>0.5726265992903988</v>
      </c>
      <c r="D20" s="29">
        <f>D17/D42</f>
        <v>0.5801775147928994</v>
      </c>
      <c r="E20" s="29">
        <f>E17/E42</f>
        <v>0.5823881973259567</v>
      </c>
      <c r="F20" s="29">
        <f>F17/F42</f>
        <v>0.5704497201312488</v>
      </c>
      <c r="G20" s="29">
        <f>G17/G42</f>
        <v>0.5765597323361543</v>
      </c>
      <c r="H20" s="29">
        <f>H17/H42</f>
        <v>0.560615020697812</v>
      </c>
      <c r="I20" s="29">
        <f>I17/I42</f>
        <v>0.577108649035025</v>
      </c>
      <c r="J20" s="68">
        <f>J17/J42</f>
        <v>0.5774809765201809</v>
      </c>
      <c r="K20" s="13"/>
    </row>
    <row r="21">
      <c r="A21" s="3"/>
      <c r="B21" s="8" t="s">
        <v>69</v>
      </c>
      <c r="C21" s="90">
        <f>(C20-C80/C91)*10000</f>
        <v>-300.11863122884506</v>
      </c>
      <c r="D21" s="90">
        <f>(D20-D80/D91)*10000</f>
        <v>-269.200770955671</v>
      </c>
      <c r="E21" s="90">
        <f>(E20-E80/E91)*10000</f>
        <v>-271.36573131111174</v>
      </c>
      <c r="F21" s="90">
        <f>(F20-F80/F91)*10000</f>
        <v>-188.76469854327115</v>
      </c>
      <c r="G21" s="90">
        <f>(G20-G80/G91)*10000</f>
        <v>-255.8399225331709</v>
      </c>
      <c r="H21" s="90">
        <f>(H20-H80/H91)*10000</f>
        <v>-120.11578592586835</v>
      </c>
      <c r="I21" s="90">
        <f>(I20-I80/I91)*10000</f>
        <v>-30.688657578743506</v>
      </c>
      <c r="J21" s="104">
        <f>(J20-J80/J91)*10000</f>
        <v>-49.07220805775769</v>
      </c>
      <c r="K21" s="13"/>
    </row>
    <row r="22">
      <c r="A22" s="3"/>
      <c r="B22" s="8" t="s">
        <v>70</v>
      </c>
      <c r="C22" s="29">
        <f>C81/C80</f>
        <v>-0.03925268918663899</v>
      </c>
      <c r="D22" s="29">
        <f>D81/D80</f>
        <v>0.0008698677800974252</v>
      </c>
      <c r="E22" s="29">
        <f>E81/E80</f>
        <v>0.03343817248799868</v>
      </c>
      <c r="F22" s="29">
        <f>F81/F80</f>
        <v>0.029545454545454545</v>
      </c>
      <c r="G22" s="29">
        <f>G81/G80</f>
        <v>0.0073658365485794455</v>
      </c>
      <c r="H22" s="29">
        <f>H81/H80</f>
        <v>0.05820503191888847</v>
      </c>
      <c r="I22" s="29">
        <f>I81/I80</f>
        <v>0.03399626041135475</v>
      </c>
      <c r="J22" s="68">
        <f>J81/J80</f>
        <v>0.01</v>
      </c>
      <c r="K22" s="13"/>
    </row>
    <row r="23">
      <c r="A23" s="3"/>
      <c r="B23" s="8" t="s">
        <v>71</v>
      </c>
      <c r="C23" s="29">
        <f>C82/C80</f>
        <v>0</v>
      </c>
      <c r="D23" s="29">
        <f>D82/D80</f>
        <v>0</v>
      </c>
      <c r="E23" s="29">
        <f>E82/E80</f>
        <v>0</v>
      </c>
      <c r="F23" s="29">
        <f>F82/F80</f>
        <v>0</v>
      </c>
      <c r="G23" s="29">
        <f>G82/G80</f>
        <v>0</v>
      </c>
      <c r="H23" s="29">
        <f>H82/H80</f>
        <v>0</v>
      </c>
      <c r="I23" s="29">
        <f>I82/I80</f>
        <v>0</v>
      </c>
      <c r="J23" s="68">
        <f>J82/J80</f>
        <v>0</v>
      </c>
      <c r="K23" s="13"/>
    </row>
    <row r="24" ht="24.75">
      <c r="A24" s="3"/>
      <c r="B24" s="112" t="s">
        <v>72</v>
      </c>
      <c r="C24" s="62">
        <f>(1+C18)/((1+C23)*(1+C22))-1</f>
        <v>0.04615989000196419</v>
      </c>
      <c r="D24" s="62">
        <f>(1+D18)/((1+D23)*(1+D22))-1</f>
        <v>0.02259690596210695</v>
      </c>
      <c r="E24" s="62">
        <f>(1+E18)/((1+E23)*(1+E22))-1</f>
        <v>0.011693096267819891</v>
      </c>
      <c r="F24" s="62">
        <f>(1+F18)/((1+F23)*(1+F22))-1</f>
        <v>0.0037357785702156754</v>
      </c>
      <c r="G24" s="62">
        <f>(1+G18)/((1+G23)*(1+G22))-1</f>
        <v>0.020020891364902704</v>
      </c>
      <c r="H24" s="62">
        <f>(1+H18)/((1+H23)*(1+H22))-1</f>
        <v>0.009226401703335663</v>
      </c>
      <c r="I24" s="62">
        <f>(1+I18)/((1+I23)*(1+I22))-1</f>
        <v>0.061811606115403483</v>
      </c>
      <c r="J24" s="103">
        <f>(1+J18)/((1+J23)*(1+J22))-1</f>
        <v>0.034653465346534684</v>
      </c>
      <c r="K24" s="42"/>
    </row>
    <row r="25">
      <c r="A25" s="3"/>
      <c r="B25" s="2" t="s">
        <v>74</v>
      </c>
      <c r="C25" s="14">
        <f>C9+C17</f>
        <v>8402</v>
      </c>
      <c r="D25" s="14">
        <f>D9+D17</f>
        <v>9278</v>
      </c>
      <c r="E25" s="14">
        <f>E9+E17</f>
        <v>10155</v>
      </c>
      <c r="F25" s="14">
        <f>F9+F17</f>
        <v>9597</v>
      </c>
      <c r="G25" s="14">
        <f>G9+G17</f>
        <v>37432</v>
      </c>
      <c r="H25" s="14">
        <f>H9+H17</f>
        <v>9524</v>
      </c>
      <c r="I25" s="14">
        <f>I9+I17</f>
        <v>10336</v>
      </c>
      <c r="J25" s="72">
        <f>J9+J17</f>
        <v>10672.734611788617</v>
      </c>
      <c r="K25" s="13"/>
    </row>
    <row r="26">
      <c r="A26" s="3"/>
      <c r="B26" s="8" t="s">
        <v>66</v>
      </c>
      <c r="C26" s="29">
        <f>C25/C88-1</f>
        <v>0.031046754202969762</v>
      </c>
      <c r="D26" s="29">
        <f>D25/D88-1</f>
        <v>0.05876982768458294</v>
      </c>
      <c r="E26" s="29">
        <f>E25/E88-1</f>
        <v>0.11080726318092315</v>
      </c>
      <c r="F26" s="29">
        <f>F25/F88-1</f>
        <v>0.08086496227052598</v>
      </c>
      <c r="G26" s="29">
        <f>G25/G88-1</f>
        <v>0.0715369421463945</v>
      </c>
      <c r="H26" s="29">
        <f>H25/H88-1</f>
        <v>0.13353963342061403</v>
      </c>
      <c r="I26" s="29">
        <f>I25/I88-1</f>
        <v>0.11403319680965729</v>
      </c>
      <c r="J26" s="68">
        <f>J25/J88-1</f>
        <v>0.050983221249494504</v>
      </c>
      <c r="K26" s="13"/>
    </row>
    <row r="27">
      <c r="A27" s="3"/>
      <c r="B27" s="8" t="s">
        <v>67</v>
      </c>
      <c r="C27" s="29"/>
      <c r="D27" s="29">
        <f>IFERROR(D25/C25-1,"")</f>
        <v>0.1042608902642228</v>
      </c>
      <c r="E27" s="29">
        <f>IFERROR(E25/D25-1,"")</f>
        <v>0.09452468204354392</v>
      </c>
      <c r="F27" s="29">
        <f>IFERROR(F25/E25-1,"")</f>
        <v>-0.05494830132939443</v>
      </c>
      <c r="G27" s="29"/>
      <c r="H27" s="29">
        <f>IFERROR(H25/F25-1,"")</f>
        <v>-0.007606543711576541</v>
      </c>
      <c r="I27" s="29">
        <f>IFERROR(I25/H25-1,"")</f>
        <v>0.08525829483410341</v>
      </c>
      <c r="J27" s="68">
        <f>IFERROR(J25/I25-1,"")</f>
        <v>0.032578813060044176</v>
      </c>
      <c r="K27" s="13"/>
    </row>
    <row r="28">
      <c r="A28" s="3"/>
      <c r="B28" s="8" t="s">
        <v>68</v>
      </c>
      <c r="C28" s="29">
        <f>C25/C42</f>
        <v>0.9033437264810236</v>
      </c>
      <c r="D28" s="29">
        <f>D25/D42</f>
        <v>0.9149901380670612</v>
      </c>
      <c r="E28" s="29">
        <f>E25/E42</f>
        <v>0.9363762102351314</v>
      </c>
      <c r="F28" s="29">
        <f>F25/F42</f>
        <v>0.9261725535610886</v>
      </c>
      <c r="G28" s="29">
        <f>G25/G42</f>
        <v>0.9208817161975988</v>
      </c>
      <c r="H28" s="29">
        <f>H25/H42</f>
        <v>0.938695052237335</v>
      </c>
      <c r="I28" s="29">
        <f>I25/I42</f>
        <v>0.9235167977126519</v>
      </c>
      <c r="J28" s="68">
        <f>J25/J42</f>
        <v>0.9338023892773915</v>
      </c>
      <c r="K28" s="13"/>
    </row>
    <row r="29">
      <c r="A29" s="3"/>
      <c r="B29" s="8" t="s">
        <v>69</v>
      </c>
      <c r="C29" s="90">
        <f>(C28-C88/C91)*10000</f>
        <v>-234.1619618473323</v>
      </c>
      <c r="D29" s="90">
        <f>(D28-D88/D91)*10000</f>
        <v>-105.4851846018845</v>
      </c>
      <c r="E29" s="90">
        <f>(E28-E88/E91)*10000</f>
        <v>139.66766183068023</v>
      </c>
      <c r="F29" s="90">
        <f>(F28-F88/F91)*10000</f>
        <v>113.77581378933299</v>
      </c>
      <c r="G29" s="90">
        <f>(G28-G88/G91)*10000</f>
        <v>-13.686666103636114</v>
      </c>
      <c r="H29" s="90">
        <f>(H28-H88/H91)*10000</f>
        <v>353.51325756311394</v>
      </c>
      <c r="I29" s="90">
        <f>(I28-I88/I91)*10000</f>
        <v>85.26659645590739</v>
      </c>
      <c r="J29" s="104">
        <f>(J28-J88/J91)*10000</f>
        <v>-25.738209577399473</v>
      </c>
      <c r="K29" s="13"/>
    </row>
    <row r="30">
      <c r="A30" s="3"/>
      <c r="B30" s="8" t="s">
        <v>70</v>
      </c>
      <c r="C30" s="29">
        <f>C89/C88</f>
        <v>-0.041477481899619584</v>
      </c>
      <c r="D30" s="29">
        <f>D89/D88</f>
        <v>0.007988131918292823</v>
      </c>
      <c r="E30" s="29">
        <f>E89/E88</f>
        <v>0.041675782104572304</v>
      </c>
      <c r="F30" s="29">
        <f>F89/F88</f>
        <v>0.03840522581371776</v>
      </c>
      <c r="G30" s="29">
        <f>G89/G88</f>
        <v>0.012996307216671915</v>
      </c>
      <c r="H30" s="29">
        <f>H89/H88</f>
        <v>0.06938824089502499</v>
      </c>
      <c r="I30" s="29">
        <f>I89/I88</f>
        <v>0.032118991161888336</v>
      </c>
      <c r="J30" s="68">
        <f>J89/J88</f>
        <v>0.010000000000000002</v>
      </c>
      <c r="K30" s="13"/>
    </row>
    <row r="31">
      <c r="A31" s="3"/>
      <c r="B31" s="8" t="s">
        <v>71</v>
      </c>
      <c r="C31" s="29">
        <f>C90/C88</f>
        <v>0</v>
      </c>
      <c r="D31" s="29">
        <f>D90/D88</f>
        <v>0</v>
      </c>
      <c r="E31" s="29">
        <f>E90/E88</f>
        <v>0</v>
      </c>
      <c r="F31" s="29">
        <f>F90/F88</f>
        <v>0</v>
      </c>
      <c r="G31" s="29">
        <f>G90/G88</f>
        <v>0</v>
      </c>
      <c r="H31" s="29">
        <f>H90/H88</f>
        <v>0</v>
      </c>
      <c r="I31" s="29">
        <f>I90/I88</f>
        <v>-0.0018322914421211468</v>
      </c>
      <c r="J31" s="68">
        <f>J90/J88</f>
        <v>-0.001674052191038897</v>
      </c>
      <c r="K31" s="13"/>
    </row>
    <row r="32" ht="24.75">
      <c r="A32" s="3"/>
      <c r="B32" s="112" t="s">
        <v>72</v>
      </c>
      <c r="C32" s="62">
        <f>(1+C26)/((1+C31)*(1+C30))-1</f>
        <v>0.07566252720522337</v>
      </c>
      <c r="D32" s="62">
        <f>(1+D26)/((1+D31)*(1+D30))-1</f>
        <v>0.050379259594701686</v>
      </c>
      <c r="E32" s="62">
        <f>(1+E26)/((1+E31)*(1+E30))-1</f>
        <v>0.06636564107949172</v>
      </c>
      <c r="F32" s="62">
        <f>(1+F26)/((1+F31)*(1+F30))-1</f>
        <v>0.04088937093275491</v>
      </c>
      <c r="G32" s="62">
        <f>(1+G26)/((1+G31)*(1+G30))-1</f>
        <v>0.057789583745443185</v>
      </c>
      <c r="H32" s="62">
        <f>(1+H26)/((1+H31)*(1+H30))-1</f>
        <v>0.059988870339454436</v>
      </c>
      <c r="I32" s="62">
        <f>(1+I26)/((1+I31)*(1+I30))-1</f>
        <v>0.08134642115853641</v>
      </c>
      <c r="J32" s="103">
        <f>(1+J26)/((1+J31)*(1+J30))-1</f>
        <v>0.0423223487934441</v>
      </c>
      <c r="K32" s="42"/>
    </row>
    <row r="33">
      <c r="A33" s="3"/>
      <c r="B33" s="16" t="s">
        <v>75</v>
      </c>
      <c r="C33" s="56">
        <f>'Segment - U.S.'!C58</f>
        <v>899</v>
      </c>
      <c r="D33" s="56">
        <f>'Segment - U.S.'!D58</f>
        <v>862</v>
      </c>
      <c r="E33" s="56">
        <f>'Segment - U.S.'!E58</f>
        <v>689</v>
      </c>
      <c r="F33" s="56">
        <f>'Segment - U.S.'!F58</f>
        <v>765</v>
      </c>
      <c r="G33" s="56">
        <f>'Segment - U.S.'!G58</f>
        <v>3215</v>
      </c>
      <c r="H33" s="56">
        <f>'Segment - U.S.'!H58</f>
        <v>622</v>
      </c>
      <c r="I33" s="56">
        <f>'Segment - U.S.'!I58</f>
        <v>856</v>
      </c>
      <c r="J33" s="109">
        <f>'Segment - U.S.'!J58</f>
        <v>756.5942637217006</v>
      </c>
      <c r="K33" s="13"/>
    </row>
    <row r="34">
      <c r="A34" s="3"/>
      <c r="B34" s="8" t="s">
        <v>66</v>
      </c>
      <c r="C34" s="29">
        <f>C33/C84-1</f>
        <v>0.39596273291925477</v>
      </c>
      <c r="D34" s="29">
        <f>D33/D84-1</f>
        <v>0.2226950354609929</v>
      </c>
      <c r="E34" s="29">
        <f>E33/E84-1</f>
        <v>-0.10403120936280885</v>
      </c>
      <c r="F34" s="29">
        <f>F33/F84-1</f>
        <v>-0.07496977025392981</v>
      </c>
      <c r="G34" s="29">
        <f>G33/G84-1</f>
        <v>0.09168081494057723</v>
      </c>
      <c r="H34" s="29">
        <f>H33/H84-1</f>
        <v>-0.30812013348164624</v>
      </c>
      <c r="I34" s="29">
        <f>I33/I84-1</f>
        <v>-0.00696055684454755</v>
      </c>
      <c r="J34" s="68">
        <f>J33/J84-1</f>
        <v>0.0981048820343986</v>
      </c>
      <c r="K34" s="13"/>
    </row>
    <row r="35">
      <c r="A35" s="3"/>
      <c r="B35" s="8" t="s">
        <v>67</v>
      </c>
      <c r="C35" s="29"/>
      <c r="D35" s="29">
        <f>IFERROR(D33/C33-1,"")</f>
        <v>-0.04115684093437155</v>
      </c>
      <c r="E35" s="29">
        <f>IFERROR(E33/D33-1,"")</f>
        <v>-0.2006960556844548</v>
      </c>
      <c r="F35" s="29">
        <f>IFERROR(F33/E33-1,"")</f>
        <v>0.11030478955007261</v>
      </c>
      <c r="G35" s="29"/>
      <c r="H35" s="29">
        <f>IFERROR(H33/F33-1,"")</f>
        <v>-0.1869281045751634</v>
      </c>
      <c r="I35" s="29">
        <f>IFERROR(I33/H33-1,"")</f>
        <v>0.3762057877813505</v>
      </c>
      <c r="J35" s="68">
        <f>IFERROR(J33/I33-1,"")</f>
        <v>-0.1161281965867984</v>
      </c>
      <c r="K35" s="13"/>
    </row>
    <row r="36">
      <c r="A36" s="3"/>
      <c r="B36" s="8" t="s">
        <v>68</v>
      </c>
      <c r="C36" s="29">
        <f>C33/C42</f>
        <v>0.09665627351897646</v>
      </c>
      <c r="D36" s="29">
        <f>D33/D42</f>
        <v>0.08500986193293886</v>
      </c>
      <c r="E36" s="29">
        <f>E33/E42</f>
        <v>0.06353158137390502</v>
      </c>
      <c r="F36" s="29">
        <f>F33/F42</f>
        <v>0.07382744643891141</v>
      </c>
      <c r="G36" s="29">
        <f>G33/G42</f>
        <v>0.07909368234599488</v>
      </c>
      <c r="H36" s="29">
        <f>H33/H42</f>
        <v>0.06130494776266509</v>
      </c>
      <c r="I36" s="29">
        <f>I33/I42</f>
        <v>0.0764832022873481</v>
      </c>
      <c r="J36" s="68">
        <f>J33/J42</f>
        <v>0.06619761072260848</v>
      </c>
      <c r="K36" s="13"/>
    </row>
    <row r="37">
      <c r="A37" s="3"/>
      <c r="B37" s="8" t="s">
        <v>69</v>
      </c>
      <c r="C37" s="90">
        <f>(C36-C84/C91)*10000</f>
        <v>234.16196184733312</v>
      </c>
      <c r="D37" s="90">
        <f>(D36-D84/D91)*10000</f>
        <v>105.48518460188546</v>
      </c>
      <c r="E37" s="90">
        <f>(E36-E84/E91)*10000</f>
        <v>-140.58974574031615</v>
      </c>
      <c r="F37" s="90">
        <f>(F36-F84/F91)*10000</f>
        <v>-113.77581378933216</v>
      </c>
      <c r="G37" s="90">
        <f>(G36-G84/G91)*10000</f>
        <v>13.440651539572828</v>
      </c>
      <c r="H37" s="90">
        <f>(H36-H84/H91)*10000</f>
        <v>-353.5132575631137</v>
      </c>
      <c r="I37" s="90">
        <f>(I36-I84/I91)*10000</f>
        <v>-85.26659645590753</v>
      </c>
      <c r="J37" s="104">
        <f>(J36-J84/J91)*10000</f>
        <v>26.660293487034554</v>
      </c>
      <c r="K37" s="13"/>
    </row>
    <row r="38">
      <c r="A38" s="3"/>
      <c r="B38" s="8" t="s">
        <v>70</v>
      </c>
      <c r="C38" s="29">
        <f>C85/C84</f>
        <v>-0.003105590062111801</v>
      </c>
      <c r="D38" s="29">
        <f>D85/D84</f>
        <v>0.0014184397163120568</v>
      </c>
      <c r="E38" s="29">
        <f>E85/E84</f>
        <v>0.005201560468140442</v>
      </c>
      <c r="F38" s="29">
        <f>F85/F84</f>
        <v>0.0048367593712212815</v>
      </c>
      <c r="G38" s="29">
        <f>G85/G84</f>
        <v>0.0023769100169779285</v>
      </c>
      <c r="H38" s="29">
        <f>H85/H84</f>
        <v>0.00778642936596218</v>
      </c>
      <c r="I38" s="29">
        <f>I85/I84</f>
        <v>0.001160092807424594</v>
      </c>
      <c r="J38" s="68">
        <f>J85/J84</f>
        <v>0</v>
      </c>
      <c r="K38" s="13"/>
    </row>
    <row r="39">
      <c r="A39" s="3"/>
      <c r="B39" s="8" t="s">
        <v>71</v>
      </c>
      <c r="C39" s="29">
        <f>C86/C84</f>
        <v>-0.07608695652173914</v>
      </c>
      <c r="D39" s="29">
        <f>D86/D84</f>
        <v>-0.05531914893617021</v>
      </c>
      <c r="E39" s="29">
        <f>E86/E84</f>
        <v>-0.0494148244473342</v>
      </c>
      <c r="F39" s="29">
        <f>F86/F84</f>
        <v>-0.053204353083434096</v>
      </c>
      <c r="G39" s="29">
        <f>G86/G84</f>
        <v>-0.057724957555178265</v>
      </c>
      <c r="H39" s="29">
        <f>H86/H84</f>
        <v>0</v>
      </c>
      <c r="I39" s="29">
        <f>I86/I84</f>
        <v>0</v>
      </c>
      <c r="J39" s="68">
        <f>J86/J84</f>
        <v>0</v>
      </c>
      <c r="K39" s="13"/>
    </row>
    <row r="40" ht="24.75">
      <c r="A40" s="3"/>
      <c r="B40" s="112" t="s">
        <v>72</v>
      </c>
      <c r="C40" s="62">
        <f>(1+C34)/((1+C39)*(1+C38))-1</f>
        <v>0.5156312992486713</v>
      </c>
      <c r="D40" s="62">
        <f>(1+D34)/((1+D39)*(1+D38))-1</f>
        <v>0.29246101625705045</v>
      </c>
      <c r="E40" s="62">
        <f>(1+E34)/((1+E39)*(1+E38))-1</f>
        <v>-0.06233287261774345</v>
      </c>
      <c r="F40" s="62">
        <f>(1+F34)/((1+F39)*(1+F38))-1</f>
        <v>-0.027691328824155925</v>
      </c>
      <c r="G40" s="62">
        <f>(1+G34)/((1+G39)*(1+G38))-1</f>
        <v>0.15581129910398195</v>
      </c>
      <c r="H40" s="62">
        <f>(1+H34)/((1+H39)*(1+H38))-1</f>
        <v>-0.3134657836644591</v>
      </c>
      <c r="I40" s="62">
        <f>(1+I34)/((1+I39)*(1+I38))-1</f>
        <v>-0.008111239860950303</v>
      </c>
      <c r="J40" s="103">
        <f>(1+J34)/((1+J39)*(1+J38))-1</f>
        <v>0.0981048820343986</v>
      </c>
      <c r="K40" s="42"/>
    </row>
    <row r="41" ht="24.75">
      <c r="A41" s="3"/>
      <c r="B41" s="52" t="s">
        <v>76</v>
      </c>
      <c r="C41" s="17">
        <f>C72-(C9+C17+C33)</f>
        <v>0</v>
      </c>
      <c r="D41" s="17">
        <f>D72-(D9+D17+D33)</f>
        <v>0</v>
      </c>
      <c r="E41" s="17">
        <f>E72-(E9+E17+E33)</f>
        <v>1</v>
      </c>
      <c r="F41" s="17">
        <f>F72-(F9+F17+F33)</f>
        <v>0</v>
      </c>
      <c r="G41" s="17">
        <f>SUM(C41:F41)</f>
        <v>1</v>
      </c>
      <c r="H41" s="17">
        <f>H72-(H9+H17+H33)</f>
        <v>0</v>
      </c>
      <c r="I41" s="17">
        <f>I72-(I9+I17+I33)</f>
        <v>0</v>
      </c>
      <c r="J41" s="92">
        <v>0</v>
      </c>
      <c r="K41" s="42" t="s">
        <v>77</v>
      </c>
    </row>
    <row r="42">
      <c r="A42" s="3"/>
      <c r="B42" s="2" t="s">
        <v>78</v>
      </c>
      <c r="C42" s="14">
        <f>C25+C33+C41</f>
        <v>9301</v>
      </c>
      <c r="D42" s="14">
        <f>D25+D33+D41</f>
        <v>10140</v>
      </c>
      <c r="E42" s="14">
        <f>E25+E33+E41</f>
        <v>10845</v>
      </c>
      <c r="F42" s="14">
        <f>F25+F33+F41</f>
        <v>10362</v>
      </c>
      <c r="G42" s="14">
        <f>G25+G33+G41</f>
        <v>40648</v>
      </c>
      <c r="H42" s="14">
        <f>H25+H33+H41</f>
        <v>10146</v>
      </c>
      <c r="I42" s="14">
        <f>I25+I33+I41</f>
        <v>11192</v>
      </c>
      <c r="J42" s="72">
        <f>J25+J33+J41</f>
        <v>11429.328875510319</v>
      </c>
      <c r="K42" s="13"/>
    </row>
    <row r="43">
      <c r="A43" s="3"/>
      <c r="B43" s="8" t="s">
        <v>66</v>
      </c>
      <c r="C43" s="29">
        <f>C42/C91-1</f>
        <v>0.057773228704651514</v>
      </c>
      <c r="D43" s="29">
        <f>D42/D91-1</f>
        <v>0.07097591888466415</v>
      </c>
      <c r="E43" s="29">
        <f>E42/E91-1</f>
        <v>0.09423872464937944</v>
      </c>
      <c r="F43" s="29">
        <f>F42/F91-1</f>
        <v>0.06758705955079325</v>
      </c>
      <c r="G43" s="29">
        <f>G42/G91-1</f>
        <v>0.07312952109403881</v>
      </c>
      <c r="H43" s="29">
        <f>H42/H91-1</f>
        <v>0.09085044618858196</v>
      </c>
      <c r="I43" s="29">
        <f>I42/I91-1</f>
        <v>0.10374753451676533</v>
      </c>
      <c r="J43" s="68">
        <f>J42/J91-1</f>
        <v>0.05388002540436321</v>
      </c>
      <c r="K43" s="13"/>
    </row>
    <row r="44">
      <c r="A44" s="3"/>
      <c r="B44" s="8" t="s">
        <v>67</v>
      </c>
      <c r="C44" s="29"/>
      <c r="D44" s="29">
        <f>IFERROR(D42/C42-1,"")</f>
        <v>0.09020535426298237</v>
      </c>
      <c r="E44" s="29">
        <f>IFERROR(E42/D42-1,"")</f>
        <v>0.06952662721893499</v>
      </c>
      <c r="F44" s="29">
        <f>IFERROR(F42/E42-1,"")</f>
        <v>-0.044536652835407975</v>
      </c>
      <c r="G44" s="29"/>
      <c r="H44" s="29">
        <f>IFERROR(H42/F42-1,"")</f>
        <v>-0.02084539664157503</v>
      </c>
      <c r="I44" s="29">
        <f>IFERROR(I42/H42-1,"")</f>
        <v>0.10309481569091261</v>
      </c>
      <c r="J44" s="68">
        <f>IFERROR(J42/I42-1,"")</f>
        <v>0.02120522475967812</v>
      </c>
      <c r="K44" s="13"/>
    </row>
    <row r="45">
      <c r="A45" s="3"/>
      <c r="B45" s="8" t="s">
        <v>70</v>
      </c>
      <c r="C45" s="29">
        <f>C92/C91</f>
        <v>-0.0386671215739793</v>
      </c>
      <c r="D45" s="29">
        <f>D92/D91</f>
        <v>0.007498943810730883</v>
      </c>
      <c r="E45" s="29">
        <f>E92/E91</f>
        <v>0.038845726970033294</v>
      </c>
      <c r="F45" s="29">
        <f>F92/F91</f>
        <v>0.035545023696682464</v>
      </c>
      <c r="G45" s="29">
        <f>G92/G91</f>
        <v>0.01217065314958551</v>
      </c>
      <c r="H45" s="29">
        <f>H92/H91</f>
        <v>0.06343403935060746</v>
      </c>
      <c r="I45" s="29">
        <f>I92/I91</f>
        <v>0.029487179487179487</v>
      </c>
      <c r="J45" s="68">
        <f>J92/J91</f>
        <v>0.009363762102351314</v>
      </c>
      <c r="K45" s="13"/>
    </row>
    <row r="46">
      <c r="A46" s="3"/>
      <c r="B46" s="8" t="s">
        <v>71</v>
      </c>
      <c r="C46" s="29">
        <f>C93/C91</f>
        <v>-0.00557261457977937</v>
      </c>
      <c r="D46" s="29">
        <f>D93/D91</f>
        <v>-0.004119138149556401</v>
      </c>
      <c r="E46" s="29">
        <f>E93/E91</f>
        <v>-0.0038341237009383512</v>
      </c>
      <c r="F46" s="29">
        <f>F93/F91</f>
        <v>-0.00453327838450443</v>
      </c>
      <c r="G46" s="29">
        <f>G93/G91</f>
        <v>-0.004488093352341729</v>
      </c>
      <c r="H46" s="29">
        <f>H93/H91</f>
        <v>0</v>
      </c>
      <c r="I46" s="29">
        <f>I93/I91</f>
        <v>-0.0016765285996055226</v>
      </c>
      <c r="J46" s="68">
        <f>J93/J91</f>
        <v>-0.0015675426463808207</v>
      </c>
      <c r="K46" s="13"/>
    </row>
    <row r="47" ht="24.75">
      <c r="A47" s="3"/>
      <c r="B47" s="112" t="s">
        <v>72</v>
      </c>
      <c r="C47" s="62">
        <f>(1+C43)/((1+C46)*(1+C45))-1</f>
        <v>0.106485430065973</v>
      </c>
      <c r="D47" s="62">
        <f>(1+D43)/((1+D46)*(1+D45))-1</f>
        <v>0.06740128114810551</v>
      </c>
      <c r="E47" s="62">
        <f>(1+E43)/((1+E46)*(1+E45))-1</f>
        <v>0.05737578789082898</v>
      </c>
      <c r="F47" s="62">
        <f>(1+F43)/((1+F46)*(1+F45))-1</f>
        <v>0.03563702574950933</v>
      </c>
      <c r="G47" s="62">
        <f>(1+G43)/((1+G46)*(1+G45))-1</f>
        <v>0.06500572476610156</v>
      </c>
      <c r="H47" s="62">
        <f>(1+H43)/((1+H46)*(1+H45))-1</f>
        <v>0.02578101304215963</v>
      </c>
      <c r="I47" s="62">
        <f>(1+I43)/((1+I46)*(1+I45))-1</f>
        <v>0.07393382688079853</v>
      </c>
      <c r="J47" s="103">
        <f>(1+J43)/((1+J46)*(1+J45))-1</f>
        <v>0.0457425366043418</v>
      </c>
      <c r="K47" s="42"/>
    </row>
    <row r="48" ht="24.75">
      <c r="A48" s="3"/>
      <c r="B48" s="112" t="s">
        <v>79</v>
      </c>
      <c r="C48" s="62">
        <f>C94/C91</f>
        <v>0.10224041851472762</v>
      </c>
      <c r="D48" s="62">
        <f>D94/D91</f>
        <v>0.06759611322348964</v>
      </c>
      <c r="E48" s="62">
        <f>E94/E91</f>
        <v>0.059227121380284534</v>
      </c>
      <c r="F48" s="62">
        <f>F94/F91</f>
        <v>0.03657531423861529</v>
      </c>
      <c r="G48" s="62">
        <f>G94/G91</f>
        <v>0.06549976239505782</v>
      </c>
      <c r="H48" s="62">
        <f>H94/H91</f>
        <v>0.027523922158907643</v>
      </c>
      <c r="I48" s="62">
        <f>I94/I91</f>
        <v>0.07593688362919132</v>
      </c>
      <c r="J48" s="103">
        <f>J94/J91</f>
        <v>0.046176014339356294</v>
      </c>
      <c r="K48" s="42" t="s">
        <v>80</v>
      </c>
    </row>
    <row r="49">
      <c r="A49" s="3"/>
      <c r="B49" s="3"/>
      <c r="C49" s="3"/>
      <c r="D49" s="3"/>
      <c r="E49" s="3"/>
      <c r="F49" s="3"/>
      <c r="G49" s="3"/>
      <c r="H49" s="3"/>
      <c r="I49" s="3"/>
      <c r="J49" s="50"/>
      <c r="K49" s="13"/>
    </row>
    <row r="50">
      <c r="A50" s="3"/>
      <c r="B50" s="70" t="s">
        <v>81</v>
      </c>
      <c r="C50" s="3"/>
      <c r="D50" s="3"/>
      <c r="E50" s="3"/>
      <c r="F50" s="3"/>
      <c r="G50" s="3"/>
      <c r="H50" s="3"/>
      <c r="I50" s="3"/>
      <c r="J50" s="50"/>
      <c r="K50" s="13"/>
    </row>
    <row r="51" ht="24.75">
      <c r="A51" s="3"/>
      <c r="B51" s="4" t="s">
        <v>82</v>
      </c>
      <c r="C51" s="124">
        <f>C9+'Segment - U.S.'!C40</f>
        <v>3894</v>
      </c>
      <c r="D51" s="124">
        <f>D9+'Segment - U.S.'!D40</f>
        <v>4161</v>
      </c>
      <c r="E51" s="124">
        <f>E9+'Segment - U.S.'!E40</f>
        <v>4444</v>
      </c>
      <c r="F51" s="124">
        <f>F9+'Segment - U.S.'!F40</f>
        <v>4354</v>
      </c>
      <c r="G51" s="124">
        <f>G9+'Segment - U.S.'!G40</f>
        <v>16853</v>
      </c>
      <c r="H51" s="124">
        <f>H9+'Segment - U.S.'!H40</f>
        <v>4379</v>
      </c>
      <c r="I51" s="124">
        <f>I9+'Segment - U.S.'!I40</f>
        <v>4645</v>
      </c>
      <c r="J51" s="126">
        <f>J9+'Segment - U.S.'!J40</f>
        <v>4749.308875510318</v>
      </c>
      <c r="K51" s="42"/>
    </row>
    <row r="52">
      <c r="A52" s="3"/>
      <c r="B52" s="8" t="s">
        <v>66</v>
      </c>
      <c r="C52" s="29">
        <f>C51/C95-1</f>
        <v>0.15036927621861151</v>
      </c>
      <c r="D52" s="29">
        <f>D51/D95-1</f>
        <v>0.15263157894736845</v>
      </c>
      <c r="E52" s="29">
        <f>E51/E95-1</f>
        <v>0.17690677966101687</v>
      </c>
      <c r="F52" s="29">
        <f>F51/F95-1</f>
        <v>0.1201440699768459</v>
      </c>
      <c r="G52" s="29">
        <f>G51/G95-1</f>
        <v>0.14974757811434025</v>
      </c>
      <c r="H52" s="29">
        <f>H51/H95-1</f>
        <v>0.12455059065228546</v>
      </c>
      <c r="I52" s="29">
        <f>I51/I95-1</f>
        <v>0.11631819274212929</v>
      </c>
      <c r="J52" s="68">
        <f>J51/J95-1</f>
        <v>0.06870136712653419</v>
      </c>
      <c r="K52" s="13"/>
    </row>
    <row r="53">
      <c r="A53" s="3"/>
      <c r="B53" s="8" t="s">
        <v>67</v>
      </c>
      <c r="C53" s="29"/>
      <c r="D53" s="29">
        <f>IFERROR(D51/C51-1,"")</f>
        <v>0.0685670261941449</v>
      </c>
      <c r="E53" s="29">
        <f>IFERROR(E51/D51-1,"")</f>
        <v>0.06801249699591438</v>
      </c>
      <c r="F53" s="29">
        <f>IFERROR(F51/E51-1,"")</f>
        <v>-0.02025202520252023</v>
      </c>
      <c r="G53" s="29"/>
      <c r="H53" s="29">
        <f>IFERROR(H51/F51-1,"")</f>
        <v>0.005741846577859366</v>
      </c>
      <c r="I53" s="29">
        <f>IFERROR(I51/H51-1,"")</f>
        <v>0.060744462205983174</v>
      </c>
      <c r="J53" s="68">
        <f>IFERROR(J51/I51-1,"")</f>
        <v>0.022456162650229983</v>
      </c>
      <c r="K53" s="13"/>
    </row>
    <row r="54" ht="24.75">
      <c r="A54" s="3"/>
      <c r="B54" s="112" t="s">
        <v>83</v>
      </c>
      <c r="C54" s="62">
        <f>C51/C42</f>
        <v>0.41866465971400924</v>
      </c>
      <c r="D54" s="62">
        <f>D51/D42</f>
        <v>0.41035502958579884</v>
      </c>
      <c r="E54" s="62">
        <f>E51/E42</f>
        <v>0.4097740894421392</v>
      </c>
      <c r="F54" s="62">
        <f>F51/F42</f>
        <v>0.4201891526732291</v>
      </c>
      <c r="G54" s="62">
        <f>G51/G42</f>
        <v>0.414608344814013</v>
      </c>
      <c r="H54" s="62">
        <f>H51/H42</f>
        <v>0.431598659570274</v>
      </c>
      <c r="I54" s="62">
        <f>I51/I42</f>
        <v>0.41502859185132235</v>
      </c>
      <c r="J54" s="103">
        <f>J51/J42</f>
        <v>0.4155369862255593</v>
      </c>
      <c r="K54" s="42"/>
    </row>
    <row r="55">
      <c r="A55" s="3"/>
      <c r="B55" s="8" t="s">
        <v>84</v>
      </c>
      <c r="C55" s="90">
        <f>(C54-C96)*10000</f>
        <v>336.9934639659766</v>
      </c>
      <c r="D55" s="90">
        <f>(D54-D96)*10000</f>
        <v>290.70703434552536</v>
      </c>
      <c r="E55" s="90">
        <f>(E54-E96)*10000</f>
        <v>287.8327115942303</v>
      </c>
      <c r="F55" s="90">
        <f>(F54-F96)*10000</f>
        <v>197.15219023939966</v>
      </c>
      <c r="G55" s="90">
        <f>(G54-G96)*10000</f>
        <v>276.29095645630264</v>
      </c>
      <c r="H55" s="90">
        <f>(H54-H96)*10000</f>
        <v>129.33999856264757</v>
      </c>
      <c r="I55" s="90">
        <f>(I54-I96)*10000</f>
        <v>46.73562265523512</v>
      </c>
      <c r="J55" s="104">
        <f>(J54-J96)*10000</f>
        <v>57.62896783420069</v>
      </c>
      <c r="K55" s="13"/>
    </row>
    <row r="56">
      <c r="A56" s="3"/>
      <c r="B56" s="8" t="s">
        <v>70</v>
      </c>
      <c r="C56" s="123">
        <f>('Segment - Intl Smoke-Free'!C43+'Segment - U.S.'!C43)/C95</f>
        <v>-0.03899556868537666</v>
      </c>
      <c r="D56" s="123">
        <f>('Segment - Intl Smoke-Free'!D43+'Segment - U.S.'!D43)/D95</f>
        <v>0.018282548476454295</v>
      </c>
      <c r="E56" s="123">
        <f>('Segment - Intl Smoke-Free'!E43+'Segment - U.S.'!E43)/E95</f>
        <v>0.04846398305084746</v>
      </c>
      <c r="F56" s="123">
        <f>('Segment - Intl Smoke-Free'!F43+'Segment - U.S.'!F43)/F95</f>
        <v>0.04527913558013893</v>
      </c>
      <c r="G56" s="123">
        <f>('Segment - Intl Smoke-Free'!G43+'Segment - U.S.'!G43)/G95</f>
        <v>0.0199890844589985</v>
      </c>
      <c r="H56" s="123">
        <f>('Segment - Intl Smoke-Free'!H43+'Segment - U.S.'!H43)/H95</f>
        <v>0.07190549563430919</v>
      </c>
      <c r="I56" s="123">
        <f>('Segment - Intl Smoke-Free'!I43+'Segment - U.S.'!I43)/I95</f>
        <v>0.023792357606344627</v>
      </c>
      <c r="J56" s="127">
        <f>('Segment - Intl Smoke-Free'!J43+'Segment - U.S.'!J43)/J95</f>
        <v>0.00863861386138614</v>
      </c>
      <c r="K56" s="13"/>
    </row>
    <row r="57">
      <c r="A57" s="3"/>
      <c r="B57" s="8" t="s">
        <v>71</v>
      </c>
      <c r="C57" s="123">
        <f>('Segment - Intl Smoke-Free'!C42+'Segment - U.S.'!C44)/C95</f>
        <v>-0.01447562776957164</v>
      </c>
      <c r="D57" s="123">
        <f>('Segment - Intl Smoke-Free'!D42+'Segment - U.S.'!D44)/D95</f>
        <v>-0.010803324099722992</v>
      </c>
      <c r="E57" s="123">
        <f>('Segment - Intl Smoke-Free'!E42+'Segment - U.S.'!E44)/E95</f>
        <v>-0.010063559322033898</v>
      </c>
      <c r="F57" s="123">
        <f>('Segment - Intl Smoke-Free'!F42+'Segment - U.S.'!F44)/F95</f>
        <v>-0.011319783895034732</v>
      </c>
      <c r="G57" s="123">
        <f>('Segment - Intl Smoke-Free'!G42+'Segment - U.S.'!G44)/G95</f>
        <v>-0.011597762314094692</v>
      </c>
      <c r="H57" s="123">
        <f>('Segment - Intl Smoke-Free'!H42+'Segment - U.S.'!H44)/H95</f>
        <v>0</v>
      </c>
      <c r="I57" s="123">
        <f>('Segment - Intl Smoke-Free'!I42+'Segment - U.S.'!I44)/I95</f>
        <v>-0.004085556356645037</v>
      </c>
      <c r="J57" s="127">
        <f>('Segment - Intl Smoke-Free'!J42+'Segment - U.S.'!J44)/J95</f>
        <v>-0.003825382538253825</v>
      </c>
      <c r="K57" s="13"/>
    </row>
    <row r="58" ht="24.75">
      <c r="A58" s="3"/>
      <c r="B58" s="112" t="s">
        <v>72</v>
      </c>
      <c r="C58" s="62">
        <f>(1+C52)/((1+C57)*(1+C56))-1</f>
        <v>0.2146314304228305</v>
      </c>
      <c r="D58" s="62">
        <f>(1+D52)/((1+D57)*(1+D56))-1</f>
        <v>0.1442991222058725</v>
      </c>
      <c r="E58" s="62">
        <f>(1+E52)/((1+E57)*(1+E56))-1</f>
        <v>0.13391692347903605</v>
      </c>
      <c r="F58" s="62">
        <f>(1+F52)/((1+F57)*(1+F56))-1</f>
        <v>0.08389137029849092</v>
      </c>
      <c r="G58" s="62">
        <f>(1+G52)/((1+G57)*(1+G56))-1</f>
        <v>0.14044214782831355</v>
      </c>
      <c r="H58" s="62">
        <f>(1+H52)/((1+H57)*(1+H56))-1</f>
        <v>0.04911356013416368</v>
      </c>
      <c r="I58" s="62">
        <f>(1+I52)/((1+I57)*(1+I56))-1</f>
        <v>0.09484865272717413</v>
      </c>
      <c r="J58" s="103">
        <f>(1+J52)/((1+J57)*(1+J56))-1</f>
        <v>0.06361708037229241</v>
      </c>
      <c r="K58" s="42"/>
    </row>
    <row r="59" ht="24.75">
      <c r="A59" s="3"/>
      <c r="B59" s="4" t="s">
        <v>85</v>
      </c>
      <c r="C59" s="124">
        <f>C17+'Segment - U.S.'!C51</f>
        <v>5407</v>
      </c>
      <c r="D59" s="124">
        <f>D17+'Segment - U.S.'!D51</f>
        <v>5979</v>
      </c>
      <c r="E59" s="124">
        <f>E17+'Segment - U.S.'!E51</f>
        <v>6400</v>
      </c>
      <c r="F59" s="124">
        <f>F17+'Segment - U.S.'!F51</f>
        <v>6008</v>
      </c>
      <c r="G59" s="124">
        <f>G17+'Segment - U.S.'!G51</f>
        <v>23794</v>
      </c>
      <c r="H59" s="124">
        <f>H17+'Segment - U.S.'!H51</f>
        <v>5767</v>
      </c>
      <c r="I59" s="124">
        <f>I17+'Segment - U.S.'!I51</f>
        <v>6547</v>
      </c>
      <c r="J59" s="126">
        <f>J17+'Segment - U.S.'!J51</f>
        <v>6680.02</v>
      </c>
      <c r="K59" s="42"/>
    </row>
    <row r="60">
      <c r="A60" s="3"/>
      <c r="B60" s="8" t="s">
        <v>66</v>
      </c>
      <c r="C60" s="29">
        <f>C59/C97-1</f>
        <v>0</v>
      </c>
      <c r="D60" s="29">
        <f>D59/D97-1</f>
        <v>0.020655513827244842</v>
      </c>
      <c r="E60" s="29">
        <f>E59/E97-1</f>
        <v>0.04336485164656012</v>
      </c>
      <c r="F60" s="29">
        <f>F59/F97-1</f>
        <v>0.03247980752706647</v>
      </c>
      <c r="G60" s="29">
        <f>G59/G97-1</f>
        <v>0.024808338358170312</v>
      </c>
      <c r="H60" s="29">
        <f>H59/H97-1</f>
        <v>0.0665803587941558</v>
      </c>
      <c r="I60" s="29">
        <f>I59/I97-1</f>
        <v>0.09499916373975581</v>
      </c>
      <c r="J60" s="68">
        <f>J59/J97-1</f>
        <v>0.04375312500000006</v>
      </c>
      <c r="K60" s="13"/>
    </row>
    <row r="61">
      <c r="A61" s="3"/>
      <c r="B61" s="8" t="s">
        <v>67</v>
      </c>
      <c r="C61" s="29"/>
      <c r="D61" s="29">
        <f>IFERROR(D59/C59-1,"")</f>
        <v>0.1057887923062697</v>
      </c>
      <c r="E61" s="29">
        <f>IFERROR(E59/D59-1,"")</f>
        <v>0.07041311256062888</v>
      </c>
      <c r="F61" s="29">
        <f>IFERROR(F59/E59-1,"")</f>
        <v>-0.06125000000000003</v>
      </c>
      <c r="G61" s="29"/>
      <c r="H61" s="29">
        <f>IFERROR(H59/F59-1,"")</f>
        <v>-0.04011318242343542</v>
      </c>
      <c r="I61" s="29">
        <f>IFERROR(I59/H59-1,"")</f>
        <v>0.13525229755505452</v>
      </c>
      <c r="J61" s="68">
        <f>IFERROR(J59/I59-1,"")</f>
        <v>0.02031770276462508</v>
      </c>
      <c r="K61" s="13"/>
    </row>
    <row r="62">
      <c r="A62" s="3"/>
      <c r="B62" s="8" t="s">
        <v>68</v>
      </c>
      <c r="C62" s="29">
        <f>C59/C42</f>
        <v>0.5813353402859908</v>
      </c>
      <c r="D62" s="29">
        <f>D59/D42</f>
        <v>0.5896449704142012</v>
      </c>
      <c r="E62" s="29">
        <f>E59/E42</f>
        <v>0.5901337021668972</v>
      </c>
      <c r="F62" s="29">
        <f>F59/F42</f>
        <v>0.5798108473267709</v>
      </c>
      <c r="G62" s="29">
        <f>G59/G42</f>
        <v>0.5853670537295808</v>
      </c>
      <c r="H62" s="29">
        <f>H59/H42</f>
        <v>0.568401340429726</v>
      </c>
      <c r="I62" s="29">
        <f>I59/I42</f>
        <v>0.5849714081486777</v>
      </c>
      <c r="J62" s="68">
        <f>J59/J42</f>
        <v>0.5844630137744408</v>
      </c>
      <c r="K62" s="13"/>
    </row>
    <row r="63">
      <c r="A63" s="3"/>
      <c r="B63" s="8" t="s">
        <v>69</v>
      </c>
      <c r="C63" s="90">
        <f>(C62-C97/C91)*10000</f>
        <v>-335.85619568438864</v>
      </c>
      <c r="D63" s="90">
        <f>(D62-D97/D91)*10000</f>
        <v>-290.70703434552536</v>
      </c>
      <c r="E63" s="90">
        <f>(E62-E97/E91)*10000</f>
        <v>-287.7458155825663</v>
      </c>
      <c r="F63" s="90">
        <f>(F62-F97/F91)*10000</f>
        <v>-197.15219023940023</v>
      </c>
      <c r="G63" s="90">
        <f>(G62-G97/G91)*10000</f>
        <v>-276.00896003773687</v>
      </c>
      <c r="H63" s="90">
        <f>(H62-H97/H91)*10000</f>
        <v>-129.33999856264757</v>
      </c>
      <c r="I63" s="90">
        <f>(I62-I97/I91)*10000</f>
        <v>-46.73562265523512</v>
      </c>
      <c r="J63" s="104">
        <f>(J62-J97/J91)*10000</f>
        <v>-56.70688392456435</v>
      </c>
      <c r="K63" s="13"/>
    </row>
    <row r="64">
      <c r="A64" s="3"/>
      <c r="B64" s="8" t="s">
        <v>70</v>
      </c>
      <c r="C64" s="123">
        <f>'Segment - Intl Combustibles'!C21/C97</f>
        <v>-0.038468651747734416</v>
      </c>
      <c r="D64" s="123">
        <f>'Segment - Intl Combustibles'!D21/D97</f>
        <v>0.0008535336292249915</v>
      </c>
      <c r="E64" s="123">
        <f>'Segment - Intl Combustibles'!E21/E97</f>
        <v>0.03293120313009455</v>
      </c>
      <c r="F64" s="123">
        <f>'Segment - Intl Combustibles'!F21/F97</f>
        <v>0.02904279085753566</v>
      </c>
      <c r="G64" s="123">
        <f>'Segment - Intl Combustibles'!G21/G97</f>
        <v>0.007235765354466362</v>
      </c>
      <c r="H64" s="123">
        <f>'Segment - Intl Combustibles'!H21/H97</f>
        <v>0.05733308673941187</v>
      </c>
      <c r="I64" s="123">
        <f>'Segment - Intl Combustibles'!I21/I97</f>
        <v>0.03345040976751965</v>
      </c>
      <c r="J64" s="127">
        <f>'Segment - Intl Combustibles'!J21/J97</f>
        <v>0.00986875</v>
      </c>
      <c r="K64" s="13"/>
    </row>
    <row r="65">
      <c r="A65" s="3"/>
      <c r="B65" s="8" t="s">
        <v>71</v>
      </c>
      <c r="C65" s="123">
        <f>'Segment - Intl Combustibles'!C20/C97</f>
        <v>0</v>
      </c>
      <c r="D65" s="123">
        <f>'Segment - Intl Combustibles'!D20/D97</f>
        <v>0</v>
      </c>
      <c r="E65" s="123">
        <f>'Segment - Intl Combustibles'!E20/E97</f>
        <v>0</v>
      </c>
      <c r="F65" s="123">
        <f>'Segment - Intl Combustibles'!F20/F97</f>
        <v>0</v>
      </c>
      <c r="G65" s="123">
        <f>'Segment - Intl Combustibles'!G20/G97</f>
        <v>0</v>
      </c>
      <c r="H65" s="123">
        <f>'Segment - Intl Combustibles'!H20/H97</f>
        <v>0</v>
      </c>
      <c r="I65" s="123">
        <f>'Segment - Intl Combustibles'!I20/I97</f>
        <v>0</v>
      </c>
      <c r="J65" s="127">
        <f>'Segment - Intl Combustibles'!J20/J97</f>
        <v>0</v>
      </c>
      <c r="K65" s="13"/>
    </row>
    <row r="66" ht="24.75">
      <c r="A66" s="3"/>
      <c r="B66" s="112" t="s">
        <v>72</v>
      </c>
      <c r="C66" s="62">
        <f>(1+C60)/((1+C65)*(1+C64))-1</f>
        <v>0.04000769378726665</v>
      </c>
      <c r="D66" s="62">
        <f>(1+D60)/((1+D65)*(1+D64))-1</f>
        <v>0.019785092955824757</v>
      </c>
      <c r="E66" s="62">
        <f>(1+E60)/((1+E65)*(1+E64))-1</f>
        <v>0.010101010101010166</v>
      </c>
      <c r="F66" s="62">
        <f>(1+F60)/((1+F65)*(1+F64))-1</f>
        <v>0.0033400133600534065</v>
      </c>
      <c r="G66" s="62">
        <f>(1+G60)/((1+G65)*(1+G64))-1</f>
        <v>0.017446335414350367</v>
      </c>
      <c r="H66" s="62">
        <f>(1+H60)/((1+H65)*(1+H64))-1</f>
        <v>0.008745845723281409</v>
      </c>
      <c r="I66" s="62">
        <f>(1+I60)/((1+I65)*(1+I64))-1</f>
        <v>0.05955656255057451</v>
      </c>
      <c r="J66" s="103">
        <f>(1+J60)/((1+J65)*(1+J64))-1</f>
        <v>0.033553246399594006</v>
      </c>
      <c r="K66" s="42"/>
    </row>
    <row r="67">
      <c r="A67" s="3"/>
      <c r="B67" s="3"/>
      <c r="C67" s="3"/>
      <c r="D67" s="3"/>
      <c r="E67" s="3"/>
      <c r="F67" s="3"/>
      <c r="G67" s="3"/>
      <c r="H67" s="3"/>
      <c r="I67" s="3"/>
      <c r="J67" s="50"/>
      <c r="K67" s="13"/>
    </row>
    <row r="68">
      <c r="A68" s="3"/>
      <c r="B68" s="38" t="s">
        <v>86</v>
      </c>
      <c r="C68" s="3"/>
      <c r="D68" s="3"/>
      <c r="E68" s="3"/>
      <c r="F68" s="3"/>
      <c r="G68" s="3"/>
      <c r="H68" s="3"/>
      <c r="I68" s="3"/>
      <c r="J68" s="50"/>
      <c r="K68" s="13"/>
    </row>
    <row r="69">
      <c r="A69" s="3"/>
      <c r="B69" s="3"/>
      <c r="C69" s="3"/>
      <c r="D69" s="3"/>
      <c r="E69" s="3"/>
      <c r="F69" s="3"/>
      <c r="G69" s="3"/>
      <c r="H69" s="3"/>
      <c r="I69" s="3"/>
      <c r="J69" s="50"/>
      <c r="K69" s="13"/>
    </row>
    <row r="70">
      <c r="A70" s="3"/>
      <c r="B70" s="70" t="s">
        <v>87</v>
      </c>
      <c r="C70" s="3"/>
      <c r="D70" s="3"/>
      <c r="E70" s="3"/>
      <c r="F70" s="3"/>
      <c r="G70" s="3"/>
      <c r="H70" s="3"/>
      <c r="I70" s="3"/>
      <c r="J70" s="50"/>
      <c r="K70" s="13"/>
    </row>
    <row r="71" ht="24.75">
      <c r="A71" s="3"/>
      <c r="B71" s="122" t="s">
        <v>88</v>
      </c>
      <c r="C71" s="17">
        <f>C51+C59+C41-C42</f>
        <v>0</v>
      </c>
      <c r="D71" s="17">
        <f>D51+D59+D41-D42</f>
        <v>0</v>
      </c>
      <c r="E71" s="17">
        <f>E51+E59+E41-E42</f>
        <v>0</v>
      </c>
      <c r="F71" s="17">
        <f>F51+F59+F41-F42</f>
        <v>0</v>
      </c>
      <c r="G71" s="17">
        <f>G51+G59+G41-G42</f>
        <v>0</v>
      </c>
      <c r="H71" s="17">
        <f>H51+H59+H41-H42</f>
        <v>0</v>
      </c>
      <c r="I71" s="17">
        <f>I51+I59+I41-I42</f>
        <v>0</v>
      </c>
      <c r="J71" s="1">
        <f>J51+J59+J41-J42</f>
        <v>0</v>
      </c>
      <c r="K71" s="42" t="s">
        <v>89</v>
      </c>
    </row>
    <row r="72" ht="24.75">
      <c r="A72" s="3"/>
      <c r="B72" s="53" t="s">
        <v>90</v>
      </c>
      <c r="C72" s="78">
        <f>Inputs!C16</f>
        <v>9301</v>
      </c>
      <c r="D72" s="78">
        <f>Inputs!D16</f>
        <v>10140</v>
      </c>
      <c r="E72" s="78">
        <f>Inputs!E16</f>
        <v>10845</v>
      </c>
      <c r="F72" s="78">
        <f>Inputs!F16</f>
        <v>10362</v>
      </c>
      <c r="G72" s="17"/>
      <c r="H72" s="78">
        <f>Inputs!H16</f>
        <v>10146</v>
      </c>
      <c r="I72" s="78">
        <f>Inputs!I16</f>
        <v>11192</v>
      </c>
      <c r="J72" s="1"/>
      <c r="K72" s="42" t="s">
        <v>91</v>
      </c>
    </row>
    <row r="73" ht="24.75">
      <c r="A73" s="3"/>
      <c r="B73" s="122" t="s">
        <v>92</v>
      </c>
      <c r="C73" s="17">
        <f>IF(ABS(C41)&lt;=1,0,C41)</f>
        <v>0</v>
      </c>
      <c r="D73" s="17">
        <f>IF(ABS(D41)&lt;=1,0,D41)</f>
        <v>0</v>
      </c>
      <c r="E73" s="17">
        <f>IF(ABS(E41)&lt;=1,0,E41)</f>
        <v>0</v>
      </c>
      <c r="F73" s="17">
        <f>IF(ABS(F41)&lt;=1,0,F41)</f>
        <v>0</v>
      </c>
      <c r="G73" s="17">
        <f>IF(ABS(G41)&lt;=COUNT(C41:F41),0,G41)</f>
        <v>0</v>
      </c>
      <c r="H73" s="17">
        <f>IF(ABS(H41)&lt;=1,0,H41)</f>
        <v>0</v>
      </c>
      <c r="I73" s="17">
        <f>IF(ABS(I41)&lt;=1,0,I41)</f>
        <v>0</v>
      </c>
      <c r="J73" s="1"/>
      <c r="K73" s="42" t="s">
        <v>93</v>
      </c>
    </row>
    <row r="74">
      <c r="A74" s="3"/>
      <c r="B74" s="3"/>
      <c r="C74" s="3"/>
      <c r="D74" s="3"/>
      <c r="E74" s="3"/>
      <c r="F74" s="3"/>
      <c r="G74" s="3"/>
      <c r="H74" s="3"/>
      <c r="I74" s="3"/>
      <c r="J74" s="50"/>
      <c r="K74" s="13"/>
    </row>
    <row r="75">
      <c r="A75" s="3"/>
      <c r="B75" s="70" t="s">
        <v>94</v>
      </c>
      <c r="C75" s="3"/>
      <c r="D75" s="3"/>
      <c r="E75" s="3"/>
      <c r="F75" s="3"/>
      <c r="G75" s="3"/>
      <c r="H75" s="3"/>
      <c r="I75" s="3"/>
      <c r="J75" s="50"/>
      <c r="K75" s="13"/>
    </row>
    <row r="76">
      <c r="A76" s="3"/>
      <c r="B76" s="67" t="s">
        <v>95</v>
      </c>
      <c r="C76" s="56">
        <f>'Segment - Intl Smoke-Free'!C37</f>
        <v>2850</v>
      </c>
      <c r="D76" s="56">
        <f>'Segment - Intl Smoke-Free'!D37</f>
        <v>3015</v>
      </c>
      <c r="E76" s="56">
        <f>'Segment - Intl Smoke-Free'!E37</f>
        <v>3101</v>
      </c>
      <c r="F76" s="56">
        <f>'Segment - Intl Smoke-Free'!F37</f>
        <v>3159</v>
      </c>
      <c r="G76" s="56">
        <f>'Segment - Intl Smoke-Free'!G37</f>
        <v>12125</v>
      </c>
      <c r="H76" s="56">
        <f>'Segment - Intl Smoke-Free'!H37</f>
        <v>3076</v>
      </c>
      <c r="I76" s="56">
        <f>'Segment - Intl Smoke-Free'!I37</f>
        <v>3395</v>
      </c>
      <c r="J76" s="109">
        <f>'Segment - Intl Smoke-Free'!J37</f>
        <v>3839</v>
      </c>
      <c r="K76" s="13"/>
    </row>
    <row r="77">
      <c r="A77" s="3"/>
      <c r="B77" s="67" t="s">
        <v>96</v>
      </c>
      <c r="C77" s="56">
        <f>'Segment - Intl Smoke-Free'!C43</f>
        <v>-130</v>
      </c>
      <c r="D77" s="56">
        <f>'Segment - Intl Smoke-Free'!D43</f>
        <v>65</v>
      </c>
      <c r="E77" s="56">
        <f>'Segment - Intl Smoke-Free'!E43</f>
        <v>179</v>
      </c>
      <c r="F77" s="56">
        <f>'Segment - Intl Smoke-Free'!F43</f>
        <v>172</v>
      </c>
      <c r="G77" s="56">
        <f>'Segment - Intl Smoke-Free'!G43</f>
        <v>286</v>
      </c>
      <c r="H77" s="56">
        <f>'Segment - Intl Smoke-Free'!H43</f>
        <v>273</v>
      </c>
      <c r="I77" s="56">
        <f>'Segment - Intl Smoke-Free'!I43</f>
        <v>98</v>
      </c>
      <c r="J77" s="109">
        <f>'Segment - Intl Smoke-Free'!J43</f>
        <v>38.39</v>
      </c>
      <c r="K77" s="13"/>
    </row>
    <row r="78">
      <c r="A78" s="3"/>
      <c r="B78" s="67" t="s">
        <v>97</v>
      </c>
      <c r="C78" s="56">
        <f>'Segment - Intl Smoke-Free'!C42</f>
        <v>0</v>
      </c>
      <c r="D78" s="56">
        <f>'Segment - Intl Smoke-Free'!D42</f>
        <v>0</v>
      </c>
      <c r="E78" s="56">
        <f>'Segment - Intl Smoke-Free'!E42</f>
        <v>0</v>
      </c>
      <c r="F78" s="56">
        <f>'Segment - Intl Smoke-Free'!F42</f>
        <v>0</v>
      </c>
      <c r="G78" s="56">
        <f>'Segment - Intl Smoke-Free'!G42</f>
        <v>0</v>
      </c>
      <c r="H78" s="56">
        <f>'Segment - Intl Smoke-Free'!H42</f>
        <v>0</v>
      </c>
      <c r="I78" s="56">
        <f>'Segment - Intl Smoke-Free'!I42</f>
        <v>-17</v>
      </c>
      <c r="J78" s="109">
        <f>'Segment - Intl Smoke-Free'!J42</f>
        <v>-17</v>
      </c>
      <c r="K78" s="13"/>
    </row>
    <row r="79">
      <c r="A79" s="3"/>
      <c r="B79" s="67" t="s">
        <v>98</v>
      </c>
      <c r="C79" s="56">
        <f>'Segment - Intl Smoke-Free'!C41</f>
        <v>357</v>
      </c>
      <c r="D79" s="56">
        <f>'Segment - Intl Smoke-Free'!D41</f>
        <v>313</v>
      </c>
      <c r="E79" s="56">
        <f>'Segment - Intl Smoke-Free'!E41</f>
        <v>559</v>
      </c>
      <c r="F79" s="56">
        <f>'Segment - Intl Smoke-Free'!F41</f>
        <v>356</v>
      </c>
      <c r="G79" s="56">
        <f>'Segment - Intl Smoke-Free'!G41</f>
        <v>1585</v>
      </c>
      <c r="H79" s="56">
        <f>'Segment - Intl Smoke-Free'!H41</f>
        <v>487</v>
      </c>
      <c r="I79" s="56">
        <f>'Segment - Intl Smoke-Free'!I41</f>
        <v>402</v>
      </c>
      <c r="J79" s="109">
        <f>'Segment - Intl Smoke-Free'!J41</f>
        <v>212.12461178861773</v>
      </c>
      <c r="K79" s="13"/>
    </row>
    <row r="80">
      <c r="A80" s="3"/>
      <c r="B80" s="67" t="s">
        <v>99</v>
      </c>
      <c r="C80" s="56">
        <f>'Segment - Intl Combustibles'!C15</f>
        <v>5299</v>
      </c>
      <c r="D80" s="56">
        <f>'Segment - Intl Combustibles'!D15</f>
        <v>5748</v>
      </c>
      <c r="E80" s="56">
        <f>'Segment - Intl Combustibles'!E15</f>
        <v>6041</v>
      </c>
      <c r="F80" s="56">
        <f>'Segment - Intl Combustibles'!F15</f>
        <v>5720</v>
      </c>
      <c r="G80" s="56">
        <f>'Segment - Intl Combustibles'!G15</f>
        <v>22808</v>
      </c>
      <c r="H80" s="56">
        <f>'Segment - Intl Combustibles'!H15</f>
        <v>5326</v>
      </c>
      <c r="I80" s="56">
        <f>'Segment - Intl Combustibles'!I15</f>
        <v>5883</v>
      </c>
      <c r="J80" s="109">
        <f>'Segment - Intl Combustibles'!J15</f>
        <v>6316</v>
      </c>
      <c r="K80" s="13"/>
    </row>
    <row r="81">
      <c r="A81" s="3"/>
      <c r="B81" s="67" t="s">
        <v>100</v>
      </c>
      <c r="C81" s="56">
        <f>'Segment - Intl Combustibles'!C21</f>
        <v>-208</v>
      </c>
      <c r="D81" s="56">
        <f>'Segment - Intl Combustibles'!D21</f>
        <v>5</v>
      </c>
      <c r="E81" s="56">
        <f>'Segment - Intl Combustibles'!E21</f>
        <v>202</v>
      </c>
      <c r="F81" s="56">
        <f>'Segment - Intl Combustibles'!F21</f>
        <v>169</v>
      </c>
      <c r="G81" s="56">
        <f>'Segment - Intl Combustibles'!G21</f>
        <v>168</v>
      </c>
      <c r="H81" s="56">
        <f>'Segment - Intl Combustibles'!H21</f>
        <v>310</v>
      </c>
      <c r="I81" s="56">
        <f>'Segment - Intl Combustibles'!I21</f>
        <v>200</v>
      </c>
      <c r="J81" s="109">
        <f>'Segment - Intl Combustibles'!J21</f>
        <v>63.160000000000004</v>
      </c>
      <c r="K81" s="13"/>
    </row>
    <row r="82">
      <c r="A82" s="3"/>
      <c r="B82" s="67" t="s">
        <v>101</v>
      </c>
      <c r="C82" s="56">
        <f>'Segment - Intl Combustibles'!C20</f>
        <v>0</v>
      </c>
      <c r="D82" s="56">
        <f>'Segment - Intl Combustibles'!D20</f>
        <v>0</v>
      </c>
      <c r="E82" s="56">
        <f>'Segment - Intl Combustibles'!E20</f>
        <v>0</v>
      </c>
      <c r="F82" s="56">
        <f>'Segment - Intl Combustibles'!F20</f>
        <v>0</v>
      </c>
      <c r="G82" s="56">
        <f>'Segment - Intl Combustibles'!G20</f>
        <v>0</v>
      </c>
      <c r="H82" s="56">
        <f>'Segment - Intl Combustibles'!H20</f>
        <v>0</v>
      </c>
      <c r="I82" s="56">
        <f>'Segment - Intl Combustibles'!I20</f>
        <v>0</v>
      </c>
      <c r="J82" s="109">
        <f>'Segment - Intl Combustibles'!J20</f>
        <v>0</v>
      </c>
      <c r="K82" s="13"/>
    </row>
    <row r="83">
      <c r="A83" s="3"/>
      <c r="B83" s="67" t="s">
        <v>102</v>
      </c>
      <c r="C83" s="56">
        <f>'Segment - Intl Combustibles'!C19</f>
        <v>235</v>
      </c>
      <c r="D83" s="56">
        <f>'Segment - Intl Combustibles'!D19</f>
        <v>131</v>
      </c>
      <c r="E83" s="56">
        <f>'Segment - Intl Combustibles'!E19</f>
        <v>72</v>
      </c>
      <c r="F83" s="56">
        <f>'Segment - Intl Combustibles'!F19</f>
        <v>21</v>
      </c>
      <c r="G83" s="56">
        <f>'Segment - Intl Combustibles'!G19</f>
        <v>459</v>
      </c>
      <c r="H83" s="56">
        <f>'Segment - Intl Combustibles'!H19</f>
        <v>52</v>
      </c>
      <c r="I83" s="56">
        <f>'Segment - Intl Combustibles'!I19</f>
        <v>376</v>
      </c>
      <c r="J83" s="109">
        <f>'Segment - Intl Combustibles'!J19</f>
        <v>221.06000000000066</v>
      </c>
      <c r="K83" s="13"/>
    </row>
    <row r="84">
      <c r="A84" s="3"/>
      <c r="B84" s="67" t="s">
        <v>103</v>
      </c>
      <c r="C84" s="56">
        <f>'Segment - U.S.'!C59</f>
        <v>644</v>
      </c>
      <c r="D84" s="56">
        <f>'Segment - U.S.'!D59</f>
        <v>705</v>
      </c>
      <c r="E84" s="56">
        <f>'Segment - U.S.'!E59</f>
        <v>769</v>
      </c>
      <c r="F84" s="56">
        <f>'Segment - U.S.'!F59</f>
        <v>827</v>
      </c>
      <c r="G84" s="56">
        <f>'Segment - U.S.'!G59</f>
        <v>2945</v>
      </c>
      <c r="H84" s="56">
        <f>'Segment - U.S.'!H59</f>
        <v>899</v>
      </c>
      <c r="I84" s="56">
        <f>'Segment - U.S.'!I59</f>
        <v>862</v>
      </c>
      <c r="J84" s="109">
        <f>'Segment - U.S.'!J59</f>
        <v>689</v>
      </c>
      <c r="K84" s="13"/>
    </row>
    <row r="85">
      <c r="A85" s="3"/>
      <c r="B85" s="67" t="s">
        <v>104</v>
      </c>
      <c r="C85" s="56">
        <f>'Segment - U.S.'!C66</f>
        <v>-2</v>
      </c>
      <c r="D85" s="56">
        <f>'Segment - U.S.'!D66</f>
        <v>1</v>
      </c>
      <c r="E85" s="56">
        <f>'Segment - U.S.'!E66</f>
        <v>4</v>
      </c>
      <c r="F85" s="56">
        <f>'Segment - U.S.'!F66</f>
        <v>4</v>
      </c>
      <c r="G85" s="56">
        <f>'Segment - U.S.'!G66</f>
        <v>7</v>
      </c>
      <c r="H85" s="56">
        <f>'Segment - U.S.'!H66</f>
        <v>7</v>
      </c>
      <c r="I85" s="56">
        <f>'Segment - U.S.'!I66</f>
        <v>1</v>
      </c>
      <c r="J85" s="109">
        <f>'Segment - U.S.'!J66</f>
        <v>0</v>
      </c>
      <c r="K85" s="13"/>
    </row>
    <row r="86">
      <c r="A86" s="3"/>
      <c r="B86" s="67" t="s">
        <v>105</v>
      </c>
      <c r="C86" s="56">
        <f>'Segment - U.S.'!C65</f>
        <v>-49</v>
      </c>
      <c r="D86" s="56">
        <f>'Segment - U.S.'!D65</f>
        <v>-39</v>
      </c>
      <c r="E86" s="56">
        <f>'Segment - U.S.'!E65</f>
        <v>-38</v>
      </c>
      <c r="F86" s="56">
        <f>'Segment - U.S.'!F65</f>
        <v>-44</v>
      </c>
      <c r="G86" s="56">
        <f>'Segment - U.S.'!G65</f>
        <v>-170</v>
      </c>
      <c r="H86" s="56">
        <f>'Segment - U.S.'!H65</f>
        <v>0</v>
      </c>
      <c r="I86" s="56">
        <f>'Segment - U.S.'!I65</f>
        <v>0</v>
      </c>
      <c r="J86" s="109">
        <f>'Segment - U.S.'!J65</f>
        <v>0</v>
      </c>
      <c r="K86" s="13"/>
    </row>
    <row r="87">
      <c r="A87" s="3"/>
      <c r="B87" s="67" t="s">
        <v>106</v>
      </c>
      <c r="C87" s="56">
        <f>'Segment - U.S.'!C64</f>
        <v>307</v>
      </c>
      <c r="D87" s="56">
        <f>'Segment - U.S.'!D64</f>
        <v>196</v>
      </c>
      <c r="E87" s="56">
        <f>'Segment - U.S.'!E64</f>
        <v>-44</v>
      </c>
      <c r="F87" s="56">
        <f>'Segment - U.S.'!F64</f>
        <v>-22</v>
      </c>
      <c r="G87" s="56">
        <f>'Segment - U.S.'!G64</f>
        <v>437</v>
      </c>
      <c r="H87" s="56">
        <f>'Segment - U.S.'!H64</f>
        <v>-283</v>
      </c>
      <c r="I87" s="56">
        <f>'Segment - U.S.'!I64</f>
        <v>-8</v>
      </c>
      <c r="J87" s="109">
        <f>'Segment - U.S.'!J64</f>
        <v>67.5942637217006</v>
      </c>
      <c r="K87" s="13"/>
    </row>
    <row r="88" ht="24.75">
      <c r="A88" s="3"/>
      <c r="B88" s="52" t="s">
        <v>107</v>
      </c>
      <c r="C88" s="17">
        <f>C76+C80</f>
        <v>8149</v>
      </c>
      <c r="D88" s="17">
        <f>D76+D80</f>
        <v>8763</v>
      </c>
      <c r="E88" s="17">
        <f>E76+E80</f>
        <v>9142</v>
      </c>
      <c r="F88" s="17">
        <f>F76+F80</f>
        <v>8879</v>
      </c>
      <c r="G88" s="17">
        <f>G76+G80</f>
        <v>34933</v>
      </c>
      <c r="H88" s="17">
        <f>H76+H80</f>
        <v>8402</v>
      </c>
      <c r="I88" s="17">
        <f>I76+I80</f>
        <v>9278</v>
      </c>
      <c r="J88" s="1">
        <f>J76+J80</f>
        <v>10155</v>
      </c>
      <c r="K88" s="42"/>
    </row>
    <row r="89">
      <c r="A89" s="3"/>
      <c r="B89" s="67" t="s">
        <v>108</v>
      </c>
      <c r="C89" s="5">
        <f>C77+C81</f>
        <v>-338</v>
      </c>
      <c r="D89" s="5">
        <f>D77+D81</f>
        <v>70</v>
      </c>
      <c r="E89" s="5">
        <f>E77+E81</f>
        <v>381</v>
      </c>
      <c r="F89" s="5">
        <f>F77+F81</f>
        <v>341</v>
      </c>
      <c r="G89" s="5">
        <f>G77+G81</f>
        <v>454</v>
      </c>
      <c r="H89" s="5">
        <f>H77+H81</f>
        <v>583</v>
      </c>
      <c r="I89" s="5">
        <f>I77+I81</f>
        <v>298</v>
      </c>
      <c r="J89" s="31">
        <f>J77+J81</f>
        <v>101.55000000000001</v>
      </c>
      <c r="K89" s="13"/>
    </row>
    <row r="90" ht="24.75">
      <c r="A90" s="3"/>
      <c r="B90" s="52" t="s">
        <v>109</v>
      </c>
      <c r="C90" s="17">
        <f>C78+C82</f>
        <v>0</v>
      </c>
      <c r="D90" s="17">
        <f>D78+D82</f>
        <v>0</v>
      </c>
      <c r="E90" s="17">
        <f>E78+E82</f>
        <v>0</v>
      </c>
      <c r="F90" s="17">
        <f>F78+F82</f>
        <v>0</v>
      </c>
      <c r="G90" s="17">
        <f>G78+G82</f>
        <v>0</v>
      </c>
      <c r="H90" s="17">
        <f>H78+H82</f>
        <v>0</v>
      </c>
      <c r="I90" s="17">
        <f>I78+I82</f>
        <v>-17</v>
      </c>
      <c r="J90" s="1">
        <f>J78+J82</f>
        <v>-17</v>
      </c>
      <c r="K90" s="42"/>
    </row>
    <row r="91">
      <c r="A91" s="3"/>
      <c r="B91" s="67" t="s">
        <v>110</v>
      </c>
      <c r="C91" s="5">
        <f>C88+C84</f>
        <v>8793</v>
      </c>
      <c r="D91" s="5">
        <f>D88+D84</f>
        <v>9468</v>
      </c>
      <c r="E91" s="5">
        <f>E88+E84</f>
        <v>9911</v>
      </c>
      <c r="F91" s="5">
        <f>F88+F84</f>
        <v>9706</v>
      </c>
      <c r="G91" s="5">
        <f>G88+G84</f>
        <v>37878</v>
      </c>
      <c r="H91" s="5">
        <f>H88+H84+C41</f>
        <v>9301</v>
      </c>
      <c r="I91" s="5">
        <f>I88+I84+D41</f>
        <v>10140</v>
      </c>
      <c r="J91" s="31">
        <f>J88+J84+E41</f>
        <v>10845</v>
      </c>
      <c r="K91" s="13"/>
    </row>
    <row r="92">
      <c r="A92" s="3"/>
      <c r="B92" s="67" t="s">
        <v>111</v>
      </c>
      <c r="C92" s="5">
        <f>C89+C85</f>
        <v>-340</v>
      </c>
      <c r="D92" s="5">
        <f>D89+D85</f>
        <v>71</v>
      </c>
      <c r="E92" s="5">
        <f>E89+E85</f>
        <v>385</v>
      </c>
      <c r="F92" s="5">
        <f>F89+F85</f>
        <v>345</v>
      </c>
      <c r="G92" s="5">
        <f>G89+G85</f>
        <v>461</v>
      </c>
      <c r="H92" s="5">
        <f>H89+H85</f>
        <v>590</v>
      </c>
      <c r="I92" s="5">
        <f>I89+I85</f>
        <v>299</v>
      </c>
      <c r="J92" s="31">
        <f>J89+J85</f>
        <v>101.55000000000001</v>
      </c>
      <c r="K92" s="13"/>
    </row>
    <row r="93" ht="24.75">
      <c r="A93" s="3"/>
      <c r="B93" s="52" t="s">
        <v>112</v>
      </c>
      <c r="C93" s="17">
        <f>C90+C86</f>
        <v>-49</v>
      </c>
      <c r="D93" s="17">
        <f>D90+D86</f>
        <v>-39</v>
      </c>
      <c r="E93" s="17">
        <f>E90+E86</f>
        <v>-38</v>
      </c>
      <c r="F93" s="17">
        <f>F90+F86</f>
        <v>-44</v>
      </c>
      <c r="G93" s="17">
        <f>G90+G86</f>
        <v>-170</v>
      </c>
      <c r="H93" s="17">
        <f>H90+H86</f>
        <v>0</v>
      </c>
      <c r="I93" s="17">
        <f>I90+I86</f>
        <v>-17</v>
      </c>
      <c r="J93" s="1">
        <f>J90+J86</f>
        <v>-17</v>
      </c>
      <c r="K93" s="42"/>
    </row>
    <row r="94">
      <c r="A94" s="3"/>
      <c r="B94" s="67" t="s">
        <v>113</v>
      </c>
      <c r="C94" s="5">
        <f>C79+C83+C87</f>
        <v>899</v>
      </c>
      <c r="D94" s="5">
        <f>D79+D83+D87</f>
        <v>640</v>
      </c>
      <c r="E94" s="5">
        <f>E79+E83+E87</f>
        <v>587</v>
      </c>
      <c r="F94" s="5">
        <f>F79+F83+F87</f>
        <v>355</v>
      </c>
      <c r="G94" s="5">
        <f>G79+G83+G87</f>
        <v>2481</v>
      </c>
      <c r="H94" s="5">
        <f>H79+H83+H87</f>
        <v>256</v>
      </c>
      <c r="I94" s="5">
        <f>I79+I83+I87</f>
        <v>770</v>
      </c>
      <c r="J94" s="31">
        <f>J79+J83+J87</f>
        <v>500.778875510319</v>
      </c>
      <c r="K94" s="13"/>
    </row>
    <row r="95">
      <c r="A95" s="3"/>
      <c r="B95" s="67" t="s">
        <v>114</v>
      </c>
      <c r="C95" s="56">
        <f>C76+'Segment - U.S.'!C90</f>
        <v>3385</v>
      </c>
      <c r="D95" s="56">
        <f>D76+'Segment - U.S.'!D90</f>
        <v>3610</v>
      </c>
      <c r="E95" s="56">
        <f>E76+'Segment - U.S.'!E90</f>
        <v>3776</v>
      </c>
      <c r="F95" s="56">
        <f>F76+'Segment - U.S.'!F90</f>
        <v>3887</v>
      </c>
      <c r="G95" s="56">
        <f>G76+'Segment - U.S.'!G90</f>
        <v>14658</v>
      </c>
      <c r="H95" s="56">
        <f>H76+'Segment - U.S.'!H90</f>
        <v>3894</v>
      </c>
      <c r="I95" s="56">
        <f>I76+'Segment - U.S.'!I90</f>
        <v>4161</v>
      </c>
      <c r="J95" s="109">
        <f>J76+'Segment - U.S.'!J90</f>
        <v>4444</v>
      </c>
      <c r="K95" s="13"/>
    </row>
    <row r="96">
      <c r="A96" s="3"/>
      <c r="B96" s="8" t="s">
        <v>115</v>
      </c>
      <c r="C96" s="29">
        <f>C95/C91</f>
        <v>0.3849653133174116</v>
      </c>
      <c r="D96" s="29">
        <f>D95/D91</f>
        <v>0.3812843261512463</v>
      </c>
      <c r="E96" s="29">
        <f>E95/E91</f>
        <v>0.3809908182827162</v>
      </c>
      <c r="F96" s="29">
        <f>F95/F91</f>
        <v>0.4004739336492891</v>
      </c>
      <c r="G96" s="29">
        <f>G95/G91</f>
        <v>0.3869792491683827</v>
      </c>
      <c r="H96" s="29">
        <f>H95/H91</f>
        <v>0.41866465971400924</v>
      </c>
      <c r="I96" s="29">
        <f>I95/I91</f>
        <v>0.41035502958579884</v>
      </c>
      <c r="J96" s="68">
        <f>J95/J91</f>
        <v>0.4097740894421392</v>
      </c>
      <c r="K96" s="13"/>
    </row>
    <row r="97">
      <c r="A97" s="3"/>
      <c r="B97" s="67" t="s">
        <v>116</v>
      </c>
      <c r="C97" s="56">
        <f>C80+'Segment - U.S.'!C94</f>
        <v>5407</v>
      </c>
      <c r="D97" s="56">
        <f>D80+'Segment - U.S.'!D94</f>
        <v>5858</v>
      </c>
      <c r="E97" s="56">
        <f>E80+'Segment - U.S.'!E94</f>
        <v>6134</v>
      </c>
      <c r="F97" s="56">
        <f>F80+'Segment - U.S.'!F94</f>
        <v>5819</v>
      </c>
      <c r="G97" s="56">
        <f>G80+'Segment - U.S.'!G94</f>
        <v>23218</v>
      </c>
      <c r="H97" s="56">
        <f>H80+'Segment - U.S.'!H94</f>
        <v>5407</v>
      </c>
      <c r="I97" s="56">
        <f>I80+'Segment - U.S.'!I94</f>
        <v>5979</v>
      </c>
      <c r="J97" s="109">
        <f>J80+'Segment - U.S.'!J94</f>
        <v>6400</v>
      </c>
      <c r="K97" s="13"/>
    </row>
    <row r="98">
      <c r="A98" s="3"/>
      <c r="B98" s="3"/>
      <c r="C98" s="3"/>
      <c r="D98" s="3"/>
      <c r="E98" s="3"/>
      <c r="F98" s="3"/>
      <c r="G98" s="3"/>
      <c r="H98" s="3"/>
      <c r="I98" s="3"/>
      <c r="J98" s="50"/>
      <c r="K98" s="13"/>
    </row>
    <row r="99">
      <c r="A99" s="3"/>
      <c r="B99" s="3"/>
      <c r="C99" s="3"/>
      <c r="D99" s="3"/>
      <c r="E99" s="3"/>
      <c r="F99" s="3"/>
      <c r="G99" s="3"/>
      <c r="H99" s="3"/>
      <c r="I99" s="3"/>
      <c r="J99" s="50"/>
      <c r="K99" s="1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K8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117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118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16" t="s">
        <v>119</v>
      </c>
      <c r="C9" s="95">
        <v>37089</v>
      </c>
      <c r="D9" s="95">
        <v>38809</v>
      </c>
      <c r="E9" s="95">
        <v>40833</v>
      </c>
      <c r="F9" s="95">
        <v>38396</v>
      </c>
      <c r="G9" s="97">
        <f>SUM(C9:F9)</f>
        <v>155127</v>
      </c>
      <c r="H9" s="97">
        <f>C9*(1+H10)</f>
        <v>41280.057</v>
      </c>
      <c r="I9" s="97">
        <f>D9*(1+I10)</f>
        <v>41758.484000000004</v>
      </c>
      <c r="J9" s="151">
        <f>Guidance!E34</f>
        <v>41000</v>
      </c>
      <c r="K9" s="13" t="s">
        <v>120</v>
      </c>
    </row>
    <row r="10" ht="24.75">
      <c r="A10" s="3"/>
      <c r="B10" s="112" t="s">
        <v>121</v>
      </c>
      <c r="C10" s="62"/>
      <c r="D10" s="62"/>
      <c r="E10" s="62"/>
      <c r="F10" s="62"/>
      <c r="G10" s="62"/>
      <c r="H10" s="66">
        <v>0.113</v>
      </c>
      <c r="I10" s="66">
        <v>0.076</v>
      </c>
      <c r="J10" s="103"/>
      <c r="K10" s="42" t="s">
        <v>122</v>
      </c>
    </row>
    <row r="11">
      <c r="A11" s="3"/>
      <c r="B11" s="8" t="s">
        <v>66</v>
      </c>
      <c r="C11" s="29">
        <f>IFERROR(C9/C73-1,"")</f>
        <v>0.11936379549707254</v>
      </c>
      <c r="D11" s="29">
        <f>IFERROR(D9/D73-1,"")</f>
        <v>0.09185797884312397</v>
      </c>
      <c r="E11" s="29">
        <f>IFERROR(E9/E73-1,"")</f>
        <v>0.15520411916145638</v>
      </c>
      <c r="F11" s="29">
        <f>IFERROR(F9/F73-1,"")</f>
        <v>0.07497620247494252</v>
      </c>
      <c r="G11" s="29">
        <f>IFERROR(G9/G73-1,"")</f>
        <v>0.11008780404027396</v>
      </c>
      <c r="H11" s="29">
        <f>IFERROR(H9/H73-1,"")</f>
        <v>0.11299999999999999</v>
      </c>
      <c r="I11" s="29">
        <f>IFERROR(I9/I73-1,"")</f>
        <v>0.07600000000000007</v>
      </c>
      <c r="J11" s="68">
        <f>IFERROR(J9/J73-1,"")</f>
        <v>0.00408982930472912</v>
      </c>
      <c r="K11" s="13"/>
    </row>
    <row r="12">
      <c r="A12" s="3"/>
      <c r="B12" s="67" t="s">
        <v>123</v>
      </c>
      <c r="C12" s="97"/>
      <c r="D12" s="97">
        <f>D9-C9</f>
        <v>1720</v>
      </c>
      <c r="E12" s="97">
        <f>E9-D9</f>
        <v>2024</v>
      </c>
      <c r="F12" s="97">
        <f>F9-E9</f>
        <v>-2437</v>
      </c>
      <c r="G12" s="97"/>
      <c r="H12" s="97">
        <f>H9-F9</f>
        <v>2884.0570000000007</v>
      </c>
      <c r="I12" s="97">
        <f>I9-H9</f>
        <v>478.4270000000033</v>
      </c>
      <c r="J12" s="116">
        <f>J9-I9</f>
        <v>-758.484000000004</v>
      </c>
      <c r="K12" s="13"/>
    </row>
    <row r="13" ht="24.75">
      <c r="A13" s="3"/>
      <c r="B13" s="53" t="s">
        <v>124</v>
      </c>
      <c r="C13" s="82">
        <v>1703</v>
      </c>
      <c r="D13" s="82">
        <v>1748</v>
      </c>
      <c r="E13" s="82">
        <v>1578</v>
      </c>
      <c r="F13" s="82">
        <v>1493</v>
      </c>
      <c r="G13" s="39">
        <f>SUM(C13:F13)</f>
        <v>6522</v>
      </c>
      <c r="H13" s="39">
        <f>C13*(1+H14)</f>
        <v>1616.147</v>
      </c>
      <c r="I13" s="39">
        <f>D13*(1+I14)</f>
        <v>1625.6399999999999</v>
      </c>
      <c r="J13" s="147">
        <f>E13*(1+J14)</f>
        <v>1499.1</v>
      </c>
      <c r="K13" s="42" t="s">
        <v>125</v>
      </c>
    </row>
    <row r="14" ht="24.75">
      <c r="A14" s="3"/>
      <c r="B14" s="112" t="s">
        <v>126</v>
      </c>
      <c r="C14" s="62"/>
      <c r="D14" s="62"/>
      <c r="E14" s="62"/>
      <c r="F14" s="62"/>
      <c r="G14" s="62"/>
      <c r="H14" s="66">
        <v>-0.051</v>
      </c>
      <c r="I14" s="66">
        <v>-0.07</v>
      </c>
      <c r="J14" s="119">
        <v>-0.05</v>
      </c>
      <c r="K14" s="42" t="s">
        <v>127</v>
      </c>
    </row>
    <row r="15">
      <c r="A15" s="3"/>
      <c r="B15" s="8" t="s">
        <v>66</v>
      </c>
      <c r="C15" s="29">
        <f>IFERROR(C13/C74-1,"")</f>
        <v>0.05776397515527942</v>
      </c>
      <c r="D15" s="29">
        <f>IFERROR(D13/D74-1,"")</f>
        <v>0.1169329073482428</v>
      </c>
      <c r="E15" s="29">
        <f>IFERROR(E13/E74-1,"")</f>
        <v>-0.025925925925925908</v>
      </c>
      <c r="F15" s="29">
        <f>IFERROR(F13/F74-1,"")</f>
        <v>-0.07439553626782391</v>
      </c>
      <c r="G15" s="29">
        <f>IFERROR(G13/G74-1,"")</f>
        <v>0.017790262172284743</v>
      </c>
      <c r="H15" s="29">
        <f>IFERROR(H13/H74-1,"")</f>
        <v>-0.051000000000000045</v>
      </c>
      <c r="I15" s="29">
        <f>IFERROR(I13/I74-1,"")</f>
        <v>-0.07000000000000006</v>
      </c>
      <c r="J15" s="68">
        <f>IFERROR(J13/J74-1,"")</f>
        <v>-0.050000000000000044</v>
      </c>
      <c r="K15" s="13"/>
    </row>
    <row r="16">
      <c r="A16" s="3"/>
      <c r="B16" s="67" t="s">
        <v>123</v>
      </c>
      <c r="C16" s="97"/>
      <c r="D16" s="97">
        <f>D13-C13</f>
        <v>45</v>
      </c>
      <c r="E16" s="97">
        <f>E13-D13</f>
        <v>-170</v>
      </c>
      <c r="F16" s="97">
        <f>F13-E13</f>
        <v>-85</v>
      </c>
      <c r="G16" s="97"/>
      <c r="H16" s="97">
        <f>H13-F13</f>
        <v>123.14699999999993</v>
      </c>
      <c r="I16" s="97">
        <f>I13-H13</f>
        <v>9.492999999999938</v>
      </c>
      <c r="J16" s="116">
        <f>J13-I13</f>
        <v>-126.53999999999996</v>
      </c>
      <c r="K16" s="13"/>
    </row>
    <row r="17" ht="24.75">
      <c r="A17" s="3"/>
      <c r="B17" s="52" t="s">
        <v>128</v>
      </c>
      <c r="C17" s="82">
        <v>427</v>
      </c>
      <c r="D17" s="82">
        <v>485</v>
      </c>
      <c r="E17" s="82">
        <v>388</v>
      </c>
      <c r="F17" s="82">
        <v>394</v>
      </c>
      <c r="G17" s="39">
        <f>SUM(C17:F17)</f>
        <v>1694</v>
      </c>
      <c r="H17" s="82">
        <v>500</v>
      </c>
      <c r="I17" s="39">
        <f>D17*(1+I18)</f>
        <v>556.295</v>
      </c>
      <c r="J17" s="147">
        <f>E17*(1+J18)</f>
        <v>446.2</v>
      </c>
      <c r="K17" s="42" t="s">
        <v>129</v>
      </c>
    </row>
    <row r="18" ht="24.75">
      <c r="A18" s="3"/>
      <c r="B18" s="139" t="s">
        <v>130</v>
      </c>
      <c r="C18" s="62"/>
      <c r="D18" s="62"/>
      <c r="E18" s="62"/>
      <c r="F18" s="62"/>
      <c r="G18" s="62"/>
      <c r="H18" s="62"/>
      <c r="I18" s="66">
        <v>0.147</v>
      </c>
      <c r="J18" s="119">
        <v>0.15</v>
      </c>
      <c r="K18" s="42" t="s">
        <v>131</v>
      </c>
    </row>
    <row r="19">
      <c r="A19" s="3"/>
      <c r="B19" s="8" t="s">
        <v>66</v>
      </c>
      <c r="C19" s="29">
        <f>IFERROR(C17/C75-1,"")</f>
        <v>0.46232876712328763</v>
      </c>
      <c r="D19" s="29">
        <f>IFERROR(D17/D75-1,"")</f>
        <v>0.6006600660066006</v>
      </c>
      <c r="E19" s="29">
        <f>IFERROR(E17/E75-1,"")</f>
        <v>0.2278481012658229</v>
      </c>
      <c r="F19" s="29">
        <f>IFERROR(F17/F75-1,"")</f>
        <v>0.03684210526315779</v>
      </c>
      <c r="G19" s="29">
        <f>IFERROR(G17/G75-1,"")</f>
        <v>0.3121611154144075</v>
      </c>
      <c r="H19" s="29">
        <f>IFERROR(H17/H75-1,"")</f>
        <v>0.17096018735362994</v>
      </c>
      <c r="I19" s="29">
        <f>IFERROR(I17/I75-1,"")</f>
        <v>0.14700000000000002</v>
      </c>
      <c r="J19" s="68">
        <f>IFERROR(J17/J75-1,"")</f>
        <v>0.1499999999999999</v>
      </c>
      <c r="K19" s="13"/>
    </row>
    <row r="20">
      <c r="A20" s="3"/>
      <c r="B20" s="67" t="s">
        <v>123</v>
      </c>
      <c r="C20" s="97"/>
      <c r="D20" s="97">
        <f>D17-C17</f>
        <v>58</v>
      </c>
      <c r="E20" s="97">
        <f>E17-D17</f>
        <v>-97</v>
      </c>
      <c r="F20" s="97">
        <f>F17-E17</f>
        <v>6</v>
      </c>
      <c r="G20" s="97"/>
      <c r="H20" s="97">
        <f>H17-F17</f>
        <v>106</v>
      </c>
      <c r="I20" s="97">
        <f>I17-H17</f>
        <v>56.29499999999996</v>
      </c>
      <c r="J20" s="116">
        <f>J17-I17</f>
        <v>-110.09499999999997</v>
      </c>
      <c r="K20" s="13"/>
    </row>
    <row r="21" ht="24.75">
      <c r="A21" s="3"/>
      <c r="B21" s="52" t="s">
        <v>132</v>
      </c>
      <c r="C21" s="39">
        <f>C13-C17</f>
        <v>1276</v>
      </c>
      <c r="D21" s="39">
        <f>D13-D17</f>
        <v>1263</v>
      </c>
      <c r="E21" s="39">
        <f>E13-E17</f>
        <v>1190</v>
      </c>
      <c r="F21" s="39">
        <f>F13-F17</f>
        <v>1099</v>
      </c>
      <c r="G21" s="39">
        <f>G13-G17</f>
        <v>4828</v>
      </c>
      <c r="H21" s="39">
        <f>H13-H17</f>
        <v>1116.147</v>
      </c>
      <c r="I21" s="39">
        <f>I13-I17</f>
        <v>1069.3449999999998</v>
      </c>
      <c r="J21" s="147">
        <f>J13-J17</f>
        <v>1052.8999999999999</v>
      </c>
      <c r="K21" s="42"/>
    </row>
    <row r="22">
      <c r="A22" s="3"/>
      <c r="B22" s="8" t="s">
        <v>66</v>
      </c>
      <c r="C22" s="29">
        <f>IFERROR(C21/C76-1,"")</f>
        <v>-0.03186646433990892</v>
      </c>
      <c r="D22" s="29">
        <f>IFERROR(D21/D76-1,"")</f>
        <v>0.0007923930269413404</v>
      </c>
      <c r="E22" s="29">
        <f>IFERROR(E21/E76-1,"")</f>
        <v>-0.08742331288343563</v>
      </c>
      <c r="F22" s="29">
        <f>IFERROR(F21/F76-1,"")</f>
        <v>-0.10867802108678026</v>
      </c>
      <c r="G22" s="29">
        <f>IFERROR(G21/G76-1,"")</f>
        <v>-0.056478405315614655</v>
      </c>
      <c r="H22" s="29">
        <f>IFERROR(H21/H76-1,"")</f>
        <v>-0.1252766457680251</v>
      </c>
      <c r="I22" s="29">
        <f>IFERROR(I21/I76-1,"")</f>
        <v>-0.1533293745051466</v>
      </c>
      <c r="J22" s="68">
        <f>IFERROR(J21/J76-1,"")</f>
        <v>-0.11521008403361355</v>
      </c>
      <c r="K22" s="13"/>
    </row>
    <row r="23">
      <c r="A23" s="3"/>
      <c r="B23" s="67" t="s">
        <v>123</v>
      </c>
      <c r="C23" s="97"/>
      <c r="D23" s="97">
        <f>D21-C21</f>
        <v>-13</v>
      </c>
      <c r="E23" s="97">
        <f>E21-D21</f>
        <v>-73</v>
      </c>
      <c r="F23" s="97">
        <f>F21-E21</f>
        <v>-91</v>
      </c>
      <c r="G23" s="97"/>
      <c r="H23" s="97">
        <f>H21-F21</f>
        <v>17.146999999999935</v>
      </c>
      <c r="I23" s="97">
        <f>I21-H21</f>
        <v>-46.802000000000135</v>
      </c>
      <c r="J23" s="116">
        <f>J21-I21</f>
        <v>-16.444999999999936</v>
      </c>
      <c r="K23" s="13"/>
    </row>
    <row r="24">
      <c r="A24" s="3"/>
      <c r="B24" s="16" t="s">
        <v>133</v>
      </c>
      <c r="C24" s="95">
        <v>632</v>
      </c>
      <c r="D24" s="95">
        <v>858</v>
      </c>
      <c r="E24" s="95">
        <v>885</v>
      </c>
      <c r="F24" s="95">
        <v>955</v>
      </c>
      <c r="G24" s="97">
        <f>SUM(C24:F24)</f>
        <v>3330</v>
      </c>
      <c r="H24" s="97">
        <f>C24*(1+H25)</f>
        <v>1231.136</v>
      </c>
      <c r="I24" s="97">
        <f>D24*(1+I25)</f>
        <v>1330.758</v>
      </c>
      <c r="J24" s="116">
        <f>E24*(1+J25)</f>
        <v>1327.5</v>
      </c>
      <c r="K24" s="13" t="s">
        <v>134</v>
      </c>
    </row>
    <row r="25" ht="24.75">
      <c r="A25" s="3"/>
      <c r="B25" s="112" t="s">
        <v>135</v>
      </c>
      <c r="C25" s="62"/>
      <c r="D25" s="62"/>
      <c r="E25" s="62"/>
      <c r="F25" s="62"/>
      <c r="G25" s="62"/>
      <c r="H25" s="66">
        <v>0.948</v>
      </c>
      <c r="I25" s="66">
        <v>0.551</v>
      </c>
      <c r="J25" s="119">
        <v>0.5</v>
      </c>
      <c r="K25" s="42" t="s">
        <v>136</v>
      </c>
    </row>
    <row r="26">
      <c r="A26" s="3"/>
      <c r="B26" s="8" t="s">
        <v>66</v>
      </c>
      <c r="C26" s="29">
        <f>IFERROR(C24/C77-1,"")</f>
        <v>1.0721311475409836</v>
      </c>
      <c r="D26" s="29">
        <f>IFERROR(D24/D77-1,"")</f>
        <v>1.234375</v>
      </c>
      <c r="E26" s="29">
        <f>IFERROR(E24/E77-1,"")</f>
        <v>0.9114470842332614</v>
      </c>
      <c r="F26" s="29">
        <f>IFERROR(F24/F77-1,"")</f>
        <v>0.9138276553106213</v>
      </c>
      <c r="G26" s="29">
        <f>IFERROR(G24/G77-1,"")</f>
        <v>1.016959418534222</v>
      </c>
      <c r="H26" s="29">
        <f>IFERROR(H24/H77-1,"")</f>
        <v>0.948</v>
      </c>
      <c r="I26" s="29">
        <f>IFERROR(I24/I77-1,"")</f>
        <v>0.5509999999999999</v>
      </c>
      <c r="J26" s="68">
        <f>IFERROR(J24/J77-1,"")</f>
        <v>0.5</v>
      </c>
      <c r="K26" s="13"/>
    </row>
    <row r="27">
      <c r="A27" s="3"/>
      <c r="B27" s="67" t="s">
        <v>123</v>
      </c>
      <c r="C27" s="97"/>
      <c r="D27" s="97">
        <f>D24-C24</f>
        <v>226</v>
      </c>
      <c r="E27" s="97">
        <f>E24-D24</f>
        <v>27</v>
      </c>
      <c r="F27" s="97">
        <f>F24-E24</f>
        <v>70</v>
      </c>
      <c r="G27" s="97"/>
      <c r="H27" s="97">
        <f>H24-F24</f>
        <v>276.13599999999997</v>
      </c>
      <c r="I27" s="97">
        <f>I24-H24</f>
        <v>99.62200000000007</v>
      </c>
      <c r="J27" s="116">
        <f>J24-I24</f>
        <v>-3.258000000000038</v>
      </c>
      <c r="K27" s="13"/>
    </row>
    <row r="28" ht="24.75">
      <c r="A28" s="3"/>
      <c r="B28" s="4" t="s">
        <v>137</v>
      </c>
      <c r="C28" s="128">
        <f>C9+C13+C24</f>
        <v>39424</v>
      </c>
      <c r="D28" s="128">
        <f>D9+D13+D24</f>
        <v>41415</v>
      </c>
      <c r="E28" s="128">
        <f>E9+E13+E24</f>
        <v>43296</v>
      </c>
      <c r="F28" s="128">
        <f>F9+F13+F24</f>
        <v>40844</v>
      </c>
      <c r="G28" s="128">
        <f>G9+G13+G24</f>
        <v>164979</v>
      </c>
      <c r="H28" s="128">
        <f>H9+H13+H24</f>
        <v>44127.34</v>
      </c>
      <c r="I28" s="128">
        <f>I9+I13+I24</f>
        <v>44714.882000000005</v>
      </c>
      <c r="J28" s="142">
        <f>J9+J13+J24</f>
        <v>43826.6</v>
      </c>
      <c r="K28" s="42"/>
    </row>
    <row r="29">
      <c r="A29" s="3"/>
      <c r="B29" s="8" t="s">
        <v>66</v>
      </c>
      <c r="C29" s="29">
        <f>IFERROR(C28/C78-1,"")</f>
        <v>0.12482524465747957</v>
      </c>
      <c r="D29" s="29">
        <f>IFERROR(D28/D78-1,"")</f>
        <v>0.1046061931560558</v>
      </c>
      <c r="E29" s="29">
        <f>IFERROR(E28/E78-1,"")</f>
        <v>0.15671920919048898</v>
      </c>
      <c r="F29" s="29">
        <f>IFERROR(F28/F78-1,"")</f>
        <v>0.07967221781654765</v>
      </c>
      <c r="G29" s="29">
        <f>IFERROR(G28/G78-1,"")</f>
        <v>0.11621628936008976</v>
      </c>
      <c r="H29" s="29">
        <f>IFERROR(H28/H78-1,"")</f>
        <v>0.1193014407467532</v>
      </c>
      <c r="I29" s="29">
        <f>IFERROR(I28/I78-1,"")</f>
        <v>0.07967842569117489</v>
      </c>
      <c r="J29" s="68">
        <f>IFERROR(J28/J78-1,"")</f>
        <v>0.012255173688100474</v>
      </c>
      <c r="K29" s="13"/>
    </row>
    <row r="30">
      <c r="A30" s="3"/>
      <c r="B30" s="67" t="s">
        <v>123</v>
      </c>
      <c r="C30" s="97"/>
      <c r="D30" s="97">
        <f>D28-C28</f>
        <v>1991</v>
      </c>
      <c r="E30" s="97">
        <f>E28-D28</f>
        <v>1881</v>
      </c>
      <c r="F30" s="97">
        <f>F28-E28</f>
        <v>-2452</v>
      </c>
      <c r="G30" s="97"/>
      <c r="H30" s="97">
        <f>H28-F28</f>
        <v>3283.3399999999965</v>
      </c>
      <c r="I30" s="97">
        <f>I28-H28</f>
        <v>587.5420000000086</v>
      </c>
      <c r="J30" s="116">
        <f>J28-I28</f>
        <v>-888.2820000000065</v>
      </c>
      <c r="K30" s="13"/>
    </row>
    <row r="31">
      <c r="A31" s="3"/>
      <c r="B31" s="21" t="s">
        <v>138</v>
      </c>
      <c r="C31" s="29">
        <f>C9/C28</f>
        <v>0.9407721185064936</v>
      </c>
      <c r="D31" s="29">
        <f>D9/D28</f>
        <v>0.9370759386695642</v>
      </c>
      <c r="E31" s="29">
        <f>E9/E28</f>
        <v>0.9431125277161863</v>
      </c>
      <c r="F31" s="29">
        <f>F9/F28</f>
        <v>0.9400646361766722</v>
      </c>
      <c r="G31" s="29">
        <f>G9/G28</f>
        <v>0.9402833087847544</v>
      </c>
      <c r="H31" s="29">
        <f>H9/H28</f>
        <v>0.935475761738641</v>
      </c>
      <c r="I31" s="29">
        <f>I9/I28</f>
        <v>0.9338833545395469</v>
      </c>
      <c r="J31" s="68">
        <f>J9/J28</f>
        <v>0.9355049216685757</v>
      </c>
      <c r="K31" s="13"/>
    </row>
    <row r="32">
      <c r="A32" s="3"/>
      <c r="B32" s="8" t="s">
        <v>139</v>
      </c>
      <c r="C32" s="90">
        <f>(C31-C79)*10000</f>
        <v>-45.90088689146788</v>
      </c>
      <c r="D32" s="90">
        <f>(D31-D79)*10000</f>
        <v>-109.41024496893603</v>
      </c>
      <c r="E32" s="90">
        <f>(E31-E79)*10000</f>
        <v>-12.369245947941865</v>
      </c>
      <c r="F32" s="90">
        <f>(F31-F79)*10000</f>
        <v>-41.06656448228607</v>
      </c>
      <c r="G32" s="90">
        <f>(G31-G79)*10000</f>
        <v>-51.910420359381206</v>
      </c>
      <c r="H32" s="90">
        <f>(H31-H79)*10000</f>
        <v>-52.963567678525614</v>
      </c>
      <c r="I32" s="90">
        <f>(I31-I79)*10000</f>
        <v>-31.925841300173285</v>
      </c>
      <c r="J32" s="104">
        <f>(J31-J79)*10000</f>
        <v>-76.07606047610571</v>
      </c>
      <c r="K32" s="13"/>
    </row>
    <row r="33">
      <c r="A33" s="3"/>
      <c r="B33" s="21" t="s">
        <v>140</v>
      </c>
      <c r="C33" s="29">
        <f>C24/C28</f>
        <v>0.016030844155844156</v>
      </c>
      <c r="D33" s="29">
        <f>D24/D28</f>
        <v>0.020717131474103586</v>
      </c>
      <c r="E33" s="29">
        <f>E24/E28</f>
        <v>0.020440687361419067</v>
      </c>
      <c r="F33" s="29">
        <f>F24/F28</f>
        <v>0.023381647243169133</v>
      </c>
      <c r="G33" s="29">
        <f>G24/G28</f>
        <v>0.020184387103813213</v>
      </c>
      <c r="H33" s="29">
        <f>H24/H28</f>
        <v>0.027899619600909552</v>
      </c>
      <c r="I33" s="29">
        <f>I24/I28</f>
        <v>0.029760964146120297</v>
      </c>
      <c r="J33" s="68">
        <f>J24/J28</f>
        <v>0.03028982398817157</v>
      </c>
      <c r="K33" s="13"/>
    </row>
    <row r="34">
      <c r="A34" s="3"/>
      <c r="B34" s="8" t="s">
        <v>139</v>
      </c>
      <c r="C34" s="90">
        <f>(C33-C80)*10000</f>
        <v>73.28741385437012</v>
      </c>
      <c r="D34" s="90">
        <f>(D33-D80)*10000</f>
        <v>104.75219650563191</v>
      </c>
      <c r="E34" s="90">
        <f>(E33-E80)*10000</f>
        <v>80.70930481910652</v>
      </c>
      <c r="F34" s="90">
        <f>(F33-F80)*10000</f>
        <v>101.91057763919859</v>
      </c>
      <c r="G34" s="90">
        <f>(G33-G80)*10000</f>
        <v>90.1403758215586</v>
      </c>
      <c r="H34" s="90">
        <f>(H33-H80)*10000</f>
        <v>118.68775445065396</v>
      </c>
      <c r="I34" s="90">
        <f>(I33-I80)*10000</f>
        <v>90.43832672016711</v>
      </c>
      <c r="J34" s="104">
        <f>(J33-J80)*10000</f>
        <v>98.49136626752502</v>
      </c>
      <c r="K34" s="13"/>
    </row>
    <row r="35">
      <c r="A35" s="3"/>
      <c r="B35" s="3"/>
      <c r="C35" s="3"/>
      <c r="D35" s="3"/>
      <c r="E35" s="3"/>
      <c r="F35" s="3"/>
      <c r="G35" s="3"/>
      <c r="H35" s="3"/>
      <c r="I35" s="3"/>
      <c r="J35" s="50"/>
      <c r="K35" s="13"/>
    </row>
    <row r="36">
      <c r="A36" s="3"/>
      <c r="B36" s="70" t="s">
        <v>141</v>
      </c>
      <c r="C36" s="3"/>
      <c r="D36" s="3"/>
      <c r="E36" s="3"/>
      <c r="F36" s="3"/>
      <c r="G36" s="3"/>
      <c r="H36" s="3"/>
      <c r="I36" s="3"/>
      <c r="J36" s="50"/>
      <c r="K36" s="13"/>
    </row>
    <row r="37">
      <c r="A37" s="3"/>
      <c r="B37" s="16" t="s">
        <v>142</v>
      </c>
      <c r="C37" s="6">
        <v>2850</v>
      </c>
      <c r="D37" s="6">
        <v>3015</v>
      </c>
      <c r="E37" s="6">
        <v>3101</v>
      </c>
      <c r="F37" s="6">
        <v>3159</v>
      </c>
      <c r="G37" s="5">
        <f>SUM(C37:F37)</f>
        <v>12125</v>
      </c>
      <c r="H37" s="5">
        <f>C45</f>
        <v>3076</v>
      </c>
      <c r="I37" s="5">
        <f>D45</f>
        <v>3395</v>
      </c>
      <c r="J37" s="31">
        <f>E45</f>
        <v>3839</v>
      </c>
      <c r="K37" s="13" t="s">
        <v>143</v>
      </c>
    </row>
    <row r="38">
      <c r="A38" s="3"/>
      <c r="B38" s="67" t="s">
        <v>144</v>
      </c>
      <c r="C38" s="6">
        <v>-3</v>
      </c>
      <c r="D38" s="6">
        <v>4</v>
      </c>
      <c r="E38" s="6">
        <v>51</v>
      </c>
      <c r="F38" s="6">
        <v>45</v>
      </c>
      <c r="G38" s="5">
        <f>SUM(C38:F38)</f>
        <v>97</v>
      </c>
      <c r="H38" s="6">
        <v>88</v>
      </c>
      <c r="I38" s="6">
        <v>86</v>
      </c>
      <c r="J38" s="31">
        <f>J37*J53</f>
        <v>95.97500000000001</v>
      </c>
      <c r="K38" s="13" t="s">
        <v>145</v>
      </c>
    </row>
    <row r="39">
      <c r="A39" s="3"/>
      <c r="B39" s="67" t="s">
        <v>146</v>
      </c>
      <c r="C39" s="6">
        <v>360</v>
      </c>
      <c r="D39" s="6">
        <v>309</v>
      </c>
      <c r="E39" s="6">
        <v>508</v>
      </c>
      <c r="F39" s="6">
        <v>311</v>
      </c>
      <c r="G39" s="5">
        <f>SUM(C39:F39)</f>
        <v>1488</v>
      </c>
      <c r="H39" s="6">
        <v>399</v>
      </c>
      <c r="I39" s="6">
        <v>316</v>
      </c>
      <c r="J39" s="31">
        <f>J37*(J29+J55)</f>
        <v>116.14961178861772</v>
      </c>
      <c r="K39" s="13"/>
    </row>
    <row r="40">
      <c r="A40" s="3"/>
      <c r="B40" s="67" t="s">
        <v>147</v>
      </c>
      <c r="C40" s="6">
        <v>0</v>
      </c>
      <c r="D40" s="6">
        <v>0</v>
      </c>
      <c r="E40" s="6">
        <v>0</v>
      </c>
      <c r="F40" s="6">
        <v>0</v>
      </c>
      <c r="G40" s="5">
        <f>SUM(C40:F40)</f>
        <v>0</v>
      </c>
      <c r="H40" s="6">
        <v>0</v>
      </c>
      <c r="I40" s="6">
        <v>0</v>
      </c>
      <c r="J40" s="20">
        <v>0</v>
      </c>
      <c r="K40" s="13"/>
    </row>
    <row r="41">
      <c r="A41" s="3"/>
      <c r="B41" s="2" t="s">
        <v>148</v>
      </c>
      <c r="C41" s="14">
        <f>C38+C39+C40</f>
        <v>357</v>
      </c>
      <c r="D41" s="14">
        <f>D38+D39+D40</f>
        <v>313</v>
      </c>
      <c r="E41" s="14">
        <f>E38+E39+E40</f>
        <v>559</v>
      </c>
      <c r="F41" s="14">
        <f>F38+F39+F40</f>
        <v>356</v>
      </c>
      <c r="G41" s="14">
        <f>G38+G39+G40</f>
        <v>1585</v>
      </c>
      <c r="H41" s="14">
        <f>H38+H39+H40</f>
        <v>487</v>
      </c>
      <c r="I41" s="14">
        <f>I38+I39+I40</f>
        <v>402</v>
      </c>
      <c r="J41" s="72">
        <f>J38+J39+J40</f>
        <v>212.12461178861773</v>
      </c>
      <c r="K41" s="13"/>
    </row>
    <row r="42">
      <c r="A42" s="3"/>
      <c r="B42" s="67" t="s">
        <v>149</v>
      </c>
      <c r="C42" s="6">
        <v>0</v>
      </c>
      <c r="D42" s="6">
        <v>0</v>
      </c>
      <c r="E42" s="6">
        <v>0</v>
      </c>
      <c r="F42" s="6">
        <v>0</v>
      </c>
      <c r="G42" s="5">
        <f>SUM(C42:F42)</f>
        <v>0</v>
      </c>
      <c r="H42" s="6">
        <v>0</v>
      </c>
      <c r="I42" s="6">
        <v>-17</v>
      </c>
      <c r="J42" s="20">
        <v>-17</v>
      </c>
      <c r="K42" s="13" t="s">
        <v>150</v>
      </c>
    </row>
    <row r="43">
      <c r="A43" s="3"/>
      <c r="B43" s="67" t="s">
        <v>151</v>
      </c>
      <c r="C43" s="6">
        <v>-130</v>
      </c>
      <c r="D43" s="6">
        <v>65</v>
      </c>
      <c r="E43" s="6">
        <v>179</v>
      </c>
      <c r="F43" s="6">
        <v>172</v>
      </c>
      <c r="G43" s="5">
        <f>SUM(C43:F43)</f>
        <v>286</v>
      </c>
      <c r="H43" s="6">
        <v>273</v>
      </c>
      <c r="I43" s="6">
        <v>98</v>
      </c>
      <c r="J43" s="31">
        <f>J37*J48</f>
        <v>38.39</v>
      </c>
      <c r="K43" s="13" t="s">
        <v>152</v>
      </c>
    </row>
    <row r="44">
      <c r="A44" s="3"/>
      <c r="B44" s="67" t="s">
        <v>153</v>
      </c>
      <c r="C44" s="5">
        <f>C45-C37-C41-C42-C43</f>
        <v>-1</v>
      </c>
      <c r="D44" s="5">
        <f>D45-D37-D41-D42-D43</f>
        <v>2</v>
      </c>
      <c r="E44" s="5">
        <f>E45-E37-E41-E42-E43</f>
        <v>0</v>
      </c>
      <c r="F44" s="5">
        <f>F45-F37-F41-F42-F43</f>
        <v>-1</v>
      </c>
      <c r="G44" s="5">
        <f>G45-G37-G41-G42-G43</f>
        <v>0</v>
      </c>
      <c r="H44" s="5">
        <f>H45-H37-H41-H42-H43</f>
        <v>0</v>
      </c>
      <c r="I44" s="5">
        <f>I45-I37-I41-I42-I43</f>
        <v>-1</v>
      </c>
      <c r="J44" s="20">
        <v>0</v>
      </c>
      <c r="K44" s="13"/>
    </row>
    <row r="45" ht="24.75">
      <c r="A45" s="3"/>
      <c r="B45" s="4" t="s">
        <v>154</v>
      </c>
      <c r="C45" s="107">
        <v>3076</v>
      </c>
      <c r="D45" s="107">
        <v>3395</v>
      </c>
      <c r="E45" s="107">
        <v>3839</v>
      </c>
      <c r="F45" s="107">
        <v>3686</v>
      </c>
      <c r="G45" s="102">
        <f>SUM(C45:F45)</f>
        <v>13996</v>
      </c>
      <c r="H45" s="107">
        <v>3836</v>
      </c>
      <c r="I45" s="107">
        <v>3877</v>
      </c>
      <c r="J45" s="114">
        <f>J37+J41+J42+J43+J44</f>
        <v>4072.5146117886175</v>
      </c>
      <c r="K45" s="42" t="s">
        <v>155</v>
      </c>
    </row>
    <row r="46">
      <c r="A46" s="3"/>
      <c r="B46" s="8" t="s">
        <v>156</v>
      </c>
      <c r="C46" s="29">
        <f>C45/C37-1</f>
        <v>0.07929824561403498</v>
      </c>
      <c r="D46" s="29">
        <f>D45/D37-1</f>
        <v>0.12603648424543956</v>
      </c>
      <c r="E46" s="29">
        <f>E45/E37-1</f>
        <v>0.2379877458884232</v>
      </c>
      <c r="F46" s="29">
        <f>F45/F37-1</f>
        <v>0.16682494460272235</v>
      </c>
      <c r="G46" s="29">
        <f>G45/G37-1</f>
        <v>0.15430927835051556</v>
      </c>
      <c r="H46" s="29">
        <f>H45/H37-1</f>
        <v>0.24707412223667102</v>
      </c>
      <c r="I46" s="29">
        <f>I45/I37-1</f>
        <v>0.14197349042709861</v>
      </c>
      <c r="J46" s="68">
        <f>J45/J37-1</f>
        <v>0.060826937168173334</v>
      </c>
      <c r="K46" s="13"/>
    </row>
    <row r="47">
      <c r="A47" s="3"/>
      <c r="B47" s="67" t="s">
        <v>157</v>
      </c>
      <c r="C47" s="5"/>
      <c r="D47" s="5">
        <f>D45-C45</f>
        <v>319</v>
      </c>
      <c r="E47" s="5">
        <f>E45-D45</f>
        <v>444</v>
      </c>
      <c r="F47" s="5">
        <f>F45-E45</f>
        <v>-153</v>
      </c>
      <c r="G47" s="5"/>
      <c r="H47" s="5">
        <f>H45-F45</f>
        <v>150</v>
      </c>
      <c r="I47" s="5">
        <f>I45-H45</f>
        <v>41</v>
      </c>
      <c r="J47" s="31">
        <f>J45-I45</f>
        <v>195.51461178861746</v>
      </c>
      <c r="K47" s="13"/>
    </row>
    <row r="48">
      <c r="A48" s="3"/>
      <c r="B48" s="8" t="s">
        <v>70</v>
      </c>
      <c r="C48" s="29">
        <f>C43/C37</f>
        <v>-0.0456140350877193</v>
      </c>
      <c r="D48" s="29">
        <f>D43/D37</f>
        <v>0.02155887230514096</v>
      </c>
      <c r="E48" s="29">
        <f>E43/E37</f>
        <v>0.05772331505965817</v>
      </c>
      <c r="F48" s="29">
        <f>F43/F37</f>
        <v>0.05444761000316556</v>
      </c>
      <c r="G48" s="29">
        <f>G43/G37</f>
        <v>0.02358762886597938</v>
      </c>
      <c r="H48" s="29">
        <f>H43/H37</f>
        <v>0.0887516254876463</v>
      </c>
      <c r="I48" s="29">
        <f>I43/I37</f>
        <v>0.0288659793814433</v>
      </c>
      <c r="J48" s="106">
        <v>0.01</v>
      </c>
      <c r="K48" s="13" t="s">
        <v>158</v>
      </c>
    </row>
    <row r="49">
      <c r="A49" s="3"/>
      <c r="B49" s="8" t="s">
        <v>139</v>
      </c>
      <c r="C49" s="90"/>
      <c r="D49" s="90"/>
      <c r="E49" s="90"/>
      <c r="F49" s="90"/>
      <c r="G49" s="90"/>
      <c r="H49" s="90">
        <f>(H48-C48)*10000</f>
        <v>1343.6566057536559</v>
      </c>
      <c r="I49" s="90">
        <f>(I48-D48)*10000</f>
        <v>73.0710707630234</v>
      </c>
      <c r="J49" s="104">
        <f>(J48-E48)*10000</f>
        <v>-477.2331505965817</v>
      </c>
      <c r="K49" s="13"/>
    </row>
    <row r="50">
      <c r="A50" s="3"/>
      <c r="B50" s="8" t="s">
        <v>71</v>
      </c>
      <c r="C50" s="29">
        <f>C42/C37</f>
        <v>0</v>
      </c>
      <c r="D50" s="29">
        <f>D42/D37</f>
        <v>0</v>
      </c>
      <c r="E50" s="29">
        <f>E42/E37</f>
        <v>0</v>
      </c>
      <c r="F50" s="29">
        <f>F42/F37</f>
        <v>0</v>
      </c>
      <c r="G50" s="29">
        <f>G42/G37</f>
        <v>0</v>
      </c>
      <c r="H50" s="29">
        <f>H42/H37</f>
        <v>0</v>
      </c>
      <c r="I50" s="29">
        <f>I42/I37</f>
        <v>-0.005007363770250369</v>
      </c>
      <c r="J50" s="68">
        <f>J42/J37</f>
        <v>-0.004428236519927064</v>
      </c>
      <c r="K50" s="13"/>
    </row>
    <row r="51" ht="24.75">
      <c r="A51" s="3"/>
      <c r="B51" s="112" t="s">
        <v>72</v>
      </c>
      <c r="C51" s="62">
        <f>(1+C46)/((1+C50)*(1+C48))-1</f>
        <v>0.13088235294117645</v>
      </c>
      <c r="D51" s="62">
        <f>(1+D46)/((1+D50)*(1+D48))-1</f>
        <v>0.10227272727272729</v>
      </c>
      <c r="E51" s="62">
        <f>(1+E46)/((1+E50)*(1+E48))-1</f>
        <v>0.1704268292682929</v>
      </c>
      <c r="F51" s="62">
        <f>(1+F46)/((1+F50)*(1+F48))-1</f>
        <v>0.10657460222155524</v>
      </c>
      <c r="G51" s="62">
        <f>(1+G46)/((1+G50)*(1+G48))-1</f>
        <v>0.12770929014583854</v>
      </c>
      <c r="H51" s="62">
        <f>(1+H46)/((1+H50)*(1+H48))-1</f>
        <v>0.1454165422514182</v>
      </c>
      <c r="I51" s="62">
        <f>(1+I46)/((1+I50)*(1+I48))-1</f>
        <v>0.11551996829656952</v>
      </c>
      <c r="J51" s="103">
        <f>(1+J46)/((1+J50)*(1+J48))-1</f>
        <v>0.05499546963349711</v>
      </c>
      <c r="K51" s="42"/>
    </row>
    <row r="52" ht="24.75">
      <c r="A52" s="3"/>
      <c r="B52" s="112" t="s">
        <v>79</v>
      </c>
      <c r="C52" s="62">
        <f>C41/C37</f>
        <v>0.12526315789473685</v>
      </c>
      <c r="D52" s="62">
        <f>D41/D37</f>
        <v>0.10381426202321725</v>
      </c>
      <c r="E52" s="62">
        <f>E41/E37</f>
        <v>0.18026443082876492</v>
      </c>
      <c r="F52" s="62">
        <f>F41/F37</f>
        <v>0.11269389047166825</v>
      </c>
      <c r="G52" s="62">
        <f>G41/G37</f>
        <v>0.13072164948453607</v>
      </c>
      <c r="H52" s="62">
        <f>H41/H37</f>
        <v>0.1583224967490247</v>
      </c>
      <c r="I52" s="62">
        <f>I41/I37</f>
        <v>0.11840942562592047</v>
      </c>
      <c r="J52" s="103">
        <f>J41/J37</f>
        <v>0.05525517368810048</v>
      </c>
      <c r="K52" s="42"/>
    </row>
    <row r="53" ht="24.75">
      <c r="A53" s="3"/>
      <c r="B53" s="112" t="s">
        <v>159</v>
      </c>
      <c r="C53" s="62">
        <f>C38/C37</f>
        <v>-0.0010526315789473684</v>
      </c>
      <c r="D53" s="62">
        <f>D38/D37</f>
        <v>0.0013266998341625207</v>
      </c>
      <c r="E53" s="62">
        <f>E38/E37</f>
        <v>0.016446307642695904</v>
      </c>
      <c r="F53" s="62">
        <f>F38/F37</f>
        <v>0.014245014245014245</v>
      </c>
      <c r="G53" s="62">
        <f>G38/G37</f>
        <v>0.008</v>
      </c>
      <c r="H53" s="62">
        <f>H38/H37</f>
        <v>0.02860858257477243</v>
      </c>
      <c r="I53" s="62">
        <f>I38/I37</f>
        <v>0.02533136966126657</v>
      </c>
      <c r="J53" s="119">
        <v>0.025</v>
      </c>
      <c r="K53" s="42" t="s">
        <v>160</v>
      </c>
    </row>
    <row r="54">
      <c r="A54" s="3"/>
      <c r="B54" s="8" t="s">
        <v>139</v>
      </c>
      <c r="C54" s="90"/>
      <c r="D54" s="90"/>
      <c r="E54" s="90"/>
      <c r="F54" s="90"/>
      <c r="G54" s="90"/>
      <c r="H54" s="90">
        <f>(H53-C53)*10000</f>
        <v>296.612141537198</v>
      </c>
      <c r="I54" s="90">
        <f>(I53-D53)*10000</f>
        <v>240.04669827104047</v>
      </c>
      <c r="J54" s="104">
        <f>(J53-E53)*10000</f>
        <v>85.53692357304098</v>
      </c>
      <c r="K54" s="13"/>
    </row>
    <row r="55" ht="24.75">
      <c r="A55" s="3"/>
      <c r="B55" s="112" t="s">
        <v>161</v>
      </c>
      <c r="C55" s="62">
        <f>C39/C37-C29</f>
        <v>0.001490544816204642</v>
      </c>
      <c r="D55" s="62">
        <f>D39/D37-D29</f>
        <v>-0.002118630967001073</v>
      </c>
      <c r="E55" s="62">
        <f>E39/E37-E29</f>
        <v>0.0070989139955800196</v>
      </c>
      <c r="F55" s="62">
        <f>F39/F37-F29</f>
        <v>0.018776658410106353</v>
      </c>
      <c r="G55" s="62">
        <f>G39/G37-G29</f>
        <v>0.006505360124446316</v>
      </c>
      <c r="H55" s="62">
        <f>H39/H37-H29</f>
        <v>0.01041247342749907</v>
      </c>
      <c r="I55" s="62">
        <f>I39/I37-I29</f>
        <v>0.013399630273479013</v>
      </c>
      <c r="J55" s="119">
        <v>0.018</v>
      </c>
      <c r="K55" s="42" t="s">
        <v>162</v>
      </c>
    </row>
    <row r="56">
      <c r="A56" s="3"/>
      <c r="B56" s="8" t="s">
        <v>139</v>
      </c>
      <c r="C56" s="90"/>
      <c r="D56" s="90"/>
      <c r="E56" s="90"/>
      <c r="F56" s="90"/>
      <c r="G56" s="90"/>
      <c r="H56" s="90">
        <f>(H55-C55)*10000</f>
        <v>89.21928611294427</v>
      </c>
      <c r="I56" s="90">
        <f>(I55-D55)*10000</f>
        <v>155.18261240480086</v>
      </c>
      <c r="J56" s="104">
        <f>(J55-E55)*10000</f>
        <v>109.01086004419979</v>
      </c>
      <c r="K56" s="13"/>
    </row>
    <row r="57">
      <c r="A57" s="3"/>
      <c r="B57" s="16" t="s">
        <v>163</v>
      </c>
      <c r="C57" s="100">
        <f>C45/C28*1000</f>
        <v>78.02353896103897</v>
      </c>
      <c r="D57" s="100">
        <f>D45/D28*1000</f>
        <v>81.97512978389472</v>
      </c>
      <c r="E57" s="100">
        <f>E45/E28*1000</f>
        <v>88.66869918699187</v>
      </c>
      <c r="F57" s="100">
        <f>F45/F28*1000</f>
        <v>90.24581333855646</v>
      </c>
      <c r="G57" s="100">
        <f>G45/G28*1000</f>
        <v>84.83503961110202</v>
      </c>
      <c r="H57" s="100">
        <f>H45/H28*1000</f>
        <v>86.93023418134881</v>
      </c>
      <c r="I57" s="100">
        <f>I45/I28*1000</f>
        <v>86.70491403734442</v>
      </c>
      <c r="J57" s="117">
        <f>J45/J28*1000</f>
        <v>92.92335275354733</v>
      </c>
      <c r="K57" s="13"/>
    </row>
    <row r="58">
      <c r="A58" s="3"/>
      <c r="B58" s="8" t="s">
        <v>66</v>
      </c>
      <c r="C58" s="29">
        <f>IFERROR(C57/C81-1,"")</f>
        <v>-0.04047473086124409</v>
      </c>
      <c r="D58" s="29">
        <f>IFERROR(D57/D81-1,"")</f>
        <v>0.019400842781944982</v>
      </c>
      <c r="E58" s="29">
        <f>IFERROR(E57/E81-1,"")</f>
        <v>0.07025779121867326</v>
      </c>
      <c r="F58" s="29">
        <f>IFERROR(F57/F81-1,"")</f>
        <v>0.0807214683753057</v>
      </c>
      <c r="G58" s="29">
        <f>IFERROR(G57/G81-1,"")</f>
        <v>0.034126888626812235</v>
      </c>
      <c r="H58" s="29">
        <f>IFERROR(H57/H81-1,"")</f>
        <v>0.11415395070399703</v>
      </c>
      <c r="I58" s="29">
        <f>IFERROR(I57/I81-1,"")</f>
        <v>0.05769779524495422</v>
      </c>
      <c r="J58" s="68">
        <f>IFERROR(J57/J81-1,"")</f>
        <v>0.04798371472195506</v>
      </c>
      <c r="K58" s="13"/>
    </row>
    <row r="59">
      <c r="A59" s="3"/>
      <c r="B59" s="67" t="s">
        <v>164</v>
      </c>
      <c r="C59" s="100"/>
      <c r="D59" s="100">
        <f>D57-C57</f>
        <v>3.9515908228557493</v>
      </c>
      <c r="E59" s="100">
        <f>E57-D57</f>
        <v>6.6935694030971575</v>
      </c>
      <c r="F59" s="100">
        <f>F57-E57</f>
        <v>1.5771141515645866</v>
      </c>
      <c r="G59" s="100"/>
      <c r="H59" s="100">
        <f>H57-F57</f>
        <v>-3.315579157207651</v>
      </c>
      <c r="I59" s="100">
        <f>I57-H57</f>
        <v>-0.22532014400438527</v>
      </c>
      <c r="J59" s="117">
        <f>J57-I57</f>
        <v>6.218438716202911</v>
      </c>
      <c r="K59" s="13"/>
    </row>
    <row r="60">
      <c r="A60" s="3"/>
      <c r="B60" s="3"/>
      <c r="C60" s="3"/>
      <c r="D60" s="3"/>
      <c r="E60" s="3"/>
      <c r="F60" s="3"/>
      <c r="G60" s="3"/>
      <c r="H60" s="3"/>
      <c r="I60" s="3"/>
      <c r="J60" s="50"/>
      <c r="K60" s="13"/>
    </row>
    <row r="61">
      <c r="A61" s="3"/>
      <c r="B61" s="70" t="s">
        <v>165</v>
      </c>
      <c r="C61" s="3"/>
      <c r="D61" s="3"/>
      <c r="E61" s="3"/>
      <c r="F61" s="3"/>
      <c r="G61" s="3"/>
      <c r="H61" s="3"/>
      <c r="I61" s="3"/>
      <c r="J61" s="50"/>
      <c r="K61" s="13"/>
    </row>
    <row r="62" ht="24.75">
      <c r="A62" s="3"/>
      <c r="B62" s="4" t="s">
        <v>166</v>
      </c>
      <c r="C62" s="96">
        <v>2087</v>
      </c>
      <c r="D62" s="96">
        <v>2319</v>
      </c>
      <c r="E62" s="96">
        <v>2683</v>
      </c>
      <c r="F62" s="96">
        <v>2488</v>
      </c>
      <c r="G62" s="9">
        <f>SUM(C62:F62)</f>
        <v>9577</v>
      </c>
      <c r="H62" s="96">
        <v>2684</v>
      </c>
      <c r="I62" s="96">
        <v>2716</v>
      </c>
      <c r="J62" s="71">
        <f>J45*J65</f>
        <v>2867.0502866991865</v>
      </c>
      <c r="K62" s="42" t="s">
        <v>167</v>
      </c>
    </row>
    <row r="63">
      <c r="A63" s="3"/>
      <c r="B63" s="8" t="s">
        <v>66</v>
      </c>
      <c r="C63" s="29">
        <f>IFERROR(C62/C82-1,"")</f>
        <v>0.1804298642533937</v>
      </c>
      <c r="D63" s="29">
        <f>IFERROR(D62/D82-1,"")</f>
        <v>0.2103340292275575</v>
      </c>
      <c r="E63" s="29">
        <f>IFERROR(E62/E82-1,"")</f>
        <v>0.2849616858237547</v>
      </c>
      <c r="F63" s="29">
        <f>IFERROR(F62/F82-1,"")</f>
        <v>0.20894071914480072</v>
      </c>
      <c r="G63" s="29">
        <f>IFERROR(G62/G82-1,"")</f>
        <v>0.2231162196679437</v>
      </c>
      <c r="H63" s="29">
        <f>IFERROR(H62/H82-1,"")</f>
        <v>0.28605654048873985</v>
      </c>
      <c r="I63" s="29">
        <f>IFERROR(I62/I82-1,"")</f>
        <v>0.17119448037947382</v>
      </c>
      <c r="J63" s="68">
        <f>IFERROR(J62/J82-1,"")</f>
        <v>0.0685986905326823</v>
      </c>
      <c r="K63" s="13"/>
    </row>
    <row r="64">
      <c r="A64" s="3"/>
      <c r="B64" s="67" t="s">
        <v>157</v>
      </c>
      <c r="C64" s="5"/>
      <c r="D64" s="5">
        <f>D62-C62</f>
        <v>232</v>
      </c>
      <c r="E64" s="5">
        <f>E62-D62</f>
        <v>364</v>
      </c>
      <c r="F64" s="5">
        <f>F62-E62</f>
        <v>-195</v>
      </c>
      <c r="G64" s="5"/>
      <c r="H64" s="5">
        <f>H62-F62</f>
        <v>196</v>
      </c>
      <c r="I64" s="5">
        <f>I62-H62</f>
        <v>32</v>
      </c>
      <c r="J64" s="31">
        <f>J62-I62</f>
        <v>151.05028669918647</v>
      </c>
      <c r="K64" s="13"/>
    </row>
    <row r="65">
      <c r="A65" s="3"/>
      <c r="B65" s="21" t="s">
        <v>168</v>
      </c>
      <c r="C65" s="29">
        <f>C62/C45</f>
        <v>0.6784785435630689</v>
      </c>
      <c r="D65" s="29">
        <f>D62/D45</f>
        <v>0.6830633284241532</v>
      </c>
      <c r="E65" s="29">
        <f>E62/E45</f>
        <v>0.6988799166449596</v>
      </c>
      <c r="F65" s="29">
        <f>F62/F45</f>
        <v>0.6749864351600651</v>
      </c>
      <c r="G65" s="29">
        <f>G62/G45</f>
        <v>0.6842669334095456</v>
      </c>
      <c r="H65" s="29">
        <f>H62/H45</f>
        <v>0.6996871741397289</v>
      </c>
      <c r="I65" s="29">
        <f>I62/I45</f>
        <v>0.7005416559195254</v>
      </c>
      <c r="J65" s="106">
        <v>0.704</v>
      </c>
      <c r="K65" s="13" t="s">
        <v>169</v>
      </c>
    </row>
    <row r="66">
      <c r="A66" s="3"/>
      <c r="B66" s="8" t="s">
        <v>139</v>
      </c>
      <c r="C66" s="90">
        <f>(C65-C83)*10000</f>
        <v>581.2766637008648</v>
      </c>
      <c r="D66" s="90">
        <f>(D65-D83)*10000</f>
        <v>475.74107860305804</v>
      </c>
      <c r="E66" s="90">
        <f>(E65-E83)*10000</f>
        <v>255.4873315576256</v>
      </c>
      <c r="F66" s="90">
        <f>(F65-F83)*10000</f>
        <v>235.14450354746975</v>
      </c>
      <c r="G66" s="90">
        <f>(G65-G83)*10000</f>
        <v>384.9373753325691</v>
      </c>
      <c r="H66" s="90">
        <f>(H65-H83)*10000</f>
        <v>212.08630576660005</v>
      </c>
      <c r="I66" s="90">
        <f>(I65-I83)*10000</f>
        <v>174.78327495372258</v>
      </c>
      <c r="J66" s="104">
        <f>(J65-J83)*10000</f>
        <v>51.20083355040328</v>
      </c>
      <c r="K66" s="13"/>
    </row>
    <row r="67" ht="24.75">
      <c r="A67" s="3"/>
      <c r="B67" s="52" t="s">
        <v>170</v>
      </c>
      <c r="C67" s="19">
        <v>-1</v>
      </c>
      <c r="D67" s="19">
        <v>-1</v>
      </c>
      <c r="E67" s="19">
        <v>-1</v>
      </c>
      <c r="F67" s="19">
        <v>-1</v>
      </c>
      <c r="G67" s="17">
        <f>SUM(C67:F67)</f>
        <v>-4</v>
      </c>
      <c r="H67" s="19">
        <v>-1</v>
      </c>
      <c r="I67" s="19">
        <v>-1</v>
      </c>
      <c r="J67" s="92">
        <v>-1</v>
      </c>
      <c r="K67" s="42" t="s">
        <v>171</v>
      </c>
    </row>
    <row r="68">
      <c r="A68" s="3"/>
      <c r="B68" s="2" t="s">
        <v>172</v>
      </c>
      <c r="C68" s="14">
        <f>C62-C67</f>
        <v>2088</v>
      </c>
      <c r="D68" s="14">
        <f>D62-D67</f>
        <v>2320</v>
      </c>
      <c r="E68" s="14">
        <f>E62-E67</f>
        <v>2684</v>
      </c>
      <c r="F68" s="14">
        <f>F62-F67</f>
        <v>2489</v>
      </c>
      <c r="G68" s="14">
        <f>G62-G67</f>
        <v>9581</v>
      </c>
      <c r="H68" s="14">
        <f>H62-H67</f>
        <v>2685</v>
      </c>
      <c r="I68" s="14">
        <f>I62-I67</f>
        <v>2717</v>
      </c>
      <c r="J68" s="72">
        <f>J62-J67</f>
        <v>2868.0502866991865</v>
      </c>
      <c r="K68" s="13"/>
    </row>
    <row r="69">
      <c r="A69" s="3"/>
      <c r="B69" s="21" t="s">
        <v>173</v>
      </c>
      <c r="C69" s="29">
        <f>C68/C45</f>
        <v>0.6788036410923277</v>
      </c>
      <c r="D69" s="29">
        <f>D68/D45</f>
        <v>0.6833578792341679</v>
      </c>
      <c r="E69" s="29">
        <f>E68/E45</f>
        <v>0.6991404011461319</v>
      </c>
      <c r="F69" s="29">
        <f>F68/F45</f>
        <v>0.6752577319587629</v>
      </c>
      <c r="G69" s="29">
        <f>G68/G45</f>
        <v>0.6845527293512432</v>
      </c>
      <c r="H69" s="29">
        <f>H68/H45</f>
        <v>0.6999478623566214</v>
      </c>
      <c r="I69" s="29">
        <f>I68/I45</f>
        <v>0.7007995873097757</v>
      </c>
      <c r="J69" s="68">
        <f>J68/J45</f>
        <v>0.7042455485358126</v>
      </c>
      <c r="K69" s="13"/>
    </row>
    <row r="70">
      <c r="A70" s="3"/>
      <c r="B70" s="8" t="s">
        <v>139</v>
      </c>
      <c r="C70" s="90">
        <f>(C69-C85)*10000</f>
        <v>581.0188670636285</v>
      </c>
      <c r="D70" s="90">
        <f>(D69-D85)*10000</f>
        <v>475.36983711779834</v>
      </c>
      <c r="E70" s="90">
        <f>(E69-E85)*10000</f>
        <v>254.86741036489846</v>
      </c>
      <c r="F70" s="90">
        <f>(F69-F85)*10000</f>
        <v>237.85747153444836</v>
      </c>
      <c r="G70" s="90">
        <f>(G69-G85)*10000</f>
        <v>385.32110794542217</v>
      </c>
      <c r="H70" s="90">
        <f>(H69-H85)*10000</f>
        <v>211.44221264293716</v>
      </c>
      <c r="I70" s="90">
        <f>(I69-I85)*10000</f>
        <v>174.41708075607744</v>
      </c>
      <c r="J70" s="104">
        <f>(J69-J85)*10000</f>
        <v>51.05147389680709</v>
      </c>
      <c r="K70" s="13"/>
    </row>
    <row r="71">
      <c r="A71" s="3"/>
      <c r="B71" s="3"/>
      <c r="C71" s="3"/>
      <c r="D71" s="3"/>
      <c r="E71" s="3"/>
      <c r="F71" s="3"/>
      <c r="G71" s="3"/>
      <c r="H71" s="3"/>
      <c r="I71" s="3"/>
      <c r="J71" s="50"/>
      <c r="K71" s="13"/>
    </row>
    <row r="72">
      <c r="A72" s="3"/>
      <c r="B72" s="70" t="s">
        <v>174</v>
      </c>
      <c r="C72" s="3"/>
      <c r="D72" s="3"/>
      <c r="E72" s="3"/>
      <c r="F72" s="3"/>
      <c r="G72" s="3"/>
      <c r="H72" s="3"/>
      <c r="I72" s="3"/>
      <c r="J72" s="50"/>
      <c r="K72" s="13"/>
    </row>
    <row r="73">
      <c r="A73" s="3"/>
      <c r="B73" s="16" t="s">
        <v>175</v>
      </c>
      <c r="C73" s="95">
        <v>33134</v>
      </c>
      <c r="D73" s="95">
        <v>35544</v>
      </c>
      <c r="E73" s="95">
        <v>35347</v>
      </c>
      <c r="F73" s="95">
        <v>35718</v>
      </c>
      <c r="G73" s="97">
        <f>SUM(C73:F73)</f>
        <v>139743</v>
      </c>
      <c r="H73" s="97">
        <f>C9</f>
        <v>37089</v>
      </c>
      <c r="I73" s="97">
        <f>D9</f>
        <v>38809</v>
      </c>
      <c r="J73" s="116">
        <f>E9</f>
        <v>40833</v>
      </c>
      <c r="K73" s="13" t="s">
        <v>176</v>
      </c>
    </row>
    <row r="74">
      <c r="A74" s="3"/>
      <c r="B74" s="16" t="s">
        <v>177</v>
      </c>
      <c r="C74" s="95">
        <v>1610</v>
      </c>
      <c r="D74" s="95">
        <v>1565</v>
      </c>
      <c r="E74" s="95">
        <v>1620</v>
      </c>
      <c r="F74" s="95">
        <v>1613</v>
      </c>
      <c r="G74" s="97">
        <f>SUM(C74:F74)</f>
        <v>6408</v>
      </c>
      <c r="H74" s="97">
        <f>C13</f>
        <v>1703</v>
      </c>
      <c r="I74" s="97">
        <f>D13</f>
        <v>1748</v>
      </c>
      <c r="J74" s="116">
        <f>E13</f>
        <v>1578</v>
      </c>
      <c r="K74" s="13" t="s">
        <v>176</v>
      </c>
    </row>
    <row r="75">
      <c r="A75" s="3"/>
      <c r="B75" s="16" t="s">
        <v>178</v>
      </c>
      <c r="C75" s="95">
        <v>292</v>
      </c>
      <c r="D75" s="95">
        <v>303</v>
      </c>
      <c r="E75" s="95">
        <v>316</v>
      </c>
      <c r="F75" s="95">
        <v>380</v>
      </c>
      <c r="G75" s="97">
        <f>SUM(C75:F75)</f>
        <v>1291</v>
      </c>
      <c r="H75" s="97">
        <f>C17</f>
        <v>427</v>
      </c>
      <c r="I75" s="97">
        <f>D17</f>
        <v>485</v>
      </c>
      <c r="J75" s="116">
        <f>E17</f>
        <v>388</v>
      </c>
      <c r="K75" s="13" t="s">
        <v>179</v>
      </c>
    </row>
    <row r="76">
      <c r="A76" s="3"/>
      <c r="B76" s="16" t="s">
        <v>180</v>
      </c>
      <c r="C76" s="97">
        <f>C74-C75</f>
        <v>1318</v>
      </c>
      <c r="D76" s="97">
        <f>D74-D75</f>
        <v>1262</v>
      </c>
      <c r="E76" s="97">
        <f>E74-E75</f>
        <v>1304</v>
      </c>
      <c r="F76" s="97">
        <f>F74-F75</f>
        <v>1233</v>
      </c>
      <c r="G76" s="97">
        <f>G74-G75</f>
        <v>5117</v>
      </c>
      <c r="H76" s="97">
        <f>H74-H75</f>
        <v>1276</v>
      </c>
      <c r="I76" s="97">
        <f>I74-I75</f>
        <v>1263</v>
      </c>
      <c r="J76" s="116">
        <f>J74-J75</f>
        <v>1190</v>
      </c>
      <c r="K76" s="13"/>
    </row>
    <row r="77">
      <c r="A77" s="3"/>
      <c r="B77" s="16" t="s">
        <v>181</v>
      </c>
      <c r="C77" s="95">
        <v>305</v>
      </c>
      <c r="D77" s="95">
        <v>384</v>
      </c>
      <c r="E77" s="95">
        <v>463</v>
      </c>
      <c r="F77" s="95">
        <v>499</v>
      </c>
      <c r="G77" s="97">
        <f>SUM(C77:F77)</f>
        <v>1651</v>
      </c>
      <c r="H77" s="97">
        <f>C24</f>
        <v>632</v>
      </c>
      <c r="I77" s="97">
        <f>D24</f>
        <v>858</v>
      </c>
      <c r="J77" s="116">
        <f>E24</f>
        <v>885</v>
      </c>
      <c r="K77" s="13" t="s">
        <v>176</v>
      </c>
    </row>
    <row r="78">
      <c r="A78" s="3"/>
      <c r="B78" s="16" t="s">
        <v>182</v>
      </c>
      <c r="C78" s="97">
        <f>C73+C74+C77</f>
        <v>35049</v>
      </c>
      <c r="D78" s="97">
        <f>D73+D74+D77</f>
        <v>37493</v>
      </c>
      <c r="E78" s="97">
        <f>E73+E74+E77</f>
        <v>37430</v>
      </c>
      <c r="F78" s="97">
        <f>F73+F74+F77</f>
        <v>37830</v>
      </c>
      <c r="G78" s="97">
        <f>G73+G74+G77</f>
        <v>147802</v>
      </c>
      <c r="H78" s="97">
        <f>H73+H74+H77</f>
        <v>39424</v>
      </c>
      <c r="I78" s="97">
        <f>I73+I74+I77</f>
        <v>41415</v>
      </c>
      <c r="J78" s="116">
        <f>J73+J74+J77</f>
        <v>43296</v>
      </c>
      <c r="K78" s="13"/>
    </row>
    <row r="79">
      <c r="A79" s="3"/>
      <c r="B79" s="21" t="s">
        <v>183</v>
      </c>
      <c r="C79" s="29">
        <f>C73/C78</f>
        <v>0.9453622071956403</v>
      </c>
      <c r="D79" s="29">
        <f>D73/D78</f>
        <v>0.9480169631664578</v>
      </c>
      <c r="E79" s="29">
        <f>E73/E78</f>
        <v>0.9443494523109804</v>
      </c>
      <c r="F79" s="29">
        <f>F73/F78</f>
        <v>0.9441712926249008</v>
      </c>
      <c r="G79" s="29">
        <f>G73/G78</f>
        <v>0.9454743508206925</v>
      </c>
      <c r="H79" s="29">
        <f>H73/H78</f>
        <v>0.9407721185064936</v>
      </c>
      <c r="I79" s="29">
        <f>I73/I78</f>
        <v>0.9370759386695642</v>
      </c>
      <c r="J79" s="68">
        <f>J73/J78</f>
        <v>0.9431125277161863</v>
      </c>
      <c r="K79" s="13"/>
    </row>
    <row r="80">
      <c r="A80" s="3"/>
      <c r="B80" s="21" t="s">
        <v>184</v>
      </c>
      <c r="C80" s="29">
        <f>C77/C78</f>
        <v>0.008702102770407144</v>
      </c>
      <c r="D80" s="29">
        <f>D77/D78</f>
        <v>0.010241911823540395</v>
      </c>
      <c r="E80" s="29">
        <f>E77/E78</f>
        <v>0.012369756879508415</v>
      </c>
      <c r="F80" s="29">
        <f>F77/F78</f>
        <v>0.013190589479249273</v>
      </c>
      <c r="G80" s="29">
        <f>G77/G78</f>
        <v>0.011170349521657352</v>
      </c>
      <c r="H80" s="29">
        <f>H77/H78</f>
        <v>0.016030844155844156</v>
      </c>
      <c r="I80" s="29">
        <f>I77/I78</f>
        <v>0.020717131474103586</v>
      </c>
      <c r="J80" s="68">
        <f>J77/J78</f>
        <v>0.020440687361419067</v>
      </c>
      <c r="K80" s="13"/>
    </row>
    <row r="81" ht="24.75">
      <c r="A81" s="3"/>
      <c r="B81" s="53" t="s">
        <v>185</v>
      </c>
      <c r="C81" s="93">
        <f>C37/C78*1000</f>
        <v>81.31473080544382</v>
      </c>
      <c r="D81" s="93">
        <f>D37/D78*1000</f>
        <v>80.41501080201638</v>
      </c>
      <c r="E81" s="93">
        <f>E37/E78*1000</f>
        <v>82.84798290141597</v>
      </c>
      <c r="F81" s="93">
        <f>F37/F78*1000</f>
        <v>83.50515463917526</v>
      </c>
      <c r="G81" s="93">
        <f>G37/G78*1000</f>
        <v>82.03542577231703</v>
      </c>
      <c r="H81" s="93">
        <f>H37/H78*1000</f>
        <v>78.02353896103897</v>
      </c>
      <c r="I81" s="93">
        <f>I37/I78*1000</f>
        <v>81.97512978389472</v>
      </c>
      <c r="J81" s="121">
        <f>J37/J78*1000</f>
        <v>88.66869918699187</v>
      </c>
      <c r="K81" s="42"/>
    </row>
    <row r="82">
      <c r="A82" s="3"/>
      <c r="B82" s="16" t="s">
        <v>186</v>
      </c>
      <c r="C82" s="6">
        <v>1768</v>
      </c>
      <c r="D82" s="6">
        <v>1916</v>
      </c>
      <c r="E82" s="6">
        <v>2088</v>
      </c>
      <c r="F82" s="6">
        <v>2058</v>
      </c>
      <c r="G82" s="5">
        <f>SUM(C82:F82)</f>
        <v>7830</v>
      </c>
      <c r="H82" s="5">
        <f>C62</f>
        <v>2087</v>
      </c>
      <c r="I82" s="5">
        <f>D62</f>
        <v>2319</v>
      </c>
      <c r="J82" s="31">
        <f>E62</f>
        <v>2683</v>
      </c>
      <c r="K82" s="13" t="s">
        <v>187</v>
      </c>
    </row>
    <row r="83">
      <c r="A83" s="3"/>
      <c r="B83" s="21" t="s">
        <v>188</v>
      </c>
      <c r="C83" s="29">
        <f>C82/C37</f>
        <v>0.6203508771929824</v>
      </c>
      <c r="D83" s="29">
        <f>D82/D37</f>
        <v>0.6354892205638474</v>
      </c>
      <c r="E83" s="29">
        <f>E82/E37</f>
        <v>0.6733311834891971</v>
      </c>
      <c r="F83" s="29">
        <f>F82/F37</f>
        <v>0.6514719848053181</v>
      </c>
      <c r="G83" s="29">
        <f>G82/G37</f>
        <v>0.6457731958762887</v>
      </c>
      <c r="H83" s="29">
        <f>H82/H37</f>
        <v>0.6784785435630689</v>
      </c>
      <c r="I83" s="29">
        <f>I82/I37</f>
        <v>0.6830633284241532</v>
      </c>
      <c r="J83" s="68">
        <f>J82/J37</f>
        <v>0.6988799166449596</v>
      </c>
      <c r="K83" s="13"/>
    </row>
    <row r="84">
      <c r="A84" s="3"/>
      <c r="B84" s="16" t="s">
        <v>189</v>
      </c>
      <c r="C84" s="6">
        <v>1769</v>
      </c>
      <c r="D84" s="6">
        <v>1917</v>
      </c>
      <c r="E84" s="6">
        <v>2089</v>
      </c>
      <c r="F84" s="6">
        <v>2058</v>
      </c>
      <c r="G84" s="5">
        <f>SUM(C84:F84)</f>
        <v>7833</v>
      </c>
      <c r="H84" s="5">
        <f>C68</f>
        <v>2088</v>
      </c>
      <c r="I84" s="5">
        <f>D68</f>
        <v>2320</v>
      </c>
      <c r="J84" s="31">
        <f>E68</f>
        <v>2684</v>
      </c>
      <c r="K84" s="13" t="s">
        <v>190</v>
      </c>
    </row>
    <row r="85">
      <c r="A85" s="3"/>
      <c r="B85" s="21" t="s">
        <v>191</v>
      </c>
      <c r="C85" s="29">
        <f>C84/C37</f>
        <v>0.6207017543859649</v>
      </c>
      <c r="D85" s="29">
        <f>D84/D37</f>
        <v>0.6358208955223881</v>
      </c>
      <c r="E85" s="29">
        <f>E84/E37</f>
        <v>0.673653660109642</v>
      </c>
      <c r="F85" s="29">
        <f>F84/F37</f>
        <v>0.6514719848053181</v>
      </c>
      <c r="G85" s="29">
        <f>G84/G37</f>
        <v>0.646020618556701</v>
      </c>
      <c r="H85" s="29">
        <f>H84/H37</f>
        <v>0.6788036410923277</v>
      </c>
      <c r="I85" s="29">
        <f>I84/I37</f>
        <v>0.6833578792341679</v>
      </c>
      <c r="J85" s="68">
        <f>J84/J37</f>
        <v>0.6991404011461319</v>
      </c>
      <c r="K85" s="13"/>
    </row>
    <row r="86">
      <c r="A86" s="3"/>
      <c r="B86" s="3"/>
      <c r="C86" s="3"/>
      <c r="D86" s="3"/>
      <c r="E86" s="3"/>
      <c r="F86" s="3"/>
      <c r="G86" s="3"/>
      <c r="H86" s="3"/>
      <c r="I86" s="3"/>
      <c r="J86" s="50"/>
      <c r="K86" s="13"/>
    </row>
    <row r="87">
      <c r="A87" s="3"/>
      <c r="B87" s="3"/>
      <c r="C87" s="3"/>
      <c r="D87" s="3"/>
      <c r="E87" s="3"/>
      <c r="F87" s="3"/>
      <c r="G87" s="3"/>
      <c r="H87" s="3"/>
      <c r="I87" s="3"/>
      <c r="J87" s="50"/>
      <c r="K87" s="13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192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193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16" t="s">
        <v>194</v>
      </c>
      <c r="C9" s="95">
        <v>144753</v>
      </c>
      <c r="D9" s="95">
        <v>155248</v>
      </c>
      <c r="E9" s="95">
        <v>157940</v>
      </c>
      <c r="F9" s="95">
        <v>149426</v>
      </c>
      <c r="G9" s="97">
        <f>SUM(C9:F9)</f>
        <v>607367</v>
      </c>
      <c r="H9" s="97">
        <f>C9*(1+H10)</f>
        <v>137370.59699999998</v>
      </c>
      <c r="I9" s="97">
        <f>D9*(1+I10)</f>
        <v>156955.72799999997</v>
      </c>
      <c r="J9" s="116">
        <f>E9*(1+J10)</f>
        <v>154781.2</v>
      </c>
      <c r="K9" s="13" t="s">
        <v>195</v>
      </c>
    </row>
    <row r="10" ht="24.75">
      <c r="A10" s="3"/>
      <c r="B10" s="112" t="s">
        <v>196</v>
      </c>
      <c r="C10" s="62"/>
      <c r="D10" s="62"/>
      <c r="E10" s="62"/>
      <c r="F10" s="62"/>
      <c r="G10" s="62"/>
      <c r="H10" s="66">
        <v>-0.051</v>
      </c>
      <c r="I10" s="66">
        <v>0.011</v>
      </c>
      <c r="J10" s="119">
        <v>-0.02</v>
      </c>
      <c r="K10" s="42" t="s">
        <v>197</v>
      </c>
    </row>
    <row r="11">
      <c r="A11" s="3"/>
      <c r="B11" s="8" t="s">
        <v>66</v>
      </c>
      <c r="C11" s="29">
        <f>IFERROR(C9/C47-1,"")</f>
        <v>0.01090850681956268</v>
      </c>
      <c r="D11" s="29">
        <f>IFERROR(D9/D47-1,"")</f>
        <v>-0.015036353715946138</v>
      </c>
      <c r="E11" s="29">
        <f>IFERROR(E9/E47-1,"")</f>
        <v>-0.03245567821218098</v>
      </c>
      <c r="F11" s="29">
        <f>IFERROR(F9/F47-1,"")</f>
        <v>-0.021953135227123943</v>
      </c>
      <c r="G11" s="29">
        <f>IFERROR(G9/G47-1,"")</f>
        <v>-0.015336553036750966</v>
      </c>
      <c r="H11" s="29">
        <f>IFERROR(H9/H47-1,"")</f>
        <v>-0.051000000000000156</v>
      </c>
      <c r="I11" s="29">
        <f>IFERROR(I9/I47-1,"")</f>
        <v>0.010999999999999899</v>
      </c>
      <c r="J11" s="68">
        <f>IFERROR(J9/J47-1,"")</f>
        <v>-0.019999999999999907</v>
      </c>
      <c r="K11" s="13"/>
    </row>
    <row r="12">
      <c r="A12" s="3"/>
      <c r="B12" s="67" t="s">
        <v>123</v>
      </c>
      <c r="C12" s="97"/>
      <c r="D12" s="97">
        <f>D9-C9</f>
        <v>10495</v>
      </c>
      <c r="E12" s="97">
        <f>E9-D9</f>
        <v>2692</v>
      </c>
      <c r="F12" s="97">
        <f>F9-E9</f>
        <v>-8514</v>
      </c>
      <c r="G12" s="97"/>
      <c r="H12" s="97">
        <f>H9-F9</f>
        <v>-12055.40300000002</v>
      </c>
      <c r="I12" s="97">
        <f>I9-H9</f>
        <v>19585.130999999994</v>
      </c>
      <c r="J12" s="116">
        <f>J9-I9</f>
        <v>-2174.527999999962</v>
      </c>
      <c r="K12" s="13"/>
    </row>
    <row r="13">
      <c r="A13" s="3"/>
      <c r="B13" s="3"/>
      <c r="C13" s="3"/>
      <c r="D13" s="3"/>
      <c r="E13" s="3"/>
      <c r="F13" s="3"/>
      <c r="G13" s="3"/>
      <c r="H13" s="3"/>
      <c r="I13" s="3"/>
      <c r="J13" s="50"/>
      <c r="K13" s="13"/>
    </row>
    <row r="14">
      <c r="A14" s="3"/>
      <c r="B14" s="70" t="s">
        <v>141</v>
      </c>
      <c r="C14" s="3"/>
      <c r="D14" s="3"/>
      <c r="E14" s="3"/>
      <c r="F14" s="3"/>
      <c r="G14" s="3"/>
      <c r="H14" s="3"/>
      <c r="I14" s="3"/>
      <c r="J14" s="50"/>
      <c r="K14" s="13"/>
    </row>
    <row r="15">
      <c r="A15" s="3"/>
      <c r="B15" s="16" t="s">
        <v>142</v>
      </c>
      <c r="C15" s="6">
        <v>5299</v>
      </c>
      <c r="D15" s="6">
        <v>5748</v>
      </c>
      <c r="E15" s="6">
        <v>6041</v>
      </c>
      <c r="F15" s="6">
        <v>5720</v>
      </c>
      <c r="G15" s="5">
        <f>SUM(C15:F15)</f>
        <v>22808</v>
      </c>
      <c r="H15" s="5">
        <f>C23</f>
        <v>5326</v>
      </c>
      <c r="I15" s="5">
        <f>D23</f>
        <v>5883</v>
      </c>
      <c r="J15" s="31">
        <f>E23</f>
        <v>6316</v>
      </c>
      <c r="K15" s="13" t="s">
        <v>198</v>
      </c>
    </row>
    <row r="16">
      <c r="A16" s="3"/>
      <c r="B16" s="67" t="s">
        <v>144</v>
      </c>
      <c r="C16" s="6">
        <v>449</v>
      </c>
      <c r="D16" s="6">
        <v>421</v>
      </c>
      <c r="E16" s="6">
        <v>511</v>
      </c>
      <c r="F16" s="6">
        <v>389</v>
      </c>
      <c r="G16" s="5">
        <f>SUM(C16:F16)</f>
        <v>1770</v>
      </c>
      <c r="H16" s="6">
        <v>454</v>
      </c>
      <c r="I16" s="6">
        <v>588</v>
      </c>
      <c r="J16" s="31">
        <f>J15*J31</f>
        <v>442.12000000000006</v>
      </c>
      <c r="K16" s="13" t="s">
        <v>199</v>
      </c>
    </row>
    <row r="17">
      <c r="A17" s="3"/>
      <c r="B17" s="67" t="s">
        <v>146</v>
      </c>
      <c r="C17" s="6">
        <v>-208</v>
      </c>
      <c r="D17" s="6">
        <v>-286</v>
      </c>
      <c r="E17" s="6">
        <v>-476</v>
      </c>
      <c r="F17" s="6">
        <v>-364</v>
      </c>
      <c r="G17" s="5">
        <f>SUM(C17:F17)</f>
        <v>-1334</v>
      </c>
      <c r="H17" s="6">
        <v>-542</v>
      </c>
      <c r="I17" s="6">
        <v>-212</v>
      </c>
      <c r="J17" s="31">
        <f>J15*(J11+J33)</f>
        <v>-221.0599999999994</v>
      </c>
      <c r="K17" s="13"/>
    </row>
    <row r="18">
      <c r="A18" s="3"/>
      <c r="B18" s="67" t="s">
        <v>200</v>
      </c>
      <c r="C18" s="6">
        <v>-6</v>
      </c>
      <c r="D18" s="6">
        <v>-4</v>
      </c>
      <c r="E18" s="6">
        <v>37</v>
      </c>
      <c r="F18" s="6">
        <v>-4</v>
      </c>
      <c r="G18" s="5">
        <f>SUM(C18:F18)</f>
        <v>23</v>
      </c>
      <c r="H18" s="6">
        <v>140</v>
      </c>
      <c r="I18" s="6">
        <v>0</v>
      </c>
      <c r="J18" s="20">
        <v>0</v>
      </c>
      <c r="K18" s="13" t="s">
        <v>201</v>
      </c>
    </row>
    <row r="19">
      <c r="A19" s="3"/>
      <c r="B19" s="2" t="s">
        <v>148</v>
      </c>
      <c r="C19" s="14">
        <f>C16+C17+C18</f>
        <v>235</v>
      </c>
      <c r="D19" s="14">
        <f>D16+D17+D18</f>
        <v>131</v>
      </c>
      <c r="E19" s="14">
        <f>E16+E17+E18</f>
        <v>72</v>
      </c>
      <c r="F19" s="14">
        <f>F16+F17+F18</f>
        <v>21</v>
      </c>
      <c r="G19" s="14">
        <f>G16+G17+G18</f>
        <v>459</v>
      </c>
      <c r="H19" s="14">
        <f>H16+H17+H18</f>
        <v>52</v>
      </c>
      <c r="I19" s="14">
        <f>I16+I17+I18</f>
        <v>376</v>
      </c>
      <c r="J19" s="72">
        <f>J16+J17+J18</f>
        <v>221.06000000000066</v>
      </c>
      <c r="K19" s="13"/>
    </row>
    <row r="20">
      <c r="A20" s="3"/>
      <c r="B20" s="67" t="s">
        <v>149</v>
      </c>
      <c r="C20" s="6">
        <v>0</v>
      </c>
      <c r="D20" s="6">
        <v>0</v>
      </c>
      <c r="E20" s="6">
        <v>0</v>
      </c>
      <c r="F20" s="6">
        <v>0</v>
      </c>
      <c r="G20" s="5">
        <f>SUM(C20:F20)</f>
        <v>0</v>
      </c>
      <c r="H20" s="6">
        <v>0</v>
      </c>
      <c r="I20" s="6">
        <v>0</v>
      </c>
      <c r="J20" s="20">
        <v>0</v>
      </c>
      <c r="K20" s="13"/>
    </row>
    <row r="21">
      <c r="A21" s="3"/>
      <c r="B21" s="67" t="s">
        <v>151</v>
      </c>
      <c r="C21" s="6">
        <v>-208</v>
      </c>
      <c r="D21" s="6">
        <v>5</v>
      </c>
      <c r="E21" s="6">
        <v>202</v>
      </c>
      <c r="F21" s="6">
        <v>169</v>
      </c>
      <c r="G21" s="5">
        <f>SUM(C21:F21)</f>
        <v>168</v>
      </c>
      <c r="H21" s="6">
        <v>310</v>
      </c>
      <c r="I21" s="6">
        <v>200</v>
      </c>
      <c r="J21" s="31">
        <f>J15*J26</f>
        <v>63.160000000000004</v>
      </c>
      <c r="K21" s="13" t="s">
        <v>202</v>
      </c>
    </row>
    <row r="22">
      <c r="A22" s="3"/>
      <c r="B22" s="67" t="s">
        <v>153</v>
      </c>
      <c r="C22" s="5">
        <f>C23-C15-C19-C20-C21</f>
        <v>0</v>
      </c>
      <c r="D22" s="5">
        <f>D23-D15-D19-D20-D21</f>
        <v>-1</v>
      </c>
      <c r="E22" s="5">
        <f>E23-E15-E19-E20-E21</f>
        <v>1</v>
      </c>
      <c r="F22" s="5">
        <f>F23-F15-F19-F20-F21</f>
        <v>1</v>
      </c>
      <c r="G22" s="5">
        <f>G23-G15-G19-G20-G21</f>
        <v>1</v>
      </c>
      <c r="H22" s="5">
        <f>H23-H15-H19-H20-H21</f>
        <v>0</v>
      </c>
      <c r="I22" s="5">
        <f>I23-I15-I19-I20-I21</f>
        <v>0</v>
      </c>
      <c r="J22" s="20">
        <v>0</v>
      </c>
      <c r="K22" s="13"/>
    </row>
    <row r="23" ht="24.75">
      <c r="A23" s="3"/>
      <c r="B23" s="4" t="s">
        <v>203</v>
      </c>
      <c r="C23" s="107">
        <v>5326</v>
      </c>
      <c r="D23" s="107">
        <v>5883</v>
      </c>
      <c r="E23" s="107">
        <v>6316</v>
      </c>
      <c r="F23" s="107">
        <v>5911</v>
      </c>
      <c r="G23" s="102">
        <f>SUM(C23:F23)</f>
        <v>23436</v>
      </c>
      <c r="H23" s="107">
        <v>5688</v>
      </c>
      <c r="I23" s="107">
        <v>6459</v>
      </c>
      <c r="J23" s="114">
        <f>J15+J19+J20+J21+J22</f>
        <v>6600.22</v>
      </c>
      <c r="K23" s="42" t="s">
        <v>155</v>
      </c>
    </row>
    <row r="24">
      <c r="A24" s="3"/>
      <c r="B24" s="8" t="s">
        <v>156</v>
      </c>
      <c r="C24" s="29">
        <f>C23/C15-1</f>
        <v>0.005095301000188623</v>
      </c>
      <c r="D24" s="29">
        <f>D23/D15-1</f>
        <v>0.023486430062630514</v>
      </c>
      <c r="E24" s="29">
        <f>E23/E15-1</f>
        <v>0.04552226452574071</v>
      </c>
      <c r="F24" s="29">
        <f>F23/F15-1</f>
        <v>0.033391608391608374</v>
      </c>
      <c r="G24" s="29">
        <f>G23/G15-1</f>
        <v>0.0275341985268327</v>
      </c>
      <c r="H24" s="29">
        <f>H23/H15-1</f>
        <v>0.06796845662786333</v>
      </c>
      <c r="I24" s="29">
        <f>I23/I15-1</f>
        <v>0.09790922998470175</v>
      </c>
      <c r="J24" s="68">
        <f>J23/J15-1</f>
        <v>0.04500000000000015</v>
      </c>
      <c r="K24" s="13"/>
    </row>
    <row r="25">
      <c r="A25" s="3"/>
      <c r="B25" s="67" t="s">
        <v>157</v>
      </c>
      <c r="C25" s="5"/>
      <c r="D25" s="5">
        <f>D23-C23</f>
        <v>557</v>
      </c>
      <c r="E25" s="5">
        <f>E23-D23</f>
        <v>433</v>
      </c>
      <c r="F25" s="5">
        <f>F23-E23</f>
        <v>-405</v>
      </c>
      <c r="G25" s="5"/>
      <c r="H25" s="5">
        <f>H23-F23</f>
        <v>-223</v>
      </c>
      <c r="I25" s="5">
        <f>I23-H23</f>
        <v>771</v>
      </c>
      <c r="J25" s="31">
        <f>J23-I23</f>
        <v>141.22000000000025</v>
      </c>
      <c r="K25" s="13"/>
    </row>
    <row r="26">
      <c r="A26" s="3"/>
      <c r="B26" s="8" t="s">
        <v>70</v>
      </c>
      <c r="C26" s="29">
        <f>C21/C15</f>
        <v>-0.03925268918663899</v>
      </c>
      <c r="D26" s="29">
        <f>D21/D15</f>
        <v>0.0008698677800974252</v>
      </c>
      <c r="E26" s="29">
        <f>E21/E15</f>
        <v>0.03343817248799868</v>
      </c>
      <c r="F26" s="29">
        <f>F21/F15</f>
        <v>0.029545454545454545</v>
      </c>
      <c r="G26" s="29">
        <f>G21/G15</f>
        <v>0.0073658365485794455</v>
      </c>
      <c r="H26" s="29">
        <f>H21/H15</f>
        <v>0.05820503191888847</v>
      </c>
      <c r="I26" s="29">
        <f>I21/I15</f>
        <v>0.03399626041135475</v>
      </c>
      <c r="J26" s="106">
        <v>0.01</v>
      </c>
      <c r="K26" s="13" t="s">
        <v>204</v>
      </c>
    </row>
    <row r="27">
      <c r="A27" s="3"/>
      <c r="B27" s="8" t="s">
        <v>139</v>
      </c>
      <c r="C27" s="90"/>
      <c r="D27" s="90"/>
      <c r="E27" s="90"/>
      <c r="F27" s="90"/>
      <c r="G27" s="90"/>
      <c r="H27" s="90">
        <f>(H26-C26)*10000</f>
        <v>974.5772110552746</v>
      </c>
      <c r="I27" s="90">
        <f>(I26-D26)*10000</f>
        <v>331.26392631257323</v>
      </c>
      <c r="J27" s="104">
        <f>(J26-E26)*10000</f>
        <v>-234.38172487998676</v>
      </c>
      <c r="K27" s="13"/>
    </row>
    <row r="28">
      <c r="A28" s="3"/>
      <c r="B28" s="8" t="s">
        <v>71</v>
      </c>
      <c r="C28" s="29">
        <f>C20/C15</f>
        <v>0</v>
      </c>
      <c r="D28" s="29">
        <f>D20/D15</f>
        <v>0</v>
      </c>
      <c r="E28" s="29">
        <f>E20/E15</f>
        <v>0</v>
      </c>
      <c r="F28" s="29">
        <f>F20/F15</f>
        <v>0</v>
      </c>
      <c r="G28" s="29">
        <f>G20/G15</f>
        <v>0</v>
      </c>
      <c r="H28" s="29">
        <f>H20/H15</f>
        <v>0</v>
      </c>
      <c r="I28" s="29">
        <f>I20/I15</f>
        <v>0</v>
      </c>
      <c r="J28" s="68">
        <f>J20/J15</f>
        <v>0</v>
      </c>
      <c r="K28" s="13"/>
    </row>
    <row r="29" ht="24.75">
      <c r="A29" s="3"/>
      <c r="B29" s="112" t="s">
        <v>72</v>
      </c>
      <c r="C29" s="62">
        <f>(1+C24)/((1+C28)*(1+C26))-1</f>
        <v>0.04615989000196419</v>
      </c>
      <c r="D29" s="62">
        <f>(1+D24)/((1+D28)*(1+D26))-1</f>
        <v>0.02259690596210695</v>
      </c>
      <c r="E29" s="62">
        <f>(1+E24)/((1+E28)*(1+E26))-1</f>
        <v>0.011693096267819891</v>
      </c>
      <c r="F29" s="62">
        <f>(1+F24)/((1+F28)*(1+F26))-1</f>
        <v>0.0037357785702156754</v>
      </c>
      <c r="G29" s="62">
        <f>(1+G24)/((1+G28)*(1+G26))-1</f>
        <v>0.020020891364902704</v>
      </c>
      <c r="H29" s="62">
        <f>(1+H24)/((1+H28)*(1+H26))-1</f>
        <v>0.009226401703335663</v>
      </c>
      <c r="I29" s="62">
        <f>(1+I24)/((1+I28)*(1+I26))-1</f>
        <v>0.061811606115403483</v>
      </c>
      <c r="J29" s="103">
        <f>(1+J24)/((1+J28)*(1+J26))-1</f>
        <v>0.034653465346534684</v>
      </c>
      <c r="K29" s="42"/>
    </row>
    <row r="30" ht="24.75">
      <c r="A30" s="3"/>
      <c r="B30" s="112" t="s">
        <v>79</v>
      </c>
      <c r="C30" s="62">
        <f>C19/C15</f>
        <v>0.0443479901868277</v>
      </c>
      <c r="D30" s="62">
        <f>D19/D15</f>
        <v>0.02279053583855254</v>
      </c>
      <c r="E30" s="62">
        <f>E19/E15</f>
        <v>0.011918556530375766</v>
      </c>
      <c r="F30" s="62">
        <f>F19/F15</f>
        <v>0.0036713286713286712</v>
      </c>
      <c r="G30" s="62">
        <f>G19/G15</f>
        <v>0.02012451771308313</v>
      </c>
      <c r="H30" s="62">
        <f>H19/H15</f>
        <v>0.00976342470897484</v>
      </c>
      <c r="I30" s="62">
        <f>I19/I15</f>
        <v>0.06391296957334693</v>
      </c>
      <c r="J30" s="103">
        <f>J19/J15</f>
        <v>0.0350000000000001</v>
      </c>
      <c r="K30" s="42"/>
    </row>
    <row r="31" ht="24.75">
      <c r="A31" s="3"/>
      <c r="B31" s="112" t="s">
        <v>205</v>
      </c>
      <c r="C31" s="62">
        <f>C16/C15</f>
        <v>0.08473296848461974</v>
      </c>
      <c r="D31" s="62">
        <f>D16/D15</f>
        <v>0.0732428670842032</v>
      </c>
      <c r="E31" s="62">
        <f>E16/E15</f>
        <v>0.08458864426419467</v>
      </c>
      <c r="F31" s="62">
        <f>F16/F15</f>
        <v>0.068006993006993</v>
      </c>
      <c r="G31" s="62">
        <f>G16/G15</f>
        <v>0.07760434935110487</v>
      </c>
      <c r="H31" s="62">
        <f>H16/H15</f>
        <v>0.08524220803604957</v>
      </c>
      <c r="I31" s="62">
        <f>I16/I15</f>
        <v>0.09994900560938297</v>
      </c>
      <c r="J31" s="119">
        <v>0.07</v>
      </c>
      <c r="K31" s="42" t="s">
        <v>206</v>
      </c>
    </row>
    <row r="32">
      <c r="A32" s="3"/>
      <c r="B32" s="8" t="s">
        <v>139</v>
      </c>
      <c r="C32" s="90"/>
      <c r="D32" s="90"/>
      <c r="E32" s="90"/>
      <c r="F32" s="90"/>
      <c r="G32" s="90"/>
      <c r="H32" s="90">
        <f>(H31-C31)*10000</f>
        <v>5.09239551429827</v>
      </c>
      <c r="I32" s="90">
        <f>(I31-D31)*10000</f>
        <v>267.0613852517977</v>
      </c>
      <c r="J32" s="104">
        <f>(J31-E31)*10000</f>
        <v>-145.88644264194664</v>
      </c>
      <c r="K32" s="13"/>
    </row>
    <row r="33" ht="24.75">
      <c r="A33" s="3"/>
      <c r="B33" s="112" t="s">
        <v>161</v>
      </c>
      <c r="C33" s="62">
        <f>C17/C15-C11</f>
        <v>-0.05016119600620167</v>
      </c>
      <c r="D33" s="62">
        <f>D17/D15-D11</f>
        <v>-0.034720083305626585</v>
      </c>
      <c r="E33" s="62">
        <f>E17/E15-E11</f>
        <v>-0.04633922329419213</v>
      </c>
      <c r="F33" s="62">
        <f>F17/F15-F11</f>
        <v>-0.041683228409239687</v>
      </c>
      <c r="G33" s="62">
        <f>G17/G15-G11</f>
        <v>-0.04315169670018344</v>
      </c>
      <c r="H33" s="62">
        <f>H17/H15-H11</f>
        <v>-0.05076492677431453</v>
      </c>
      <c r="I33" s="62">
        <f>I17/I15-I11</f>
        <v>-0.047036036036035934</v>
      </c>
      <c r="J33" s="119">
        <v>-0.015</v>
      </c>
      <c r="K33" s="42" t="s">
        <v>207</v>
      </c>
    </row>
    <row r="34">
      <c r="A34" s="3"/>
      <c r="B34" s="8" t="s">
        <v>139</v>
      </c>
      <c r="C34" s="90"/>
      <c r="D34" s="90"/>
      <c r="E34" s="90"/>
      <c r="F34" s="90"/>
      <c r="G34" s="90"/>
      <c r="H34" s="90">
        <f>(H33-C33)*10000</f>
        <v>-6.037307681128618</v>
      </c>
      <c r="I34" s="90">
        <f>(I33-D33)*10000</f>
        <v>-123.15952730409349</v>
      </c>
      <c r="J34" s="104">
        <f>(J33-E33)*10000</f>
        <v>313.3922329419213</v>
      </c>
      <c r="K34" s="13"/>
    </row>
    <row r="35" ht="24.75">
      <c r="A35" s="3"/>
      <c r="B35" s="53" t="s">
        <v>208</v>
      </c>
      <c r="C35" s="93">
        <f>C23/C9*1000</f>
        <v>36.79371066575477</v>
      </c>
      <c r="D35" s="93">
        <f>D23/D9*1000</f>
        <v>37.89420797691435</v>
      </c>
      <c r="E35" s="93">
        <f>E23/E9*1000</f>
        <v>39.98986957072306</v>
      </c>
      <c r="F35" s="93">
        <f>F23/F9*1000</f>
        <v>39.55804210779918</v>
      </c>
      <c r="G35" s="93">
        <f>G23/G9*1000</f>
        <v>38.58622546170602</v>
      </c>
      <c r="H35" s="93">
        <f>H23/H9*1000</f>
        <v>41.406240667353295</v>
      </c>
      <c r="I35" s="93">
        <f>I23/I9*1000</f>
        <v>41.1517316526352</v>
      </c>
      <c r="J35" s="121">
        <f>J23/J9*1000</f>
        <v>42.6422588789853</v>
      </c>
      <c r="K35" s="42"/>
    </row>
    <row r="36">
      <c r="A36" s="3"/>
      <c r="B36" s="8" t="s">
        <v>66</v>
      </c>
      <c r="C36" s="29">
        <f>IFERROR(C35/C48-1,"")</f>
        <v>-0.00575047670502149</v>
      </c>
      <c r="D36" s="29">
        <f>IFERROR(D35/D48-1,"")</f>
        <v>0.03911086863348756</v>
      </c>
      <c r="E36" s="29">
        <f>IFERROR(E35/E48-1,"")</f>
        <v>0.08059366478822882</v>
      </c>
      <c r="F36" s="29">
        <f>IFERROR(F35/F48-1,"")</f>
        <v>0.05658700580936338</v>
      </c>
      <c r="G36" s="29">
        <f>IFERROR(G35/G48-1,"")</f>
        <v>0.04353848179883113</v>
      </c>
      <c r="H36" s="29">
        <f>IFERROR(H35/H48-1,"")</f>
        <v>0.1253619142548612</v>
      </c>
      <c r="I36" s="29">
        <f>IFERROR(I35/I48-1,"")</f>
        <v>0.08596363005410668</v>
      </c>
      <c r="J36" s="68">
        <f>IFERROR(J35/J48-1,"")</f>
        <v>0.06632653061224492</v>
      </c>
      <c r="K36" s="13"/>
    </row>
    <row r="37">
      <c r="A37" s="3"/>
      <c r="B37" s="67" t="s">
        <v>209</v>
      </c>
      <c r="C37" s="100"/>
      <c r="D37" s="100">
        <f>D35-C35</f>
        <v>1.1004973111595788</v>
      </c>
      <c r="E37" s="100">
        <f>E35-D35</f>
        <v>2.095661593808707</v>
      </c>
      <c r="F37" s="100">
        <f>F35-E35</f>
        <v>-0.4318274629238772</v>
      </c>
      <c r="G37" s="100"/>
      <c r="H37" s="100">
        <f>H35-F35</f>
        <v>1.8481985595541133</v>
      </c>
      <c r="I37" s="100">
        <f>I35-H35</f>
        <v>-0.2545090147180957</v>
      </c>
      <c r="J37" s="117">
        <f>J35-I35</f>
        <v>1.4905272263501033</v>
      </c>
      <c r="K37" s="13"/>
    </row>
    <row r="38">
      <c r="A38" s="3"/>
      <c r="B38" s="3"/>
      <c r="C38" s="3"/>
      <c r="D38" s="3"/>
      <c r="E38" s="3"/>
      <c r="F38" s="3"/>
      <c r="G38" s="3"/>
      <c r="H38" s="3"/>
      <c r="I38" s="3"/>
      <c r="J38" s="50"/>
      <c r="K38" s="13"/>
    </row>
    <row r="39">
      <c r="A39" s="3"/>
      <c r="B39" s="70" t="s">
        <v>165</v>
      </c>
      <c r="C39" s="3"/>
      <c r="D39" s="3"/>
      <c r="E39" s="3"/>
      <c r="F39" s="3"/>
      <c r="G39" s="3"/>
      <c r="H39" s="3"/>
      <c r="I39" s="3"/>
      <c r="J39" s="50"/>
      <c r="K39" s="13"/>
    </row>
    <row r="40" ht="24.75">
      <c r="A40" s="3"/>
      <c r="B40" s="4" t="s">
        <v>210</v>
      </c>
      <c r="C40" s="96">
        <v>3499</v>
      </c>
      <c r="D40" s="96">
        <v>3936</v>
      </c>
      <c r="E40" s="96">
        <v>4244</v>
      </c>
      <c r="F40" s="96">
        <v>3844</v>
      </c>
      <c r="G40" s="9">
        <f>SUM(C40:F40)</f>
        <v>15523</v>
      </c>
      <c r="H40" s="96">
        <v>3842</v>
      </c>
      <c r="I40" s="96">
        <v>4388</v>
      </c>
      <c r="J40" s="71">
        <f>J23*J43</f>
        <v>4461.7487200000005</v>
      </c>
      <c r="K40" s="42" t="s">
        <v>167</v>
      </c>
    </row>
    <row r="41">
      <c r="A41" s="3"/>
      <c r="B41" s="8" t="s">
        <v>66</v>
      </c>
      <c r="C41" s="29">
        <f>IFERROR(C40/C49-1,"")</f>
        <v>0.02700322864690352</v>
      </c>
      <c r="D41" s="29">
        <f>IFERROR(D40/D49-1,"")</f>
        <v>0.05494505494505497</v>
      </c>
      <c r="E41" s="29">
        <f>IFERROR(E40/E49-1,"")</f>
        <v>0.08292931870375098</v>
      </c>
      <c r="F41" s="29">
        <f>IFERROR(F40/F49-1,"")</f>
        <v>0.05924497106640958</v>
      </c>
      <c r="G41" s="29">
        <f>IFERROR(G40/G49-1,"")</f>
        <v>0.056993054609832505</v>
      </c>
      <c r="H41" s="29">
        <f>IFERROR(H40/H49-1,"")</f>
        <v>0.0980280080022864</v>
      </c>
      <c r="I41" s="29">
        <f>IFERROR(I40/I49-1,"")</f>
        <v>0.11483739837398366</v>
      </c>
      <c r="J41" s="68">
        <f>IFERROR(J40/J49-1,"")</f>
        <v>0.05130742695570234</v>
      </c>
      <c r="K41" s="13"/>
    </row>
    <row r="42">
      <c r="A42" s="3"/>
      <c r="B42" s="67" t="s">
        <v>157</v>
      </c>
      <c r="C42" s="5"/>
      <c r="D42" s="5">
        <f>D40-C40</f>
        <v>437</v>
      </c>
      <c r="E42" s="5">
        <f>E40-D40</f>
        <v>308</v>
      </c>
      <c r="F42" s="5">
        <f>F40-E40</f>
        <v>-400</v>
      </c>
      <c r="G42" s="5"/>
      <c r="H42" s="5">
        <f>H40-F40</f>
        <v>-2</v>
      </c>
      <c r="I42" s="5">
        <f>I40-H40</f>
        <v>546</v>
      </c>
      <c r="J42" s="31">
        <f>J40-I40</f>
        <v>73.7487200000005</v>
      </c>
      <c r="K42" s="13"/>
    </row>
    <row r="43">
      <c r="A43" s="3"/>
      <c r="B43" s="21" t="s">
        <v>168</v>
      </c>
      <c r="C43" s="29">
        <f>C40/C23</f>
        <v>0.6569658280135185</v>
      </c>
      <c r="D43" s="29">
        <f>D40/D23</f>
        <v>0.6690464048954615</v>
      </c>
      <c r="E43" s="29">
        <f>E40/E23</f>
        <v>0.6719442685243825</v>
      </c>
      <c r="F43" s="29">
        <f>F40/F23</f>
        <v>0.6503129758078159</v>
      </c>
      <c r="G43" s="29">
        <f>G40/G23</f>
        <v>0.6623570575183478</v>
      </c>
      <c r="H43" s="29">
        <f>H40/H23</f>
        <v>0.6754571026722925</v>
      </c>
      <c r="I43" s="29">
        <f>I40/I23</f>
        <v>0.679362130360737</v>
      </c>
      <c r="J43" s="106">
        <v>0.676</v>
      </c>
      <c r="K43" s="13" t="s">
        <v>211</v>
      </c>
    </row>
    <row r="44">
      <c r="A44" s="3"/>
      <c r="B44" s="8" t="s">
        <v>139</v>
      </c>
      <c r="C44" s="90">
        <f>(C43-C50)*10000</f>
        <v>140.14327730446308</v>
      </c>
      <c r="D44" s="90">
        <f>(D43-D50)*10000</f>
        <v>199.5106738676289</v>
      </c>
      <c r="E44" s="90">
        <f>(E43-E50)*10000</f>
        <v>232.1061515573497</v>
      </c>
      <c r="F44" s="90">
        <f>(F43-F50)*10000</f>
        <v>158.7241636725645</v>
      </c>
      <c r="G44" s="90">
        <f>(G43-G50)*10000</f>
        <v>184.6017923002796</v>
      </c>
      <c r="H44" s="90">
        <f>(H43-H50)*10000</f>
        <v>184.91274658773983</v>
      </c>
      <c r="I44" s="90">
        <f>(I43-I50)*10000</f>
        <v>103.15725465275483</v>
      </c>
      <c r="J44" s="104">
        <f>(J43-J50)*10000</f>
        <v>40.55731475617552</v>
      </c>
      <c r="K44" s="13"/>
    </row>
    <row r="45">
      <c r="A45" s="3"/>
      <c r="B45" s="3"/>
      <c r="C45" s="3"/>
      <c r="D45" s="3"/>
      <c r="E45" s="3"/>
      <c r="F45" s="3"/>
      <c r="G45" s="3"/>
      <c r="H45" s="3"/>
      <c r="I45" s="3"/>
      <c r="J45" s="50"/>
      <c r="K45" s="13"/>
    </row>
    <row r="46">
      <c r="A46" s="3"/>
      <c r="B46" s="70" t="s">
        <v>174</v>
      </c>
      <c r="C46" s="3"/>
      <c r="D46" s="3"/>
      <c r="E46" s="3"/>
      <c r="F46" s="3"/>
      <c r="G46" s="3"/>
      <c r="H46" s="3"/>
      <c r="I46" s="3"/>
      <c r="J46" s="50"/>
      <c r="K46" s="13"/>
    </row>
    <row r="47">
      <c r="A47" s="3"/>
      <c r="B47" s="16" t="s">
        <v>212</v>
      </c>
      <c r="C47" s="95">
        <v>143191</v>
      </c>
      <c r="D47" s="95">
        <v>157618</v>
      </c>
      <c r="E47" s="95">
        <v>163238</v>
      </c>
      <c r="F47" s="95">
        <v>152780</v>
      </c>
      <c r="G47" s="97">
        <f>SUM(C47:F47)</f>
        <v>616827</v>
      </c>
      <c r="H47" s="97">
        <f>C9</f>
        <v>144753</v>
      </c>
      <c r="I47" s="97">
        <f>D9</f>
        <v>155248</v>
      </c>
      <c r="J47" s="116">
        <f>E9</f>
        <v>157940</v>
      </c>
      <c r="K47" s="13" t="s">
        <v>176</v>
      </c>
    </row>
    <row r="48" ht="24.75">
      <c r="A48" s="3"/>
      <c r="B48" s="53" t="s">
        <v>213</v>
      </c>
      <c r="C48" s="93">
        <f>C15/C47*1000</f>
        <v>37.00651577263935</v>
      </c>
      <c r="D48" s="93">
        <f>D15/D47*1000</f>
        <v>36.467916100952934</v>
      </c>
      <c r="E48" s="93">
        <f>E15/E47*1000</f>
        <v>37.007314473345666</v>
      </c>
      <c r="F48" s="93">
        <f>F15/F47*1000</f>
        <v>37.439455426102896</v>
      </c>
      <c r="G48" s="93">
        <f>G15/G47*1000</f>
        <v>36.97633209960005</v>
      </c>
      <c r="H48" s="93">
        <f>H15/H47*1000</f>
        <v>36.79371066575477</v>
      </c>
      <c r="I48" s="93">
        <f>I15/I47*1000</f>
        <v>37.89420797691435</v>
      </c>
      <c r="J48" s="121">
        <f>J15/J47*1000</f>
        <v>39.98986957072306</v>
      </c>
      <c r="K48" s="42"/>
    </row>
    <row r="49">
      <c r="A49" s="3"/>
      <c r="B49" s="16" t="s">
        <v>186</v>
      </c>
      <c r="C49" s="6">
        <v>3407</v>
      </c>
      <c r="D49" s="6">
        <v>3731</v>
      </c>
      <c r="E49" s="6">
        <v>3919</v>
      </c>
      <c r="F49" s="6">
        <v>3629</v>
      </c>
      <c r="G49" s="5">
        <f>SUM(C49:F49)</f>
        <v>14686</v>
      </c>
      <c r="H49" s="5">
        <f>C40</f>
        <v>3499</v>
      </c>
      <c r="I49" s="5">
        <f>D40</f>
        <v>3936</v>
      </c>
      <c r="J49" s="31">
        <f>E40</f>
        <v>4244</v>
      </c>
      <c r="K49" s="13" t="s">
        <v>187</v>
      </c>
    </row>
    <row r="50">
      <c r="A50" s="3"/>
      <c r="B50" s="21" t="s">
        <v>188</v>
      </c>
      <c r="C50" s="29">
        <f>C49/C15</f>
        <v>0.6429515002830722</v>
      </c>
      <c r="D50" s="29">
        <f>D49/D15</f>
        <v>0.6490953375086986</v>
      </c>
      <c r="E50" s="29">
        <f>E49/E15</f>
        <v>0.6487336533686475</v>
      </c>
      <c r="F50" s="29">
        <f>F49/F15</f>
        <v>0.6344405594405594</v>
      </c>
      <c r="G50" s="29">
        <f>G49/G15</f>
        <v>0.6438968782883199</v>
      </c>
      <c r="H50" s="29">
        <f>H49/H15</f>
        <v>0.6569658280135185</v>
      </c>
      <c r="I50" s="29">
        <f>I49/I15</f>
        <v>0.6690464048954615</v>
      </c>
      <c r="J50" s="68">
        <f>J49/J15</f>
        <v>0.6719442685243825</v>
      </c>
      <c r="K50" s="13"/>
    </row>
    <row r="51">
      <c r="A51" s="3"/>
      <c r="B51" s="3"/>
      <c r="C51" s="3"/>
      <c r="D51" s="3"/>
      <c r="E51" s="3"/>
      <c r="F51" s="3"/>
      <c r="G51" s="3"/>
      <c r="H51" s="3"/>
      <c r="I51" s="3"/>
      <c r="J51" s="50"/>
      <c r="K51" s="13"/>
    </row>
    <row r="52">
      <c r="A52" s="3"/>
      <c r="B52" s="172" t="s">
        <v>214</v>
      </c>
      <c r="C52" s="168"/>
      <c r="D52" s="168"/>
      <c r="E52" s="168"/>
      <c r="F52" s="168"/>
      <c r="G52" s="168"/>
      <c r="H52" s="168"/>
      <c r="I52" s="168"/>
      <c r="J52" s="169">
        <f>(AVERAGE(C33:F33,H33:I33)-J33)*J15*'Income Statement'!J86*(1-'Income Statement'!J123)/'Income Statement'!J52</f>
        <v>-0.04440797713215216</v>
      </c>
      <c r="K52" s="170" t="s">
        <v>215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216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193</v>
      </c>
      <c r="C8" s="3"/>
      <c r="D8" s="3"/>
      <c r="E8" s="3"/>
      <c r="F8" s="3"/>
      <c r="G8" s="3"/>
      <c r="H8" s="3"/>
      <c r="I8" s="3"/>
      <c r="J8" s="50"/>
      <c r="K8" s="13"/>
    </row>
    <row r="9" ht="24.75">
      <c r="A9" s="3"/>
      <c r="B9" s="53" t="s">
        <v>217</v>
      </c>
      <c r="C9" s="82">
        <v>3032</v>
      </c>
      <c r="D9" s="82">
        <v>2854</v>
      </c>
      <c r="E9" s="82">
        <v>3073</v>
      </c>
      <c r="F9" s="82">
        <v>2947</v>
      </c>
      <c r="G9" s="39">
        <f>SUM(C9:F9)</f>
        <v>11906</v>
      </c>
      <c r="H9" s="39">
        <f>C9*(1+H10)</f>
        <v>2319.48</v>
      </c>
      <c r="I9" s="39">
        <f>D9*(1+I10)</f>
        <v>2905.372</v>
      </c>
      <c r="J9" s="147">
        <f>E9*(1+J10)</f>
        <v>2950.08</v>
      </c>
      <c r="K9" s="42" t="s">
        <v>218</v>
      </c>
    </row>
    <row r="10" ht="24.75">
      <c r="A10" s="3"/>
      <c r="B10" s="112" t="s">
        <v>219</v>
      </c>
      <c r="C10" s="62"/>
      <c r="D10" s="62"/>
      <c r="E10" s="62"/>
      <c r="F10" s="62"/>
      <c r="G10" s="62"/>
      <c r="H10" s="66">
        <v>-0.235</v>
      </c>
      <c r="I10" s="66">
        <v>0.018</v>
      </c>
      <c r="J10" s="119">
        <v>-0.04</v>
      </c>
      <c r="K10" s="42" t="s">
        <v>220</v>
      </c>
    </row>
    <row r="11">
      <c r="A11" s="3"/>
      <c r="B11" s="8" t="s">
        <v>66</v>
      </c>
      <c r="C11" s="29">
        <f>IFERROR(C9/C86-1,"")</f>
        <v>0.5367460719716168</v>
      </c>
      <c r="D11" s="29">
        <f>IFERROR(D9/D86-1,"")</f>
        <v>0.4086870681145114</v>
      </c>
      <c r="E11" s="29">
        <f>IFERROR(E9/E86-1,"")</f>
        <v>0.37371479660259266</v>
      </c>
      <c r="F11" s="29">
        <f>IFERROR(F9/F86-1,"")</f>
        <v>0.19263456090651565</v>
      </c>
      <c r="G11" s="29">
        <f>IFERROR(G9/G86-1,"")</f>
        <v>0.3674055357758126</v>
      </c>
      <c r="H11" s="29">
        <f>IFERROR(H9/H86-1,"")</f>
        <v>-0.235</v>
      </c>
      <c r="I11" s="29">
        <f>IFERROR(I9/I86-1,"")</f>
        <v>0.018000000000000016</v>
      </c>
      <c r="J11" s="68">
        <f>IFERROR(J9/J86-1,"")</f>
        <v>-0.040000000000000036</v>
      </c>
      <c r="K11" s="13"/>
    </row>
    <row r="12">
      <c r="A12" s="3"/>
      <c r="B12" s="67" t="s">
        <v>221</v>
      </c>
      <c r="C12" s="97"/>
      <c r="D12" s="97">
        <f>D9-C9</f>
        <v>-178</v>
      </c>
      <c r="E12" s="97">
        <f>E9-D9</f>
        <v>219</v>
      </c>
      <c r="F12" s="97">
        <f>F9-E9</f>
        <v>-126</v>
      </c>
      <c r="G12" s="97"/>
      <c r="H12" s="97">
        <f>H9-F9</f>
        <v>-627.52</v>
      </c>
      <c r="I12" s="97">
        <f>I9-H9</f>
        <v>585.8919999999998</v>
      </c>
      <c r="J12" s="116">
        <f>J9-I9</f>
        <v>44.708000000000084</v>
      </c>
      <c r="K12" s="13"/>
    </row>
    <row r="13">
      <c r="A13" s="3"/>
      <c r="B13" s="67" t="s">
        <v>222</v>
      </c>
      <c r="C13" s="95">
        <v>15</v>
      </c>
      <c r="D13" s="97">
        <f>C13</f>
        <v>15</v>
      </c>
      <c r="E13" s="97">
        <f>D13</f>
        <v>15</v>
      </c>
      <c r="F13" s="97">
        <f>E13</f>
        <v>15</v>
      </c>
      <c r="G13" s="97">
        <f>F13</f>
        <v>15</v>
      </c>
      <c r="H13" s="97">
        <f>F13</f>
        <v>15</v>
      </c>
      <c r="I13" s="97">
        <f>H13</f>
        <v>15</v>
      </c>
      <c r="J13" s="116">
        <f>I13</f>
        <v>15</v>
      </c>
      <c r="K13" s="13" t="s">
        <v>223</v>
      </c>
    </row>
    <row r="14" ht="24.75">
      <c r="A14" s="3"/>
      <c r="B14" s="52" t="s">
        <v>224</v>
      </c>
      <c r="C14" s="17">
        <f>C9/C13</f>
        <v>202.13333333333333</v>
      </c>
      <c r="D14" s="17">
        <f>D9/D13</f>
        <v>190.26666666666668</v>
      </c>
      <c r="E14" s="17">
        <f>E9/E13</f>
        <v>204.86666666666667</v>
      </c>
      <c r="F14" s="17">
        <f>F9/F13</f>
        <v>196.46666666666667</v>
      </c>
      <c r="G14" s="17">
        <f>G9/G13</f>
        <v>793.7333333333333</v>
      </c>
      <c r="H14" s="17">
        <f>H9/H13</f>
        <v>154.632</v>
      </c>
      <c r="I14" s="17">
        <f>I9/I13</f>
        <v>193.69146666666666</v>
      </c>
      <c r="J14" s="1">
        <f>J9/J13</f>
        <v>196.672</v>
      </c>
      <c r="K14" s="42"/>
    </row>
    <row r="15" ht="24.75">
      <c r="A15" s="3"/>
      <c r="B15" s="53" t="s">
        <v>225</v>
      </c>
      <c r="C15" s="82">
        <v>581</v>
      </c>
      <c r="D15" s="82">
        <v>576</v>
      </c>
      <c r="E15" s="82">
        <v>549</v>
      </c>
      <c r="F15" s="82">
        <v>535</v>
      </c>
      <c r="G15" s="39">
        <f>SUM(C15:F15)</f>
        <v>2241</v>
      </c>
      <c r="H15" s="39">
        <f>H19-H9</f>
        <v>523.951</v>
      </c>
      <c r="I15" s="39">
        <f>I19-I9</f>
        <v>586.3680000000004</v>
      </c>
      <c r="J15" s="147">
        <f>E15*(1+J16)</f>
        <v>521.55</v>
      </c>
      <c r="K15" s="42" t="s">
        <v>226</v>
      </c>
    </row>
    <row r="16">
      <c r="A16" s="3"/>
      <c r="B16" s="8" t="s">
        <v>227</v>
      </c>
      <c r="C16" s="29"/>
      <c r="D16" s="29"/>
      <c r="E16" s="29"/>
      <c r="F16" s="29"/>
      <c r="G16" s="29"/>
      <c r="H16" s="29"/>
      <c r="I16" s="29"/>
      <c r="J16" s="106">
        <v>-0.05</v>
      </c>
      <c r="K16" s="13" t="s">
        <v>228</v>
      </c>
    </row>
    <row r="17">
      <c r="A17" s="3"/>
      <c r="B17" s="8" t="s">
        <v>66</v>
      </c>
      <c r="C17" s="29">
        <f>IFERROR(C15/C87-1,"")</f>
        <v>-0.025167785234899376</v>
      </c>
      <c r="D17" s="29">
        <f>IFERROR(D15/D87-1,"")</f>
        <v>-0.027027027027026973</v>
      </c>
      <c r="E17" s="29">
        <f>IFERROR(E15/E87-1,"")</f>
        <v>-0.07106598984771573</v>
      </c>
      <c r="F17" s="29">
        <f>IFERROR(F15/F87-1,"")</f>
        <v>-0.032549728752260365</v>
      </c>
      <c r="G17" s="29">
        <f>IFERROR(G15/G87-1,"")</f>
        <v>-0.03902229845626071</v>
      </c>
      <c r="H17" s="29">
        <f>IFERROR(H15/H87-1,"")</f>
        <v>-0.09819104991394145</v>
      </c>
      <c r="I17" s="29">
        <f>IFERROR(I15/I87-1,"")</f>
        <v>0.018000000000000682</v>
      </c>
      <c r="J17" s="68">
        <f>IFERROR(J15/J87-1,"")</f>
        <v>-0.050000000000000044</v>
      </c>
      <c r="K17" s="13"/>
    </row>
    <row r="18">
      <c r="A18" s="3"/>
      <c r="B18" s="67" t="s">
        <v>123</v>
      </c>
      <c r="C18" s="97"/>
      <c r="D18" s="97">
        <f>D15-C15</f>
        <v>-5</v>
      </c>
      <c r="E18" s="97">
        <f>E15-D15</f>
        <v>-27</v>
      </c>
      <c r="F18" s="97">
        <f>F15-E15</f>
        <v>-14</v>
      </c>
      <c r="G18" s="97"/>
      <c r="H18" s="97">
        <f>H15-F15</f>
        <v>-11.048999999999978</v>
      </c>
      <c r="I18" s="97">
        <f>I15-H15</f>
        <v>62.41700000000037</v>
      </c>
      <c r="J18" s="116">
        <f>J15-I15</f>
        <v>-64.81800000000044</v>
      </c>
      <c r="K18" s="13"/>
    </row>
    <row r="19">
      <c r="A19" s="3"/>
      <c r="B19" s="2" t="s">
        <v>229</v>
      </c>
      <c r="C19" s="130">
        <f>C9+C15</f>
        <v>3613</v>
      </c>
      <c r="D19" s="130">
        <f>D9+D15</f>
        <v>3430</v>
      </c>
      <c r="E19" s="130">
        <f>E9+E15</f>
        <v>3622</v>
      </c>
      <c r="F19" s="130">
        <f>F9+F15</f>
        <v>3482</v>
      </c>
      <c r="G19" s="130">
        <f>SUM(C19:F19)</f>
        <v>14147</v>
      </c>
      <c r="H19" s="130">
        <f>C19*(1+H20)</f>
        <v>2843.431</v>
      </c>
      <c r="I19" s="130">
        <f>D19*(1+I20)</f>
        <v>3491.7400000000002</v>
      </c>
      <c r="J19" s="154">
        <f>J9+J15</f>
        <v>3471.63</v>
      </c>
      <c r="K19" s="13" t="s">
        <v>230</v>
      </c>
    </row>
    <row r="20">
      <c r="A20" s="3"/>
      <c r="B20" s="8" t="s">
        <v>231</v>
      </c>
      <c r="C20" s="29"/>
      <c r="D20" s="29"/>
      <c r="E20" s="29"/>
      <c r="F20" s="29"/>
      <c r="G20" s="29"/>
      <c r="H20" s="60">
        <v>-0.213</v>
      </c>
      <c r="I20" s="60">
        <v>0.018</v>
      </c>
      <c r="J20" s="68"/>
      <c r="K20" s="13" t="s">
        <v>232</v>
      </c>
    </row>
    <row r="21">
      <c r="A21" s="3"/>
      <c r="B21" s="8" t="s">
        <v>66</v>
      </c>
      <c r="C21" s="29">
        <f>IFERROR(C19/C88-1,"")</f>
        <v>0.40638380692876597</v>
      </c>
      <c r="D21" s="29">
        <f>IFERROR(D19/D88-1,"")</f>
        <v>0.31016042780748654</v>
      </c>
      <c r="E21" s="29">
        <f>IFERROR(E19/E88-1,"")</f>
        <v>0.28076379066478085</v>
      </c>
      <c r="F21" s="29">
        <f>IFERROR(F19/F88-1,"")</f>
        <v>0.1514550264550265</v>
      </c>
      <c r="G21" s="29">
        <f>IFERROR(G19/G88-1,"")</f>
        <v>0.28154724159797073</v>
      </c>
      <c r="H21" s="29">
        <f>IFERROR(H19/H88-1,"")</f>
        <v>-0.21299999999999997</v>
      </c>
      <c r="I21" s="29">
        <f>IFERROR(I19/I88-1,"")</f>
        <v>0.018000000000000016</v>
      </c>
      <c r="J21" s="68">
        <f>IFERROR(J19/J88-1,"")</f>
        <v>-0.041515737161789024</v>
      </c>
      <c r="K21" s="13"/>
    </row>
    <row r="22">
      <c r="A22" s="3"/>
      <c r="B22" s="67" t="s">
        <v>123</v>
      </c>
      <c r="C22" s="97"/>
      <c r="D22" s="97">
        <f>D19-C19</f>
        <v>-183</v>
      </c>
      <c r="E22" s="97">
        <f>E19-D19</f>
        <v>192</v>
      </c>
      <c r="F22" s="97">
        <f>F19-E19</f>
        <v>-140</v>
      </c>
      <c r="G22" s="97"/>
      <c r="H22" s="97">
        <f>H19-F19</f>
        <v>-638.569</v>
      </c>
      <c r="I22" s="97">
        <f>I19-H19</f>
        <v>648.3090000000002</v>
      </c>
      <c r="J22" s="116">
        <f>J19-I19</f>
        <v>-20.110000000000127</v>
      </c>
      <c r="K22" s="13"/>
    </row>
    <row r="23">
      <c r="A23" s="3"/>
      <c r="B23" s="21" t="s">
        <v>233</v>
      </c>
      <c r="C23" s="29">
        <f>C9/C19</f>
        <v>0.8391918073623028</v>
      </c>
      <c r="D23" s="29">
        <f>D9/D19</f>
        <v>0.8320699708454811</v>
      </c>
      <c r="E23" s="29">
        <f>E9/E19</f>
        <v>0.8484262838210933</v>
      </c>
      <c r="F23" s="29">
        <f>F9/F19</f>
        <v>0.8463526708788053</v>
      </c>
      <c r="G23" s="29">
        <f>G9/G19</f>
        <v>0.8415918569307981</v>
      </c>
      <c r="H23" s="29">
        <f>H9/H19</f>
        <v>0.8157328241831787</v>
      </c>
      <c r="I23" s="29">
        <f>I9/I19</f>
        <v>0.832069970845481</v>
      </c>
      <c r="J23" s="68">
        <f>J9/J19</f>
        <v>0.8497679764260592</v>
      </c>
      <c r="K23" s="13"/>
    </row>
    <row r="24">
      <c r="A24" s="3"/>
      <c r="B24" s="8" t="s">
        <v>139</v>
      </c>
      <c r="C24" s="90">
        <f>(C23-C89)*10000</f>
        <v>711.8869331014243</v>
      </c>
      <c r="D24" s="90">
        <f>(D23-D89)*10000</f>
        <v>581.9678520758953</v>
      </c>
      <c r="E24" s="90">
        <f>(E23-E89)*10000</f>
        <v>574.0789626805232</v>
      </c>
      <c r="F24" s="90">
        <f>(F23-F89)*10000</f>
        <v>292.2304124917563</v>
      </c>
      <c r="G24" s="90">
        <f>(G23-G89)*10000</f>
        <v>528.4287604484828</v>
      </c>
      <c r="H24" s="90">
        <f>(H23-H89)*10000</f>
        <v>-234.58983179124093</v>
      </c>
      <c r="I24" s="90">
        <f>(I23-I89)*10000</f>
        <v>0</v>
      </c>
      <c r="J24" s="104">
        <f>(J23-J89)*10000</f>
        <v>13.416926049658606</v>
      </c>
      <c r="K24" s="13" t="s">
        <v>234</v>
      </c>
    </row>
    <row r="25">
      <c r="A25" s="3"/>
      <c r="B25" s="3"/>
      <c r="C25" s="3"/>
      <c r="D25" s="3"/>
      <c r="E25" s="3"/>
      <c r="F25" s="3"/>
      <c r="G25" s="3"/>
      <c r="H25" s="3"/>
      <c r="I25" s="3"/>
      <c r="J25" s="50"/>
      <c r="K25" s="13"/>
    </row>
    <row r="26">
      <c r="A26" s="3"/>
      <c r="B26" s="70" t="s">
        <v>235</v>
      </c>
      <c r="C26" s="3"/>
      <c r="D26" s="3"/>
      <c r="E26" s="3"/>
      <c r="F26" s="3"/>
      <c r="G26" s="3"/>
      <c r="H26" s="3"/>
      <c r="I26" s="3"/>
      <c r="J26" s="50"/>
      <c r="K26" s="13"/>
    </row>
    <row r="27" ht="24.75">
      <c r="A27" s="3"/>
      <c r="B27" s="52" t="s">
        <v>236</v>
      </c>
      <c r="C27" s="17">
        <f>C40-C36</f>
        <v>767</v>
      </c>
      <c r="D27" s="17">
        <f>D40-D36</f>
        <v>709</v>
      </c>
      <c r="E27" s="17">
        <f>E40-E36</f>
        <v>548</v>
      </c>
      <c r="F27" s="17">
        <f>F40-F36</f>
        <v>596</v>
      </c>
      <c r="G27" s="17">
        <f>G40-G36</f>
        <v>2620</v>
      </c>
      <c r="H27" s="17">
        <f>H40-H36</f>
        <v>481</v>
      </c>
      <c r="I27" s="17">
        <f>I40-I36</f>
        <v>712</v>
      </c>
      <c r="J27" s="1">
        <f>J19*J33/1000</f>
        <v>619.7942637217006</v>
      </c>
      <c r="K27" s="42"/>
    </row>
    <row r="28">
      <c r="A28" s="3"/>
      <c r="B28" s="8" t="s">
        <v>66</v>
      </c>
      <c r="C28" s="29">
        <f>IFERROR(C27/C92-1,"")</f>
        <v>0.7235955056179775</v>
      </c>
      <c r="D28" s="29">
        <f>IFERROR(D27/D92-1,"")</f>
        <v>0.37669902912621356</v>
      </c>
      <c r="E28" s="29">
        <f>IFERROR(E27/E92-1,"")</f>
        <v>-0.08514190317195325</v>
      </c>
      <c r="F28" s="29">
        <f>IFERROR(F27/F92-1,"")</f>
        <v>-0.07020280811232449</v>
      </c>
      <c r="G28" s="29">
        <f>IFERROR(G27/G92-1,"")</f>
        <v>0.19090909090909092</v>
      </c>
      <c r="H28" s="29">
        <f>IFERROR(H27/H92-1,"")</f>
        <v>-0.3728813559322034</v>
      </c>
      <c r="I28" s="29">
        <f>IFERROR(I27/I92-1,"")</f>
        <v>0.004231311706629048</v>
      </c>
      <c r="J28" s="68">
        <f>IFERROR(J27/J92-1,"")</f>
        <v>0.13101143014908878</v>
      </c>
      <c r="K28" s="13"/>
    </row>
    <row r="29">
      <c r="A29" s="3"/>
      <c r="B29" s="67" t="s">
        <v>157</v>
      </c>
      <c r="C29" s="5"/>
      <c r="D29" s="5">
        <f>D27-C27</f>
        <v>-58</v>
      </c>
      <c r="E29" s="5">
        <f>E27-D27</f>
        <v>-161</v>
      </c>
      <c r="F29" s="5">
        <f>F27-E27</f>
        <v>48</v>
      </c>
      <c r="G29" s="5"/>
      <c r="H29" s="5">
        <f>H27-F27</f>
        <v>-115</v>
      </c>
      <c r="I29" s="5">
        <f>I27-H27</f>
        <v>231</v>
      </c>
      <c r="J29" s="31">
        <f>J27-I27</f>
        <v>-92.20573627829936</v>
      </c>
      <c r="K29" s="13"/>
    </row>
    <row r="30">
      <c r="A30" s="3"/>
      <c r="B30" s="131" t="s">
        <v>237</v>
      </c>
      <c r="C30" s="6">
        <v>0</v>
      </c>
      <c r="D30" s="6">
        <v>0</v>
      </c>
      <c r="E30" s="6">
        <v>0</v>
      </c>
      <c r="F30" s="6">
        <v>0</v>
      </c>
      <c r="G30" s="5">
        <f>SUM(C30:F30)</f>
        <v>0</v>
      </c>
      <c r="H30" s="6">
        <v>0</v>
      </c>
      <c r="I30" s="6">
        <v>0</v>
      </c>
      <c r="J30" s="20">
        <v>0</v>
      </c>
      <c r="K30" s="13" t="s">
        <v>238</v>
      </c>
    </row>
    <row r="31">
      <c r="A31" s="3"/>
      <c r="B31" s="131" t="s">
        <v>239</v>
      </c>
      <c r="C31" s="6">
        <v>0</v>
      </c>
      <c r="D31" s="6">
        <v>0</v>
      </c>
      <c r="E31" s="6">
        <v>0</v>
      </c>
      <c r="F31" s="6">
        <v>0</v>
      </c>
      <c r="G31" s="5">
        <f>SUM(C31:F31)</f>
        <v>0</v>
      </c>
      <c r="H31" s="6">
        <v>0</v>
      </c>
      <c r="I31" s="6">
        <v>0</v>
      </c>
      <c r="J31" s="20">
        <v>0</v>
      </c>
      <c r="K31" s="13"/>
    </row>
    <row r="32" ht="24.75">
      <c r="A32" s="3"/>
      <c r="B32" s="139" t="s">
        <v>72</v>
      </c>
      <c r="C32" s="62">
        <f>(1+C28)/((1+C31/C92)*(1+C30/C92))-1</f>
        <v>0.7235955056179775</v>
      </c>
      <c r="D32" s="62">
        <f>(1+D28)/((1+D31/D92)*(1+D30/D92))-1</f>
        <v>0.37669902912621356</v>
      </c>
      <c r="E32" s="62">
        <f>(1+E28)/((1+E31/E92)*(1+E30/E92))-1</f>
        <v>-0.08514190317195325</v>
      </c>
      <c r="F32" s="62">
        <f>(1+F28)/((1+F31/F92)*(1+F30/F92))-1</f>
        <v>-0.07020280811232449</v>
      </c>
      <c r="G32" s="62">
        <f>(1+G28)/((1+G31/G92)*(1+G30/G92))-1</f>
        <v>0.19090909090909092</v>
      </c>
      <c r="H32" s="62">
        <f>(1+H28)/((1+H31/H92)*(1+H30/H92))-1</f>
        <v>-0.3728813559322034</v>
      </c>
      <c r="I32" s="62">
        <f>(1+I28)/((1+I31/I92)*(1+I30/I92))-1</f>
        <v>0.004231311706629048</v>
      </c>
      <c r="J32" s="103">
        <f>(1+J28)/((1+J31/J92)*(1+J30/J92))-1</f>
        <v>0.13101143014908878</v>
      </c>
      <c r="K32" s="42"/>
    </row>
    <row r="33" ht="24.75">
      <c r="A33" s="3"/>
      <c r="B33" s="152" t="s">
        <v>240</v>
      </c>
      <c r="C33" s="93">
        <f>C27/C19*1000</f>
        <v>212.28895654580683</v>
      </c>
      <c r="D33" s="93">
        <f>D27/D19*1000</f>
        <v>206.7055393586006</v>
      </c>
      <c r="E33" s="93">
        <f>E27/E19*1000</f>
        <v>151.29762562120374</v>
      </c>
      <c r="F33" s="93">
        <f>F27/F19*1000</f>
        <v>171.16599655370476</v>
      </c>
      <c r="G33" s="93">
        <f>G27/G19*1000</f>
        <v>185.19827525270375</v>
      </c>
      <c r="H33" s="93">
        <f>H27/H19*1000</f>
        <v>169.16183301089424</v>
      </c>
      <c r="I33" s="93">
        <f>I27/I19*1000</f>
        <v>203.90979855315686</v>
      </c>
      <c r="J33" s="121">
        <f>E33*(1+J34)</f>
        <v>178.5311982330204</v>
      </c>
      <c r="K33" s="42"/>
    </row>
    <row r="34">
      <c r="A34" s="3"/>
      <c r="B34" s="148" t="s">
        <v>241</v>
      </c>
      <c r="C34" s="29">
        <f>C33/C93-1</f>
        <v>0.22555130194646678</v>
      </c>
      <c r="D34" s="29">
        <f>D33/D93-1</f>
        <v>0.050786605904497684</v>
      </c>
      <c r="E34" s="29">
        <f>E33/E93-1</f>
        <v>-0.2856933468167543</v>
      </c>
      <c r="F34" s="29">
        <f>F33/F93-1</f>
        <v>-0.1925023813129435</v>
      </c>
      <c r="G34" s="29">
        <f>G33/G93-1</f>
        <v>-0.07072556340245606</v>
      </c>
      <c r="H34" s="29">
        <f>H33/H93-1</f>
        <v>-0.20315293002821266</v>
      </c>
      <c r="I34" s="29">
        <f>I33/I93-1</f>
        <v>-0.013525234079932336</v>
      </c>
      <c r="J34" s="106">
        <v>0.18</v>
      </c>
      <c r="K34" s="13" t="s">
        <v>242</v>
      </c>
    </row>
    <row r="35">
      <c r="A35" s="3"/>
      <c r="B35" s="67" t="s">
        <v>164</v>
      </c>
      <c r="C35" s="100"/>
      <c r="D35" s="100">
        <f>D33-C33</f>
        <v>-5.583417187206237</v>
      </c>
      <c r="E35" s="100">
        <f>E33-D33</f>
        <v>-55.40791373739685</v>
      </c>
      <c r="F35" s="100">
        <f>F33-E33</f>
        <v>19.868370932501023</v>
      </c>
      <c r="G35" s="100"/>
      <c r="H35" s="100">
        <f>H33-F33</f>
        <v>-2.0041635428105167</v>
      </c>
      <c r="I35" s="100">
        <f>I33-H33</f>
        <v>34.74796554226262</v>
      </c>
      <c r="J35" s="117">
        <f>J33-I33</f>
        <v>-25.378600320136457</v>
      </c>
      <c r="K35" s="13"/>
    </row>
    <row r="36">
      <c r="A36" s="3"/>
      <c r="B36" s="67" t="s">
        <v>243</v>
      </c>
      <c r="C36" s="6">
        <v>51</v>
      </c>
      <c r="D36" s="6">
        <v>57</v>
      </c>
      <c r="E36" s="6">
        <v>57</v>
      </c>
      <c r="F36" s="6">
        <v>72</v>
      </c>
      <c r="G36" s="5">
        <f>SUM(C36:F36)</f>
        <v>237</v>
      </c>
      <c r="H36" s="6">
        <v>62</v>
      </c>
      <c r="I36" s="6">
        <v>56</v>
      </c>
      <c r="J36" s="31">
        <f>E36*(1+J37)</f>
        <v>57</v>
      </c>
      <c r="K36" s="13" t="s">
        <v>244</v>
      </c>
    </row>
    <row r="37">
      <c r="A37" s="3"/>
      <c r="B37" s="148" t="s">
        <v>245</v>
      </c>
      <c r="C37" s="29"/>
      <c r="D37" s="29"/>
      <c r="E37" s="29"/>
      <c r="F37" s="29"/>
      <c r="G37" s="29"/>
      <c r="H37" s="29"/>
      <c r="I37" s="29"/>
      <c r="J37" s="106">
        <v>0</v>
      </c>
      <c r="K37" s="13" t="s">
        <v>246</v>
      </c>
    </row>
    <row r="38">
      <c r="A38" s="3"/>
      <c r="B38" s="8" t="s">
        <v>66</v>
      </c>
      <c r="C38" s="29">
        <f>IFERROR(C36/C91-1,"")</f>
        <v>-0.43333333333333335</v>
      </c>
      <c r="D38" s="29">
        <f>IFERROR(D36/D91-1,"")</f>
        <v>-0.2875</v>
      </c>
      <c r="E38" s="29">
        <f>IFERROR(E36/E91-1,"")</f>
        <v>-0.25</v>
      </c>
      <c r="F38" s="29">
        <f>IFERROR(F36/F91-1,"")</f>
        <v>-0.1724137931034483</v>
      </c>
      <c r="G38" s="29">
        <f>IFERROR(G36/G91-1,"")</f>
        <v>-0.28828828828828834</v>
      </c>
      <c r="H38" s="29">
        <f>IFERROR(H36/H91-1,"")</f>
        <v>0.21568627450980382</v>
      </c>
      <c r="I38" s="29">
        <f>IFERROR(I36/I91-1,"")</f>
        <v>-0.01754385964912286</v>
      </c>
      <c r="J38" s="68">
        <f>IFERROR(J36/J91-1,"")</f>
        <v>0</v>
      </c>
      <c r="K38" s="13"/>
    </row>
    <row r="39">
      <c r="A39" s="3"/>
      <c r="B39" s="67" t="s">
        <v>157</v>
      </c>
      <c r="C39" s="5"/>
      <c r="D39" s="5">
        <f>D36-C36</f>
        <v>6</v>
      </c>
      <c r="E39" s="5">
        <f>E36-D36</f>
        <v>0</v>
      </c>
      <c r="F39" s="5">
        <f>F36-E36</f>
        <v>15</v>
      </c>
      <c r="G39" s="5"/>
      <c r="H39" s="5">
        <f>H36-F36</f>
        <v>-10</v>
      </c>
      <c r="I39" s="5">
        <f>I36-H36</f>
        <v>-6</v>
      </c>
      <c r="J39" s="31">
        <f>J36-I36</f>
        <v>1</v>
      </c>
      <c r="K39" s="13"/>
    </row>
    <row r="40" ht="24.75">
      <c r="A40" s="3"/>
      <c r="B40" s="4" t="s">
        <v>247</v>
      </c>
      <c r="C40" s="107">
        <v>818</v>
      </c>
      <c r="D40" s="107">
        <v>766</v>
      </c>
      <c r="E40" s="107">
        <v>605</v>
      </c>
      <c r="F40" s="107">
        <v>668</v>
      </c>
      <c r="G40" s="102">
        <f>SUM(C40:F40)</f>
        <v>2857</v>
      </c>
      <c r="H40" s="107">
        <v>543</v>
      </c>
      <c r="I40" s="107">
        <v>768</v>
      </c>
      <c r="J40" s="114">
        <f>J27+J36</f>
        <v>676.7942637217006</v>
      </c>
      <c r="K40" s="42" t="s">
        <v>155</v>
      </c>
    </row>
    <row r="41">
      <c r="A41" s="3"/>
      <c r="B41" s="8" t="s">
        <v>156</v>
      </c>
      <c r="C41" s="29">
        <f>C40/C90-1</f>
        <v>0.5289719626168223</v>
      </c>
      <c r="D41" s="29">
        <f>D40/D90-1</f>
        <v>0.28739495798319337</v>
      </c>
      <c r="E41" s="29">
        <f>E40/E90-1</f>
        <v>-0.10370370370370374</v>
      </c>
      <c r="F41" s="29">
        <f>F40/F90-1</f>
        <v>-0.08241758241758246</v>
      </c>
      <c r="G41" s="29">
        <f>G40/G90-1</f>
        <v>0.12791156731148834</v>
      </c>
      <c r="H41" s="29">
        <f>H40/H90-1</f>
        <v>-0.3361858190709046</v>
      </c>
      <c r="I41" s="29">
        <f>I40/I90-1</f>
        <v>0.0026109660574411553</v>
      </c>
      <c r="J41" s="68">
        <f>J40/J90-1</f>
        <v>0.11866820449867865</v>
      </c>
      <c r="K41" s="13"/>
    </row>
    <row r="42">
      <c r="A42" s="3"/>
      <c r="B42" s="67" t="s">
        <v>157</v>
      </c>
      <c r="C42" s="5"/>
      <c r="D42" s="5">
        <f>D40-C40</f>
        <v>-52</v>
      </c>
      <c r="E42" s="5">
        <f>E40-D40</f>
        <v>-161</v>
      </c>
      <c r="F42" s="5">
        <f>F40-E40</f>
        <v>63</v>
      </c>
      <c r="G42" s="5"/>
      <c r="H42" s="5">
        <f>H40-F40</f>
        <v>-125</v>
      </c>
      <c r="I42" s="5">
        <f>I40-H40</f>
        <v>225</v>
      </c>
      <c r="J42" s="31">
        <f>J40-I40</f>
        <v>-91.20573627829936</v>
      </c>
      <c r="K42" s="13"/>
    </row>
    <row r="43">
      <c r="A43" s="3"/>
      <c r="B43" s="67" t="s">
        <v>237</v>
      </c>
      <c r="C43" s="5">
        <f>C48+C30</f>
        <v>-2</v>
      </c>
      <c r="D43" s="5">
        <f>D48+D30</f>
        <v>1</v>
      </c>
      <c r="E43" s="5">
        <f>E48+E30</f>
        <v>4</v>
      </c>
      <c r="F43" s="5">
        <f>F48+F30</f>
        <v>4</v>
      </c>
      <c r="G43" s="5">
        <f>G48+G30</f>
        <v>7</v>
      </c>
      <c r="H43" s="5">
        <f>H48+H30</f>
        <v>7</v>
      </c>
      <c r="I43" s="5">
        <f>I48+I30</f>
        <v>1</v>
      </c>
      <c r="J43" s="31">
        <f>J48+J30</f>
        <v>0</v>
      </c>
      <c r="K43" s="13"/>
    </row>
    <row r="44">
      <c r="A44" s="3"/>
      <c r="B44" s="67" t="s">
        <v>239</v>
      </c>
      <c r="C44" s="5">
        <f>C49+C31</f>
        <v>-49</v>
      </c>
      <c r="D44" s="5">
        <f>D49+D31</f>
        <v>-39</v>
      </c>
      <c r="E44" s="5">
        <f>E49+E31</f>
        <v>-38</v>
      </c>
      <c r="F44" s="5">
        <f>F49+F31</f>
        <v>-44</v>
      </c>
      <c r="G44" s="5">
        <f>G49+G31</f>
        <v>-170</v>
      </c>
      <c r="H44" s="5">
        <f>H49+H31</f>
        <v>0</v>
      </c>
      <c r="I44" s="5">
        <f>I49+I31</f>
        <v>0</v>
      </c>
      <c r="J44" s="31">
        <f>J49+J31</f>
        <v>0</v>
      </c>
      <c r="K44" s="13"/>
    </row>
    <row r="45">
      <c r="A45" s="3"/>
      <c r="B45" s="8" t="s">
        <v>70</v>
      </c>
      <c r="C45" s="29">
        <f>C43/C90</f>
        <v>-0.003738317757009346</v>
      </c>
      <c r="D45" s="29">
        <f>D43/D90</f>
        <v>0.0016806722689075631</v>
      </c>
      <c r="E45" s="29">
        <f>E43/E90</f>
        <v>0.005925925925925926</v>
      </c>
      <c r="F45" s="29">
        <f>F43/F90</f>
        <v>0.005494505494505495</v>
      </c>
      <c r="G45" s="29">
        <f>G43/G90</f>
        <v>0.0027635215159889457</v>
      </c>
      <c r="H45" s="29">
        <f>H43/H90</f>
        <v>0.008557457212713936</v>
      </c>
      <c r="I45" s="29">
        <f>I43/I90</f>
        <v>0.0013054830287206266</v>
      </c>
      <c r="J45" s="68">
        <f>J43/J90</f>
        <v>0</v>
      </c>
      <c r="K45" s="13"/>
    </row>
    <row r="46">
      <c r="A46" s="3"/>
      <c r="B46" s="8" t="s">
        <v>71</v>
      </c>
      <c r="C46" s="29">
        <f>C44/C90</f>
        <v>-0.09158878504672897</v>
      </c>
      <c r="D46" s="29">
        <f>D44/D90</f>
        <v>-0.06554621848739496</v>
      </c>
      <c r="E46" s="29">
        <f>E44/E90</f>
        <v>-0.056296296296296296</v>
      </c>
      <c r="F46" s="29">
        <f>F44/F90</f>
        <v>-0.06043956043956044</v>
      </c>
      <c r="G46" s="29">
        <f>G44/G90</f>
        <v>-0.06711409395973154</v>
      </c>
      <c r="H46" s="29">
        <f>H44/H90</f>
        <v>0</v>
      </c>
      <c r="I46" s="29">
        <f>I44/I90</f>
        <v>0</v>
      </c>
      <c r="J46" s="68">
        <f>J44/J90</f>
        <v>0</v>
      </c>
      <c r="K46" s="13"/>
    </row>
    <row r="47" ht="24.75">
      <c r="A47" s="3"/>
      <c r="B47" s="112" t="s">
        <v>72</v>
      </c>
      <c r="C47" s="62">
        <f>(1+C41)/((1+C46)*(1+C45))-1</f>
        <v>0.6894432477088304</v>
      </c>
      <c r="D47" s="62">
        <f>(1+D41)/((1+D46)*(1+D45))-1</f>
        <v>0.37538626816667486</v>
      </c>
      <c r="E47" s="62">
        <f>(1+E41)/((1+E46)*(1+E45))-1</f>
        <v>-0.05583055698772088</v>
      </c>
      <c r="F47" s="62">
        <f>(1+F41)/((1+F46)*(1+F45))-1</f>
        <v>-0.028728469625794895</v>
      </c>
      <c r="G47" s="62">
        <f>(1+G41)/((1+G46)*(1+G45))-1</f>
        <v>0.20572423950603302</v>
      </c>
      <c r="H47" s="62">
        <f>(1+H41)/((1+H46)*(1+H45))-1</f>
        <v>-0.3418181818181817</v>
      </c>
      <c r="I47" s="62">
        <f>(1+I41)/((1+I46)*(1+I45))-1</f>
        <v>0.0013037809647977738</v>
      </c>
      <c r="J47" s="103">
        <f>(1+J41)/((1+J46)*(1+J45))-1</f>
        <v>0.11866820449867865</v>
      </c>
      <c r="K47" s="42"/>
    </row>
    <row r="48">
      <c r="A48" s="3"/>
      <c r="B48" s="67" t="s">
        <v>248</v>
      </c>
      <c r="C48" s="6">
        <v>-2</v>
      </c>
      <c r="D48" s="6">
        <v>1</v>
      </c>
      <c r="E48" s="6">
        <v>4</v>
      </c>
      <c r="F48" s="6">
        <v>4</v>
      </c>
      <c r="G48" s="5">
        <f>SUM(C48:F48)</f>
        <v>7</v>
      </c>
      <c r="H48" s="6">
        <v>7</v>
      </c>
      <c r="I48" s="6">
        <v>1</v>
      </c>
      <c r="J48" s="20">
        <v>0</v>
      </c>
      <c r="K48" s="13" t="s">
        <v>249</v>
      </c>
    </row>
    <row r="49" ht="24.75">
      <c r="A49" s="3"/>
      <c r="B49" s="52" t="s">
        <v>250</v>
      </c>
      <c r="C49" s="19">
        <v>-49</v>
      </c>
      <c r="D49" s="19">
        <v>-39</v>
      </c>
      <c r="E49" s="19">
        <v>-38</v>
      </c>
      <c r="F49" s="19">
        <v>-44</v>
      </c>
      <c r="G49" s="17">
        <f>SUM(C49:F49)</f>
        <v>-170</v>
      </c>
      <c r="H49" s="19">
        <v>0</v>
      </c>
      <c r="I49" s="19">
        <v>0</v>
      </c>
      <c r="J49" s="92">
        <v>0</v>
      </c>
      <c r="K49" s="42" t="s">
        <v>251</v>
      </c>
    </row>
    <row r="50" ht="24.75">
      <c r="A50" s="3"/>
      <c r="B50" s="112" t="s">
        <v>252</v>
      </c>
      <c r="C50" s="62">
        <f>(1+C38)/((1+C49/C91)*(1+C48/C91))-1</f>
        <v>0.27217294900221733</v>
      </c>
      <c r="D50" s="62">
        <f>(1+D38)/((1+D49/D91)*(1+D48/D91))-1</f>
        <v>0.3730803974706416</v>
      </c>
      <c r="E50" s="62">
        <f>(1+E38)/((1+E49/E91)*(1+E48/E91))-1</f>
        <v>0.42500000000000004</v>
      </c>
      <c r="F50" s="62">
        <f>(1+F38)/((1+F49/F91)*(1+F48/F91))-1</f>
        <v>0.6008177868642988</v>
      </c>
      <c r="G50" s="62">
        <f>(1+G38)/((1+G49/G91)*(1+G48/G91))-1</f>
        <v>0.4240526885600866</v>
      </c>
      <c r="H50" s="62">
        <f>(1+H38)/((1+H49/H91)*(1+H48/H91))-1</f>
        <v>0.06896551724137923</v>
      </c>
      <c r="I50" s="62">
        <f>(1+I38)/((1+I49/I91)*(1+I48/I91))-1</f>
        <v>-0.034482758620689724</v>
      </c>
      <c r="J50" s="103">
        <f>(1+J38)/((1+J49/J91)*(1+J48/J91))-1</f>
        <v>0</v>
      </c>
      <c r="K50" s="42"/>
    </row>
    <row r="51">
      <c r="A51" s="3"/>
      <c r="B51" s="2" t="s">
        <v>253</v>
      </c>
      <c r="C51" s="129">
        <v>81</v>
      </c>
      <c r="D51" s="129">
        <v>96</v>
      </c>
      <c r="E51" s="129">
        <v>84</v>
      </c>
      <c r="F51" s="129">
        <v>97</v>
      </c>
      <c r="G51" s="115">
        <f>SUM(C51:F51)</f>
        <v>358</v>
      </c>
      <c r="H51" s="129">
        <v>79</v>
      </c>
      <c r="I51" s="129">
        <v>88</v>
      </c>
      <c r="J51" s="125">
        <f>E51*(1+J52)</f>
        <v>79.8</v>
      </c>
      <c r="K51" s="13" t="s">
        <v>254</v>
      </c>
    </row>
    <row r="52">
      <c r="A52" s="3"/>
      <c r="B52" s="8" t="s">
        <v>255</v>
      </c>
      <c r="C52" s="29"/>
      <c r="D52" s="29"/>
      <c r="E52" s="29"/>
      <c r="F52" s="29"/>
      <c r="G52" s="29"/>
      <c r="H52" s="29"/>
      <c r="I52" s="29"/>
      <c r="J52" s="106">
        <v>-0.05</v>
      </c>
      <c r="K52" s="13" t="s">
        <v>256</v>
      </c>
    </row>
    <row r="53">
      <c r="A53" s="3"/>
      <c r="B53" s="8" t="s">
        <v>66</v>
      </c>
      <c r="C53" s="29">
        <f>IFERROR(C51/C94-1,"")</f>
        <v>-0.25</v>
      </c>
      <c r="D53" s="29">
        <f>IFERROR(D51/D94-1,"")</f>
        <v>-0.12727272727272732</v>
      </c>
      <c r="E53" s="29">
        <f>IFERROR(E51/E94-1,"")</f>
        <v>-0.09677419354838712</v>
      </c>
      <c r="F53" s="29">
        <f>IFERROR(F51/F94-1,"")</f>
        <v>-0.02020202020202022</v>
      </c>
      <c r="G53" s="29">
        <f>IFERROR(G51/G94-1,"")</f>
        <v>-0.12682926829268293</v>
      </c>
      <c r="H53" s="29">
        <f>IFERROR(H51/H94-1,"")</f>
        <v>-0.024691358024691357</v>
      </c>
      <c r="I53" s="29">
        <f>IFERROR(I51/I94-1,"")</f>
        <v>-0.08333333333333337</v>
      </c>
      <c r="J53" s="68">
        <f>IFERROR(J51/J94-1,"")</f>
        <v>-0.050000000000000044</v>
      </c>
      <c r="K53" s="13"/>
    </row>
    <row r="54">
      <c r="A54" s="3"/>
      <c r="B54" s="67" t="s">
        <v>157</v>
      </c>
      <c r="C54" s="5"/>
      <c r="D54" s="5">
        <f>D51-C51</f>
        <v>15</v>
      </c>
      <c r="E54" s="5">
        <f>E51-D51</f>
        <v>-12</v>
      </c>
      <c r="F54" s="5">
        <f>F51-E51</f>
        <v>13</v>
      </c>
      <c r="G54" s="5"/>
      <c r="H54" s="5">
        <f>H51-F51</f>
        <v>-18</v>
      </c>
      <c r="I54" s="5">
        <f>I51-H51</f>
        <v>9</v>
      </c>
      <c r="J54" s="31">
        <f>J51-I51</f>
        <v>-8.200000000000003</v>
      </c>
      <c r="K54" s="13"/>
    </row>
    <row r="55">
      <c r="A55" s="3"/>
      <c r="B55" s="67" t="s">
        <v>237</v>
      </c>
      <c r="C55" s="6">
        <v>0</v>
      </c>
      <c r="D55" s="6">
        <v>0</v>
      </c>
      <c r="E55" s="6">
        <v>0</v>
      </c>
      <c r="F55" s="6">
        <v>0</v>
      </c>
      <c r="G55" s="5">
        <f>SUM(C55:F55)</f>
        <v>0</v>
      </c>
      <c r="H55" s="6">
        <v>0</v>
      </c>
      <c r="I55" s="6">
        <v>0</v>
      </c>
      <c r="J55" s="20">
        <v>0</v>
      </c>
      <c r="K55" s="13" t="s">
        <v>257</v>
      </c>
    </row>
    <row r="56">
      <c r="A56" s="3"/>
      <c r="B56" s="67" t="s">
        <v>239</v>
      </c>
      <c r="C56" s="6">
        <v>0</v>
      </c>
      <c r="D56" s="6">
        <v>0</v>
      </c>
      <c r="E56" s="6">
        <v>0</v>
      </c>
      <c r="F56" s="6">
        <v>0</v>
      </c>
      <c r="G56" s="5">
        <f>SUM(C56:F56)</f>
        <v>0</v>
      </c>
      <c r="H56" s="6">
        <v>0</v>
      </c>
      <c r="I56" s="6">
        <v>0</v>
      </c>
      <c r="J56" s="20">
        <v>0</v>
      </c>
      <c r="K56" s="13" t="s">
        <v>258</v>
      </c>
    </row>
    <row r="57" ht="24.75">
      <c r="A57" s="3"/>
      <c r="B57" s="112" t="s">
        <v>72</v>
      </c>
      <c r="C57" s="62">
        <f>(1+C53)/((1+C56/C94)*(1+C55/C94))-1</f>
        <v>-0.25</v>
      </c>
      <c r="D57" s="62">
        <f>(1+D53)/((1+D56/D94)*(1+D55/D94))-1</f>
        <v>-0.12727272727272732</v>
      </c>
      <c r="E57" s="62">
        <f>(1+E53)/((1+E56/E94)*(1+E55/E94))-1</f>
        <v>-0.09677419354838712</v>
      </c>
      <c r="F57" s="62">
        <f>(1+F53)/((1+F56/F94)*(1+F55/F94))-1</f>
        <v>-0.02020202020202022</v>
      </c>
      <c r="G57" s="62">
        <f>(1+G53)/((1+G56/G94)*(1+G55/G94))-1</f>
        <v>-0.12682926829268293</v>
      </c>
      <c r="H57" s="62">
        <f>(1+H53)/((1+H56/H94)*(1+H55/H94))-1</f>
        <v>-0.024691358024691357</v>
      </c>
      <c r="I57" s="62">
        <f>(1+I53)/((1+I56/I94)*(1+I55/I94))-1</f>
        <v>-0.08333333333333337</v>
      </c>
      <c r="J57" s="103">
        <f>(1+J53)/((1+J56/J94)*(1+J55/J94))-1</f>
        <v>-0.050000000000000044</v>
      </c>
      <c r="K57" s="42"/>
    </row>
    <row r="58">
      <c r="A58" s="3"/>
      <c r="B58" s="2" t="s">
        <v>259</v>
      </c>
      <c r="C58" s="14">
        <f>C40+C51</f>
        <v>899</v>
      </c>
      <c r="D58" s="14">
        <f>D40+D51</f>
        <v>862</v>
      </c>
      <c r="E58" s="14">
        <f>E40+E51</f>
        <v>689</v>
      </c>
      <c r="F58" s="14">
        <f>F40+F51</f>
        <v>765</v>
      </c>
      <c r="G58" s="14">
        <f>G40+G51</f>
        <v>3215</v>
      </c>
      <c r="H58" s="14">
        <f>H40+H51</f>
        <v>622</v>
      </c>
      <c r="I58" s="14">
        <f>I40+I51</f>
        <v>856</v>
      </c>
      <c r="J58" s="72">
        <f>J40+J51</f>
        <v>756.5942637217006</v>
      </c>
      <c r="K58" s="13"/>
    </row>
    <row r="59" ht="24.75">
      <c r="A59" s="3"/>
      <c r="B59" s="52" t="s">
        <v>260</v>
      </c>
      <c r="C59" s="19">
        <v>644</v>
      </c>
      <c r="D59" s="19">
        <v>705</v>
      </c>
      <c r="E59" s="19">
        <v>769</v>
      </c>
      <c r="F59" s="19">
        <v>827</v>
      </c>
      <c r="G59" s="17">
        <f>SUM(C59:F59)</f>
        <v>2945</v>
      </c>
      <c r="H59" s="17">
        <f>C58</f>
        <v>899</v>
      </c>
      <c r="I59" s="17">
        <f>D58</f>
        <v>862</v>
      </c>
      <c r="J59" s="1">
        <f>E58</f>
        <v>689</v>
      </c>
      <c r="K59" s="42" t="s">
        <v>198</v>
      </c>
    </row>
    <row r="60">
      <c r="A60" s="3"/>
      <c r="B60" s="8" t="s">
        <v>156</v>
      </c>
      <c r="C60" s="29">
        <f>C58/C59-1</f>
        <v>0.39596273291925477</v>
      </c>
      <c r="D60" s="29">
        <f>D58/D59-1</f>
        <v>0.2226950354609929</v>
      </c>
      <c r="E60" s="29">
        <f>E58/E59-1</f>
        <v>-0.10403120936280885</v>
      </c>
      <c r="F60" s="29">
        <f>F58/F59-1</f>
        <v>-0.07496977025392981</v>
      </c>
      <c r="G60" s="29">
        <f>G58/G59-1</f>
        <v>0.09168081494057723</v>
      </c>
      <c r="H60" s="29">
        <f>H58/H59-1</f>
        <v>-0.30812013348164624</v>
      </c>
      <c r="I60" s="29">
        <f>I58/I59-1</f>
        <v>-0.00696055684454755</v>
      </c>
      <c r="J60" s="68">
        <f>J58/J59-1</f>
        <v>0.0981048820343986</v>
      </c>
      <c r="K60" s="13"/>
    </row>
    <row r="61">
      <c r="A61" s="3"/>
      <c r="B61" s="67" t="s">
        <v>157</v>
      </c>
      <c r="C61" s="5"/>
      <c r="D61" s="5">
        <f>D58-C58</f>
        <v>-37</v>
      </c>
      <c r="E61" s="5">
        <f>E58-D58</f>
        <v>-173</v>
      </c>
      <c r="F61" s="5">
        <f>F58-E58</f>
        <v>76</v>
      </c>
      <c r="G61" s="5"/>
      <c r="H61" s="5">
        <f>H58-F58</f>
        <v>-143</v>
      </c>
      <c r="I61" s="5">
        <f>I58-H58</f>
        <v>234</v>
      </c>
      <c r="J61" s="31">
        <f>J58-I58</f>
        <v>-99.4057362782994</v>
      </c>
      <c r="K61" s="13"/>
    </row>
    <row r="62">
      <c r="A62" s="3"/>
      <c r="B62" s="67" t="s">
        <v>144</v>
      </c>
      <c r="C62" s="6">
        <v>81</v>
      </c>
      <c r="D62" s="6">
        <v>-7</v>
      </c>
      <c r="E62" s="6">
        <v>-255</v>
      </c>
      <c r="F62" s="6">
        <v>-150</v>
      </c>
      <c r="G62" s="5">
        <f>SUM(C62:F62)</f>
        <v>-331</v>
      </c>
      <c r="H62" s="6">
        <v>-80</v>
      </c>
      <c r="I62" s="6">
        <v>15</v>
      </c>
      <c r="J62" s="31"/>
      <c r="K62" s="13" t="s">
        <v>261</v>
      </c>
    </row>
    <row r="63">
      <c r="A63" s="3"/>
      <c r="B63" s="67" t="s">
        <v>146</v>
      </c>
      <c r="C63" s="6">
        <v>226</v>
      </c>
      <c r="D63" s="6">
        <v>203</v>
      </c>
      <c r="E63" s="6">
        <v>211</v>
      </c>
      <c r="F63" s="6">
        <v>128</v>
      </c>
      <c r="G63" s="5">
        <f>SUM(C63:F63)</f>
        <v>768</v>
      </c>
      <c r="H63" s="6">
        <v>-203</v>
      </c>
      <c r="I63" s="6">
        <v>-23</v>
      </c>
      <c r="J63" s="31"/>
      <c r="K63" s="13"/>
    </row>
    <row r="64">
      <c r="A64" s="3"/>
      <c r="B64" s="2" t="s">
        <v>148</v>
      </c>
      <c r="C64" s="14">
        <f>C62+C63</f>
        <v>307</v>
      </c>
      <c r="D64" s="14">
        <f>D62+D63</f>
        <v>196</v>
      </c>
      <c r="E64" s="14">
        <f>E62+E63</f>
        <v>-44</v>
      </c>
      <c r="F64" s="14">
        <f>F62+F63</f>
        <v>-22</v>
      </c>
      <c r="G64" s="14">
        <f>G62+G63</f>
        <v>437</v>
      </c>
      <c r="H64" s="14">
        <f>H62+H63</f>
        <v>-283</v>
      </c>
      <c r="I64" s="14">
        <f>I62+I63</f>
        <v>-8</v>
      </c>
      <c r="J64" s="72">
        <f>J58-J59-J65-J66</f>
        <v>67.5942637217006</v>
      </c>
      <c r="K64" s="13"/>
    </row>
    <row r="65">
      <c r="A65" s="3"/>
      <c r="B65" s="67" t="s">
        <v>149</v>
      </c>
      <c r="C65" s="5">
        <f>C44+C56</f>
        <v>-49</v>
      </c>
      <c r="D65" s="5">
        <f>D44+D56</f>
        <v>-39</v>
      </c>
      <c r="E65" s="5">
        <f>E44+E56</f>
        <v>-38</v>
      </c>
      <c r="F65" s="5">
        <f>F44+F56</f>
        <v>-44</v>
      </c>
      <c r="G65" s="5">
        <f>G44+G56</f>
        <v>-170</v>
      </c>
      <c r="H65" s="5">
        <f>H44+H56</f>
        <v>0</v>
      </c>
      <c r="I65" s="5">
        <f>I44+I56</f>
        <v>0</v>
      </c>
      <c r="J65" s="31">
        <f>J44+J56</f>
        <v>0</v>
      </c>
      <c r="K65" s="13"/>
    </row>
    <row r="66">
      <c r="A66" s="3"/>
      <c r="B66" s="67" t="s">
        <v>151</v>
      </c>
      <c r="C66" s="5">
        <f>C43+C55</f>
        <v>-2</v>
      </c>
      <c r="D66" s="5">
        <f>D43+D55</f>
        <v>1</v>
      </c>
      <c r="E66" s="5">
        <f>E43+E55</f>
        <v>4</v>
      </c>
      <c r="F66" s="5">
        <f>F43+F55</f>
        <v>4</v>
      </c>
      <c r="G66" s="5">
        <f>G43+G55</f>
        <v>7</v>
      </c>
      <c r="H66" s="5">
        <f>H43+H55</f>
        <v>7</v>
      </c>
      <c r="I66" s="5">
        <f>I43+I55</f>
        <v>1</v>
      </c>
      <c r="J66" s="31">
        <f>J43+J55</f>
        <v>0</v>
      </c>
      <c r="K66" s="13"/>
    </row>
    <row r="67">
      <c r="A67" s="3"/>
      <c r="B67" s="67" t="s">
        <v>153</v>
      </c>
      <c r="C67" s="5">
        <f>C58-C59-C64-C65-C66</f>
        <v>-1</v>
      </c>
      <c r="D67" s="5">
        <f>D58-D59-D64-D65-D66</f>
        <v>-1</v>
      </c>
      <c r="E67" s="5">
        <f>E58-E59-E64-E65-E66</f>
        <v>-2</v>
      </c>
      <c r="F67" s="5">
        <f>F58-F59-F64-F65-F66</f>
        <v>0</v>
      </c>
      <c r="G67" s="5">
        <f>G58-G59-G64-G65-G66</f>
        <v>-4</v>
      </c>
      <c r="H67" s="5">
        <f>H58-H59-H64-H65-H66</f>
        <v>-1</v>
      </c>
      <c r="I67" s="5">
        <f>I58-I59-I64-I65-I66</f>
        <v>1</v>
      </c>
      <c r="J67" s="31">
        <f>J58-J59-J64-J65-J66</f>
        <v>0</v>
      </c>
      <c r="K67" s="13"/>
    </row>
    <row r="68">
      <c r="A68" s="3"/>
      <c r="B68" s="8" t="s">
        <v>70</v>
      </c>
      <c r="C68" s="29">
        <f>C66/C59</f>
        <v>-0.003105590062111801</v>
      </c>
      <c r="D68" s="29">
        <f>D66/D59</f>
        <v>0.0014184397163120568</v>
      </c>
      <c r="E68" s="29">
        <f>E66/E59</f>
        <v>0.005201560468140442</v>
      </c>
      <c r="F68" s="29">
        <f>F66/F59</f>
        <v>0.0048367593712212815</v>
      </c>
      <c r="G68" s="29">
        <f>G66/G59</f>
        <v>0.0023769100169779285</v>
      </c>
      <c r="H68" s="29">
        <f>H66/H59</f>
        <v>0.00778642936596218</v>
      </c>
      <c r="I68" s="29">
        <f>I66/I59</f>
        <v>0.001160092807424594</v>
      </c>
      <c r="J68" s="68">
        <f>J66/J59</f>
        <v>0</v>
      </c>
      <c r="K68" s="13"/>
    </row>
    <row r="69">
      <c r="A69" s="3"/>
      <c r="B69" s="8" t="s">
        <v>139</v>
      </c>
      <c r="C69" s="90"/>
      <c r="D69" s="90"/>
      <c r="E69" s="90"/>
      <c r="F69" s="90"/>
      <c r="G69" s="90"/>
      <c r="H69" s="90">
        <f>(H68-C68)*10000</f>
        <v>108.92019428073982</v>
      </c>
      <c r="I69" s="90">
        <f>(I68-D68)*10000</f>
        <v>-2.583469088874629</v>
      </c>
      <c r="J69" s="104">
        <f>(J68-E68)*10000</f>
        <v>-52.015604681404426</v>
      </c>
      <c r="K69" s="13"/>
    </row>
    <row r="70">
      <c r="A70" s="3"/>
      <c r="B70" s="8" t="s">
        <v>71</v>
      </c>
      <c r="C70" s="29">
        <f>C65/C59</f>
        <v>-0.07608695652173914</v>
      </c>
      <c r="D70" s="29">
        <f>D65/D59</f>
        <v>-0.05531914893617021</v>
      </c>
      <c r="E70" s="29">
        <f>E65/E59</f>
        <v>-0.0494148244473342</v>
      </c>
      <c r="F70" s="29">
        <f>F65/F59</f>
        <v>-0.053204353083434096</v>
      </c>
      <c r="G70" s="29">
        <f>G65/G59</f>
        <v>-0.057724957555178265</v>
      </c>
      <c r="H70" s="29">
        <f>H65/H59</f>
        <v>0</v>
      </c>
      <c r="I70" s="29">
        <f>I65/I59</f>
        <v>0</v>
      </c>
      <c r="J70" s="68">
        <f>J65/J59</f>
        <v>0</v>
      </c>
      <c r="K70" s="13"/>
    </row>
    <row r="71" ht="24.75">
      <c r="A71" s="3"/>
      <c r="B71" s="112" t="s">
        <v>72</v>
      </c>
      <c r="C71" s="62">
        <f>(1+C60)/((1+C70)*(1+C68))-1</f>
        <v>0.5156312992486713</v>
      </c>
      <c r="D71" s="62">
        <f>(1+D60)/((1+D70)*(1+D68))-1</f>
        <v>0.29246101625705045</v>
      </c>
      <c r="E71" s="62">
        <f>(1+E60)/((1+E70)*(1+E68))-1</f>
        <v>-0.06233287261774345</v>
      </c>
      <c r="F71" s="62">
        <f>(1+F60)/((1+F70)*(1+F68))-1</f>
        <v>-0.027691328824155925</v>
      </c>
      <c r="G71" s="62">
        <f>(1+G60)/((1+G70)*(1+G68))-1</f>
        <v>0.15581129910398195</v>
      </c>
      <c r="H71" s="62">
        <f>(1+H60)/((1+H70)*(1+H68))-1</f>
        <v>-0.3134657836644591</v>
      </c>
      <c r="I71" s="62">
        <f>(1+I60)/((1+I70)*(1+I68))-1</f>
        <v>-0.008111239860950303</v>
      </c>
      <c r="J71" s="103">
        <f>(1+J60)/((1+J70)*(1+J68))-1</f>
        <v>0.0981048820343986</v>
      </c>
      <c r="K71" s="42"/>
    </row>
    <row r="72" ht="24.75">
      <c r="A72" s="3"/>
      <c r="B72" s="112" t="s">
        <v>79</v>
      </c>
      <c r="C72" s="62">
        <f>C64/C59</f>
        <v>0.4767080745341615</v>
      </c>
      <c r="D72" s="62">
        <f>D64/D59</f>
        <v>0.27801418439716313</v>
      </c>
      <c r="E72" s="62">
        <f>E64/E59</f>
        <v>-0.05721716514954486</v>
      </c>
      <c r="F72" s="62">
        <f>F64/F59</f>
        <v>-0.026602176541717048</v>
      </c>
      <c r="G72" s="62">
        <f>G64/G59</f>
        <v>0.14838709677419354</v>
      </c>
      <c r="H72" s="62">
        <f>H64/H59</f>
        <v>-0.3147942157953281</v>
      </c>
      <c r="I72" s="62">
        <f>I64/I59</f>
        <v>-0.009280742459396751</v>
      </c>
      <c r="J72" s="103">
        <f>J64/J59</f>
        <v>0.09810488203439854</v>
      </c>
      <c r="K72" s="42"/>
    </row>
    <row r="73">
      <c r="A73" s="3"/>
      <c r="B73" s="3"/>
      <c r="C73" s="3"/>
      <c r="D73" s="3"/>
      <c r="E73" s="3"/>
      <c r="F73" s="3"/>
      <c r="G73" s="3"/>
      <c r="H73" s="3"/>
      <c r="I73" s="3"/>
      <c r="J73" s="50"/>
      <c r="K73" s="13"/>
    </row>
    <row r="74">
      <c r="A74" s="3"/>
      <c r="B74" s="70" t="s">
        <v>165</v>
      </c>
      <c r="C74" s="3"/>
      <c r="D74" s="3"/>
      <c r="E74" s="3"/>
      <c r="F74" s="3"/>
      <c r="G74" s="3"/>
      <c r="H74" s="3"/>
      <c r="I74" s="3"/>
      <c r="J74" s="50"/>
      <c r="K74" s="13"/>
    </row>
    <row r="75">
      <c r="A75" s="3"/>
      <c r="B75" s="2" t="s">
        <v>262</v>
      </c>
      <c r="C75" s="129">
        <v>685</v>
      </c>
      <c r="D75" s="129">
        <v>611</v>
      </c>
      <c r="E75" s="129">
        <v>434</v>
      </c>
      <c r="F75" s="129">
        <v>476</v>
      </c>
      <c r="G75" s="115">
        <f>SUM(C75:F75)</f>
        <v>2206</v>
      </c>
      <c r="H75" s="129">
        <v>380</v>
      </c>
      <c r="I75" s="129">
        <v>555</v>
      </c>
      <c r="J75" s="125">
        <f>J58*J78</f>
        <v>472.87141482606285</v>
      </c>
      <c r="K75" s="13" t="s">
        <v>167</v>
      </c>
    </row>
    <row r="76">
      <c r="A76" s="3"/>
      <c r="B76" s="8" t="s">
        <v>66</v>
      </c>
      <c r="C76" s="29">
        <f>IFERROR(C75/C95-1,"")</f>
        <v>0.5967365967365967</v>
      </c>
      <c r="D76" s="29">
        <f>IFERROR(D75/D95-1,"")</f>
        <v>0.2755741127348643</v>
      </c>
      <c r="E76" s="29">
        <f>IFERROR(E75/E95-1,"")</f>
        <v>-0.19778188539741215</v>
      </c>
      <c r="F76" s="29">
        <f>IFERROR(F75/F95-1,"")</f>
        <v>-0.20798668885191351</v>
      </c>
      <c r="G76" s="29">
        <f>IFERROR(G75/G95-1,"")</f>
        <v>0.07609756097560982</v>
      </c>
      <c r="H76" s="29">
        <f>IFERROR(H75/H95-1,"")</f>
        <v>-0.44525547445255476</v>
      </c>
      <c r="I76" s="29">
        <f>IFERROR(I75/I95-1,"")</f>
        <v>-0.09165302782324058</v>
      </c>
      <c r="J76" s="68">
        <f>IFERROR(J75/J95-1,"")</f>
        <v>0.08956547194945363</v>
      </c>
      <c r="K76" s="13"/>
    </row>
    <row r="77">
      <c r="A77" s="3"/>
      <c r="B77" s="67" t="s">
        <v>157</v>
      </c>
      <c r="C77" s="5"/>
      <c r="D77" s="5">
        <f>D75-C75</f>
        <v>-74</v>
      </c>
      <c r="E77" s="5">
        <f>E75-D75</f>
        <v>-177</v>
      </c>
      <c r="F77" s="5">
        <f>F75-E75</f>
        <v>42</v>
      </c>
      <c r="G77" s="5"/>
      <c r="H77" s="5">
        <f>H75-F75</f>
        <v>-96</v>
      </c>
      <c r="I77" s="5">
        <f>I75-H75</f>
        <v>175</v>
      </c>
      <c r="J77" s="31">
        <f>J75-I75</f>
        <v>-82.12858517393715</v>
      </c>
      <c r="K77" s="13"/>
    </row>
    <row r="78">
      <c r="A78" s="3"/>
      <c r="B78" s="21" t="s">
        <v>168</v>
      </c>
      <c r="C78" s="29">
        <f>C75/C58</f>
        <v>0.7619577308120133</v>
      </c>
      <c r="D78" s="29">
        <f>D75/D58</f>
        <v>0.7088167053364269</v>
      </c>
      <c r="E78" s="29">
        <f>E75/E58</f>
        <v>0.6298984034833092</v>
      </c>
      <c r="F78" s="29">
        <f>F75/F58</f>
        <v>0.6222222222222222</v>
      </c>
      <c r="G78" s="29">
        <f>G75/G58</f>
        <v>0.686158631415241</v>
      </c>
      <c r="H78" s="29">
        <f>H75/H58</f>
        <v>0.6109324758842444</v>
      </c>
      <c r="I78" s="29">
        <f>I75/I58</f>
        <v>0.6483644859813084</v>
      </c>
      <c r="J78" s="106">
        <v>0.625</v>
      </c>
      <c r="K78" s="13" t="s">
        <v>263</v>
      </c>
    </row>
    <row r="79">
      <c r="A79" s="3"/>
      <c r="B79" s="8" t="s">
        <v>139</v>
      </c>
      <c r="C79" s="90">
        <f>(C78-C96)*10000</f>
        <v>958.0866248903197</v>
      </c>
      <c r="D79" s="90">
        <f>(D78-D96)*10000</f>
        <v>293.8408122295177</v>
      </c>
      <c r="E79" s="90">
        <f>(E78-E96)*10000</f>
        <v>-736.1264983268567</v>
      </c>
      <c r="F79" s="90">
        <f>(F78-F96)*10000</f>
        <v>-1045.0087330377532</v>
      </c>
      <c r="G79" s="90">
        <f>(G78-G96)*10000</f>
        <v>-99.36444985438109</v>
      </c>
      <c r="H79" s="90">
        <f>(H78-H96)*10000</f>
        <v>-1510.2525492776897</v>
      </c>
      <c r="I79" s="90">
        <f>(I78-I96)*10000</f>
        <v>-604.5221935511858</v>
      </c>
      <c r="J79" s="104">
        <f>(J78-J96)*10000</f>
        <v>-48.98403483309166</v>
      </c>
      <c r="K79" s="13"/>
    </row>
    <row r="80" ht="24.75">
      <c r="A80" s="3"/>
      <c r="B80" s="52" t="s">
        <v>170</v>
      </c>
      <c r="C80" s="19">
        <v>-5</v>
      </c>
      <c r="D80" s="19">
        <v>-5</v>
      </c>
      <c r="E80" s="19">
        <v>-5</v>
      </c>
      <c r="F80" s="19">
        <v>-5</v>
      </c>
      <c r="G80" s="17">
        <f>SUM(C80:F80)</f>
        <v>-20</v>
      </c>
      <c r="H80" s="19">
        <v>-5</v>
      </c>
      <c r="I80" s="19">
        <v>-5</v>
      </c>
      <c r="J80" s="92">
        <v>-5</v>
      </c>
      <c r="K80" s="42" t="s">
        <v>171</v>
      </c>
    </row>
    <row r="81">
      <c r="A81" s="3"/>
      <c r="B81" s="2" t="s">
        <v>172</v>
      </c>
      <c r="C81" s="14">
        <f>C75-C80</f>
        <v>690</v>
      </c>
      <c r="D81" s="14">
        <f>D75-D80</f>
        <v>616</v>
      </c>
      <c r="E81" s="14">
        <f>E75-E80</f>
        <v>439</v>
      </c>
      <c r="F81" s="14">
        <f>F75-F80</f>
        <v>481</v>
      </c>
      <c r="G81" s="14">
        <f>G75-G80</f>
        <v>2226</v>
      </c>
      <c r="H81" s="14">
        <f>H75-H80</f>
        <v>385</v>
      </c>
      <c r="I81" s="14">
        <f>I75-I80</f>
        <v>560</v>
      </c>
      <c r="J81" s="72">
        <f>J75-J80</f>
        <v>477.87141482606285</v>
      </c>
      <c r="K81" s="13"/>
    </row>
    <row r="82">
      <c r="A82" s="3"/>
      <c r="B82" s="21" t="s">
        <v>173</v>
      </c>
      <c r="C82" s="29">
        <f>C81/C58</f>
        <v>0.7675194660734149</v>
      </c>
      <c r="D82" s="29">
        <f>D81/D58</f>
        <v>0.7146171693735499</v>
      </c>
      <c r="E82" s="29">
        <f>E81/E58</f>
        <v>0.637155297532656</v>
      </c>
      <c r="F82" s="29">
        <f>F81/F58</f>
        <v>0.6287581699346405</v>
      </c>
      <c r="G82" s="29">
        <f>G81/G58</f>
        <v>0.6923794712286159</v>
      </c>
      <c r="H82" s="29">
        <f>H81/H58</f>
        <v>0.6189710610932476</v>
      </c>
      <c r="I82" s="29">
        <f>I81/I58</f>
        <v>0.6542056074766355</v>
      </c>
      <c r="J82" s="68">
        <f>J81/J58</f>
        <v>0.6316085618669707</v>
      </c>
      <c r="K82" s="13"/>
    </row>
    <row r="83">
      <c r="A83" s="3"/>
      <c r="B83" s="8" t="s">
        <v>139</v>
      </c>
      <c r="C83" s="90">
        <f>(C82-C98)*10000</f>
        <v>765.256772535391</v>
      </c>
      <c r="D83" s="90">
        <f>(D82-D98)*10000</f>
        <v>139.0794951539387</v>
      </c>
      <c r="E83" s="90">
        <f>(E82-E98)*10000</f>
        <v>-845.6121742183032</v>
      </c>
      <c r="F83" s="90">
        <f>(F82-F98)*10000</f>
        <v>-1040.1087480538363</v>
      </c>
      <c r="G83" s="90">
        <f>(G82-G98)*10000</f>
        <v>-206.9353386476269</v>
      </c>
      <c r="H83" s="90">
        <f>(H82-H98)*10000</f>
        <v>-1485.484049801673</v>
      </c>
      <c r="I83" s="90">
        <f>(I82-I98)*10000</f>
        <v>-604.1156189691443</v>
      </c>
      <c r="J83" s="104">
        <f>(J82-J98)*10000</f>
        <v>-55.4673566568531</v>
      </c>
      <c r="K83" s="13"/>
    </row>
    <row r="84">
      <c r="A84" s="3"/>
      <c r="B84" s="3"/>
      <c r="C84" s="3"/>
      <c r="D84" s="3"/>
      <c r="E84" s="3"/>
      <c r="F84" s="3"/>
      <c r="G84" s="3"/>
      <c r="H84" s="3"/>
      <c r="I84" s="3"/>
      <c r="J84" s="50"/>
      <c r="K84" s="13"/>
    </row>
    <row r="85">
      <c r="A85" s="3"/>
      <c r="B85" s="70" t="s">
        <v>174</v>
      </c>
      <c r="C85" s="3"/>
      <c r="D85" s="3"/>
      <c r="E85" s="3"/>
      <c r="F85" s="3"/>
      <c r="G85" s="3"/>
      <c r="H85" s="3"/>
      <c r="I85" s="3"/>
      <c r="J85" s="50"/>
      <c r="K85" s="13"/>
    </row>
    <row r="86" ht="24.75">
      <c r="A86" s="3"/>
      <c r="B86" s="53" t="s">
        <v>264</v>
      </c>
      <c r="C86" s="82">
        <v>1973</v>
      </c>
      <c r="D86" s="82">
        <v>2026</v>
      </c>
      <c r="E86" s="82">
        <v>2237</v>
      </c>
      <c r="F86" s="82">
        <v>2471</v>
      </c>
      <c r="G86" s="39">
        <f>SUM(C86:F86)</f>
        <v>8707</v>
      </c>
      <c r="H86" s="39">
        <f>C9</f>
        <v>3032</v>
      </c>
      <c r="I86" s="39">
        <f>D9</f>
        <v>2854</v>
      </c>
      <c r="J86" s="147">
        <f>E9</f>
        <v>3073</v>
      </c>
      <c r="K86" s="42" t="s">
        <v>179</v>
      </c>
    </row>
    <row r="87">
      <c r="A87" s="3"/>
      <c r="B87" s="16" t="s">
        <v>265</v>
      </c>
      <c r="C87" s="95">
        <v>596</v>
      </c>
      <c r="D87" s="95">
        <v>592</v>
      </c>
      <c r="E87" s="95">
        <v>591</v>
      </c>
      <c r="F87" s="95">
        <v>553</v>
      </c>
      <c r="G87" s="97">
        <f>SUM(C87:F87)</f>
        <v>2332</v>
      </c>
      <c r="H87" s="97">
        <f>C15</f>
        <v>581</v>
      </c>
      <c r="I87" s="97">
        <f>D15</f>
        <v>576</v>
      </c>
      <c r="J87" s="116">
        <f>E15</f>
        <v>549</v>
      </c>
      <c r="K87" s="13" t="s">
        <v>179</v>
      </c>
    </row>
    <row r="88">
      <c r="A88" s="3"/>
      <c r="B88" s="16" t="s">
        <v>266</v>
      </c>
      <c r="C88" s="97">
        <f>C86+C87</f>
        <v>2569</v>
      </c>
      <c r="D88" s="97">
        <f>D86+D87</f>
        <v>2618</v>
      </c>
      <c r="E88" s="97">
        <f>E86+E87</f>
        <v>2828</v>
      </c>
      <c r="F88" s="97">
        <f>F86+F87</f>
        <v>3024</v>
      </c>
      <c r="G88" s="97">
        <f>G86+G87</f>
        <v>11039</v>
      </c>
      <c r="H88" s="97">
        <f>H86+H87</f>
        <v>3613</v>
      </c>
      <c r="I88" s="97">
        <f>I86+I87</f>
        <v>3430</v>
      </c>
      <c r="J88" s="116">
        <f>J86+J87</f>
        <v>3622</v>
      </c>
      <c r="K88" s="13"/>
    </row>
    <row r="89">
      <c r="A89" s="3"/>
      <c r="B89" s="21" t="s">
        <v>267</v>
      </c>
      <c r="C89" s="29">
        <f>C86/C88</f>
        <v>0.7680031140521604</v>
      </c>
      <c r="D89" s="29">
        <f>D86/D88</f>
        <v>0.7738731856378915</v>
      </c>
      <c r="E89" s="29">
        <f>E86/E88</f>
        <v>0.791018387553041</v>
      </c>
      <c r="F89" s="29">
        <f>F86/F88</f>
        <v>0.8171296296296297</v>
      </c>
      <c r="G89" s="29">
        <f>G86/G88</f>
        <v>0.7887489808859498</v>
      </c>
      <c r="H89" s="29">
        <f>H86/H88</f>
        <v>0.8391918073623028</v>
      </c>
      <c r="I89" s="29">
        <f>I86/I88</f>
        <v>0.8320699708454811</v>
      </c>
      <c r="J89" s="68">
        <f>J86/J88</f>
        <v>0.8484262838210933</v>
      </c>
      <c r="K89" s="13"/>
    </row>
    <row r="90">
      <c r="A90" s="3"/>
      <c r="B90" s="16" t="s">
        <v>268</v>
      </c>
      <c r="C90" s="6">
        <v>535</v>
      </c>
      <c r="D90" s="6">
        <v>595</v>
      </c>
      <c r="E90" s="6">
        <v>675</v>
      </c>
      <c r="F90" s="6">
        <v>728</v>
      </c>
      <c r="G90" s="5">
        <f>SUM(C90:F90)</f>
        <v>2533</v>
      </c>
      <c r="H90" s="5">
        <f>C40</f>
        <v>818</v>
      </c>
      <c r="I90" s="5">
        <f>D40</f>
        <v>766</v>
      </c>
      <c r="J90" s="31">
        <f>E40</f>
        <v>605</v>
      </c>
      <c r="K90" s="13" t="s">
        <v>198</v>
      </c>
    </row>
    <row r="91">
      <c r="A91" s="3"/>
      <c r="B91" s="16" t="s">
        <v>269</v>
      </c>
      <c r="C91" s="6">
        <v>90</v>
      </c>
      <c r="D91" s="6">
        <v>80</v>
      </c>
      <c r="E91" s="6">
        <v>76</v>
      </c>
      <c r="F91" s="6">
        <v>87</v>
      </c>
      <c r="G91" s="5">
        <f>SUM(C91:F91)</f>
        <v>333</v>
      </c>
      <c r="H91" s="5">
        <f>C36</f>
        <v>51</v>
      </c>
      <c r="I91" s="5">
        <f>D36</f>
        <v>57</v>
      </c>
      <c r="J91" s="31">
        <f>E36</f>
        <v>57</v>
      </c>
      <c r="K91" s="13" t="s">
        <v>198</v>
      </c>
    </row>
    <row r="92">
      <c r="A92" s="3"/>
      <c r="B92" s="16" t="s">
        <v>270</v>
      </c>
      <c r="C92" s="5">
        <f>C90-C91</f>
        <v>445</v>
      </c>
      <c r="D92" s="5">
        <f>D90-D91</f>
        <v>515</v>
      </c>
      <c r="E92" s="5">
        <f>E90-E91</f>
        <v>599</v>
      </c>
      <c r="F92" s="5">
        <f>F90-F91</f>
        <v>641</v>
      </c>
      <c r="G92" s="5">
        <f>G90-G91</f>
        <v>2200</v>
      </c>
      <c r="H92" s="5">
        <f>H90-H91</f>
        <v>767</v>
      </c>
      <c r="I92" s="5">
        <f>I90-I91</f>
        <v>709</v>
      </c>
      <c r="J92" s="31">
        <f>J90-J91</f>
        <v>548</v>
      </c>
      <c r="K92" s="13"/>
    </row>
    <row r="93" ht="24.75">
      <c r="A93" s="3"/>
      <c r="B93" s="53" t="s">
        <v>271</v>
      </c>
      <c r="C93" s="93">
        <f>C92/C88*1000</f>
        <v>173.21915142078632</v>
      </c>
      <c r="D93" s="93">
        <f>D92/D88*1000</f>
        <v>196.71504965622614</v>
      </c>
      <c r="E93" s="93">
        <f>E92/E88*1000</f>
        <v>211.81046676096182</v>
      </c>
      <c r="F93" s="93">
        <f>F92/F88*1000</f>
        <v>211.97089947089947</v>
      </c>
      <c r="G93" s="93">
        <f>G92/G88*1000</f>
        <v>199.29341425853792</v>
      </c>
      <c r="H93" s="93">
        <f>H92/H88*1000</f>
        <v>212.28895654580683</v>
      </c>
      <c r="I93" s="93">
        <f>I92/I88*1000</f>
        <v>206.7055393586006</v>
      </c>
      <c r="J93" s="121">
        <f>J92/J88*1000</f>
        <v>151.29762562120374</v>
      </c>
      <c r="K93" s="42"/>
    </row>
    <row r="94">
      <c r="A94" s="3"/>
      <c r="B94" s="16" t="s">
        <v>272</v>
      </c>
      <c r="C94" s="6">
        <v>108</v>
      </c>
      <c r="D94" s="6">
        <v>110</v>
      </c>
      <c r="E94" s="6">
        <v>93</v>
      </c>
      <c r="F94" s="6">
        <v>99</v>
      </c>
      <c r="G94" s="5">
        <f>SUM(C94:F94)</f>
        <v>410</v>
      </c>
      <c r="H94" s="5">
        <f>C51</f>
        <v>81</v>
      </c>
      <c r="I94" s="5">
        <f>D51</f>
        <v>96</v>
      </c>
      <c r="J94" s="31">
        <f>E51</f>
        <v>84</v>
      </c>
      <c r="K94" s="13" t="s">
        <v>198</v>
      </c>
    </row>
    <row r="95">
      <c r="A95" s="3"/>
      <c r="B95" s="16" t="s">
        <v>186</v>
      </c>
      <c r="C95" s="6">
        <v>429</v>
      </c>
      <c r="D95" s="6">
        <v>479</v>
      </c>
      <c r="E95" s="6">
        <v>541</v>
      </c>
      <c r="F95" s="6">
        <v>601</v>
      </c>
      <c r="G95" s="5">
        <f>SUM(C95:F95)</f>
        <v>2050</v>
      </c>
      <c r="H95" s="5">
        <f>C75</f>
        <v>685</v>
      </c>
      <c r="I95" s="5">
        <f>D75</f>
        <v>611</v>
      </c>
      <c r="J95" s="31">
        <f>E75</f>
        <v>434</v>
      </c>
      <c r="K95" s="13" t="s">
        <v>187</v>
      </c>
    </row>
    <row r="96">
      <c r="A96" s="3"/>
      <c r="B96" s="21" t="s">
        <v>188</v>
      </c>
      <c r="C96" s="29">
        <f>C95/C59</f>
        <v>0.6661490683229814</v>
      </c>
      <c r="D96" s="29">
        <f>D95/D59</f>
        <v>0.6794326241134752</v>
      </c>
      <c r="E96" s="29">
        <f>E95/E59</f>
        <v>0.7035110533159948</v>
      </c>
      <c r="F96" s="29">
        <f>F95/F59</f>
        <v>0.7267230955259976</v>
      </c>
      <c r="G96" s="29">
        <f>G95/G59</f>
        <v>0.6960950764006791</v>
      </c>
      <c r="H96" s="29">
        <f>H95/H59</f>
        <v>0.7619577308120133</v>
      </c>
      <c r="I96" s="29">
        <f>I95/I59</f>
        <v>0.7088167053364269</v>
      </c>
      <c r="J96" s="68">
        <f>J95/J59</f>
        <v>0.6298984034833092</v>
      </c>
      <c r="K96" s="13"/>
    </row>
    <row r="97">
      <c r="A97" s="3"/>
      <c r="B97" s="16" t="s">
        <v>189</v>
      </c>
      <c r="C97" s="6">
        <v>445</v>
      </c>
      <c r="D97" s="6">
        <v>494</v>
      </c>
      <c r="E97" s="6">
        <v>555</v>
      </c>
      <c r="F97" s="6">
        <v>606</v>
      </c>
      <c r="G97" s="5">
        <f>SUM(C97:F97)</f>
        <v>2100</v>
      </c>
      <c r="H97" s="5">
        <f>C81</f>
        <v>690</v>
      </c>
      <c r="I97" s="5">
        <f>D81</f>
        <v>616</v>
      </c>
      <c r="J97" s="31">
        <f>E81</f>
        <v>439</v>
      </c>
      <c r="K97" s="13" t="s">
        <v>190</v>
      </c>
    </row>
    <row r="98">
      <c r="A98" s="3"/>
      <c r="B98" s="21" t="s">
        <v>191</v>
      </c>
      <c r="C98" s="29">
        <f>C97/C59</f>
        <v>0.6909937888198758</v>
      </c>
      <c r="D98" s="29">
        <f>D97/D59</f>
        <v>0.700709219858156</v>
      </c>
      <c r="E98" s="29">
        <f>E97/E59</f>
        <v>0.7217165149544863</v>
      </c>
      <c r="F98" s="29">
        <f>F97/F59</f>
        <v>0.7327690447400241</v>
      </c>
      <c r="G98" s="29">
        <f>G97/G59</f>
        <v>0.7130730050933786</v>
      </c>
      <c r="H98" s="29">
        <f>H97/H59</f>
        <v>0.7675194660734149</v>
      </c>
      <c r="I98" s="29">
        <f>I97/I59</f>
        <v>0.7146171693735499</v>
      </c>
      <c r="J98" s="68">
        <f>J97/J59</f>
        <v>0.637155297532656</v>
      </c>
      <c r="K98" s="13"/>
    </row>
    <row r="99">
      <c r="A99" s="3"/>
      <c r="B99" s="3"/>
      <c r="C99" s="3"/>
      <c r="D99" s="3"/>
      <c r="E99" s="3"/>
      <c r="F99" s="3"/>
      <c r="G99" s="3"/>
      <c r="H99" s="3"/>
      <c r="I99" s="3"/>
      <c r="J99" s="50"/>
      <c r="K99" s="1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50"/>
      <c r="K100" s="13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273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274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2" t="s">
        <v>275</v>
      </c>
      <c r="C9" s="140">
        <f>'Revenue summary'!C42</f>
        <v>9301</v>
      </c>
      <c r="D9" s="140">
        <f>'Revenue summary'!D42</f>
        <v>10140</v>
      </c>
      <c r="E9" s="140">
        <f>'Revenue summary'!E42</f>
        <v>10845</v>
      </c>
      <c r="F9" s="140">
        <f>'Revenue summary'!F42</f>
        <v>10362</v>
      </c>
      <c r="G9" s="140">
        <f>'Revenue summary'!G42</f>
        <v>40648</v>
      </c>
      <c r="H9" s="140">
        <f>'Revenue summary'!H42</f>
        <v>10146</v>
      </c>
      <c r="I9" s="140">
        <f>'Revenue summary'!I42</f>
        <v>11192</v>
      </c>
      <c r="J9" s="159">
        <f>'Revenue summary'!J42</f>
        <v>11429.328875510319</v>
      </c>
      <c r="K9" s="13"/>
    </row>
    <row r="10">
      <c r="A10" s="3"/>
      <c r="B10" s="8" t="s">
        <v>66</v>
      </c>
      <c r="C10" s="123">
        <f>C9/'Revenue summary'!C91-1</f>
        <v>0.057773228704651514</v>
      </c>
      <c r="D10" s="123">
        <f>D9/'Revenue summary'!D91-1</f>
        <v>0.07097591888466415</v>
      </c>
      <c r="E10" s="123">
        <f>E9/'Revenue summary'!E91-1</f>
        <v>0.09423872464937944</v>
      </c>
      <c r="F10" s="123">
        <f>F9/'Revenue summary'!F91-1</f>
        <v>0.06758705955079325</v>
      </c>
      <c r="G10" s="123">
        <f>G9/'Revenue summary'!G91-1</f>
        <v>0.07312952109403881</v>
      </c>
      <c r="H10" s="123">
        <f>H9/'Revenue summary'!H91-1</f>
        <v>0.09085044618858196</v>
      </c>
      <c r="I10" s="123">
        <f>I9/'Revenue summary'!I91-1</f>
        <v>0.10374753451676533</v>
      </c>
      <c r="J10" s="127">
        <f>J9/'Revenue summary'!J91-1</f>
        <v>0.05388002540436321</v>
      </c>
      <c r="K10" s="13"/>
    </row>
    <row r="11">
      <c r="A11" s="3"/>
      <c r="B11" s="67" t="s">
        <v>157</v>
      </c>
      <c r="C11" s="5"/>
      <c r="D11" s="5">
        <f>D9-C9</f>
        <v>839</v>
      </c>
      <c r="E11" s="5">
        <f>E9-D9</f>
        <v>705</v>
      </c>
      <c r="F11" s="5">
        <f>F9-E9</f>
        <v>-483</v>
      </c>
      <c r="G11" s="5"/>
      <c r="H11" s="5">
        <f>H9-F9</f>
        <v>-216</v>
      </c>
      <c r="I11" s="5">
        <f>I9-H9</f>
        <v>1046</v>
      </c>
      <c r="J11" s="31">
        <f>J9-I9</f>
        <v>237.32887551031854</v>
      </c>
      <c r="K11" s="13"/>
    </row>
    <row r="12">
      <c r="A12" s="3"/>
      <c r="B12" s="67" t="s">
        <v>276</v>
      </c>
      <c r="C12" s="6">
        <v>3031</v>
      </c>
      <c r="D12" s="6">
        <v>3274</v>
      </c>
      <c r="E12" s="6">
        <v>3484</v>
      </c>
      <c r="F12" s="6">
        <v>3555</v>
      </c>
      <c r="G12" s="5">
        <f>SUM(C12:F12)</f>
        <v>13344</v>
      </c>
      <c r="H12" s="6">
        <v>3241</v>
      </c>
      <c r="I12" s="6">
        <v>3533</v>
      </c>
      <c r="J12" s="109">
        <f>J9-('Segment - Intl Smoke-Free'!J62+'Segment - Intl Combustibles'!J40+'Segment - U.S.'!J75)</f>
        <v>3627.6584539850683</v>
      </c>
      <c r="K12" s="13" t="s">
        <v>277</v>
      </c>
    </row>
    <row r="13">
      <c r="A13" s="3"/>
      <c r="B13" s="2" t="s">
        <v>278</v>
      </c>
      <c r="C13" s="14">
        <f>C9-C12</f>
        <v>6270</v>
      </c>
      <c r="D13" s="14">
        <f>D9-D12</f>
        <v>6866</v>
      </c>
      <c r="E13" s="14">
        <f>E9-E12</f>
        <v>7361</v>
      </c>
      <c r="F13" s="14">
        <f>F9-F12</f>
        <v>6807</v>
      </c>
      <c r="G13" s="14">
        <f>G9-G12</f>
        <v>27304</v>
      </c>
      <c r="H13" s="14">
        <f>H9-H12</f>
        <v>6905</v>
      </c>
      <c r="I13" s="14">
        <f>I9-I12</f>
        <v>7659</v>
      </c>
      <c r="J13" s="72">
        <f>J9-J12</f>
        <v>7801.67042152525</v>
      </c>
      <c r="K13" s="13"/>
    </row>
    <row r="14">
      <c r="A14" s="3"/>
      <c r="B14" s="8" t="s">
        <v>66</v>
      </c>
      <c r="C14" s="29">
        <f>IFERROR(C13/C128-1,"")</f>
        <v>0.11884368308351179</v>
      </c>
      <c r="D14" s="29">
        <f>IFERROR(D13/D128-1,"")</f>
        <v>0.12061367716663951</v>
      </c>
      <c r="E14" s="29">
        <f>IFERROR(E13/E128-1,"")</f>
        <v>0.12398839517483595</v>
      </c>
      <c r="F14" s="29">
        <f>IFERROR(F13/F128-1,"")</f>
        <v>0.0825381679389312</v>
      </c>
      <c r="G14" s="29">
        <f>IFERROR(G13/G128-1,"")</f>
        <v>0.1113643764246175</v>
      </c>
      <c r="H14" s="29">
        <f>IFERROR(H13/H128-1,"")</f>
        <v>0.10127591706539074</v>
      </c>
      <c r="I14" s="29">
        <f>IFERROR(I13/I128-1,"")</f>
        <v>0.11549665016020971</v>
      </c>
      <c r="J14" s="68">
        <f>IFERROR(J13/J128-1,"")</f>
        <v>0.0598655646685573</v>
      </c>
      <c r="K14" s="13"/>
    </row>
    <row r="15">
      <c r="A15" s="3"/>
      <c r="B15" s="21" t="s">
        <v>168</v>
      </c>
      <c r="C15" s="29">
        <f>C13/C9</f>
        <v>0.6741210622513708</v>
      </c>
      <c r="D15" s="29">
        <f>D13/D9</f>
        <v>0.677120315581854</v>
      </c>
      <c r="E15" s="29">
        <f>E13/E9</f>
        <v>0.6787459658828954</v>
      </c>
      <c r="F15" s="29">
        <f>F13/F9</f>
        <v>0.6569195136074117</v>
      </c>
      <c r="G15" s="29">
        <f>G13/G9</f>
        <v>0.6717181657154103</v>
      </c>
      <c r="H15" s="29">
        <f>H13/H9</f>
        <v>0.6805637689729943</v>
      </c>
      <c r="I15" s="29">
        <f>I13/I9</f>
        <v>0.6843280914939243</v>
      </c>
      <c r="J15" s="68">
        <f>J13/J9</f>
        <v>0.6826009214103489</v>
      </c>
      <c r="K15" s="13"/>
    </row>
    <row r="16">
      <c r="A16" s="3"/>
      <c r="B16" s="8" t="s">
        <v>139</v>
      </c>
      <c r="C16" s="90">
        <f>(C15-C129)*10000</f>
        <v>367.9591724966491</v>
      </c>
      <c r="D16" s="90">
        <f>(D15-D129)*10000</f>
        <v>299.93150393852306</v>
      </c>
      <c r="E16" s="90">
        <f>(E15-E129)*10000</f>
        <v>179.65015423809461</v>
      </c>
      <c r="F16" s="90">
        <f>(F15-F129)*10000</f>
        <v>90.72820840051344</v>
      </c>
      <c r="G16" s="90">
        <f>(G15-G129)*10000</f>
        <v>231.09474654636307</v>
      </c>
      <c r="H16" s="90">
        <f>(H15-H129)*10000</f>
        <v>64.42706721623503</v>
      </c>
      <c r="I16" s="90">
        <f>(I15-I129)*10000</f>
        <v>72.07775912070224</v>
      </c>
      <c r="J16" s="104">
        <f>(J15-J129)*10000</f>
        <v>38.54955527453519</v>
      </c>
      <c r="K16" s="13"/>
    </row>
    <row r="17" ht="24.75">
      <c r="A17" s="3"/>
      <c r="B17" s="52" t="s">
        <v>279</v>
      </c>
      <c r="C17" s="19">
        <v>2428</v>
      </c>
      <c r="D17" s="19">
        <v>2988</v>
      </c>
      <c r="E17" s="19">
        <v>3058</v>
      </c>
      <c r="F17" s="19">
        <v>3245</v>
      </c>
      <c r="G17" s="17">
        <f>SUM(C17:F17)</f>
        <v>11719</v>
      </c>
      <c r="H17" s="19">
        <v>2857</v>
      </c>
      <c r="I17" s="19">
        <v>2981</v>
      </c>
      <c r="J17" s="1">
        <f>J13-J20-J102</f>
        <v>2929.8488270435428</v>
      </c>
      <c r="K17" s="42" t="s">
        <v>280</v>
      </c>
    </row>
    <row r="18">
      <c r="A18" s="3"/>
      <c r="B18" s="8" t="s">
        <v>281</v>
      </c>
      <c r="C18" s="29">
        <f>C17/C9</f>
        <v>0.2610471992258897</v>
      </c>
      <c r="D18" s="29">
        <f>D17/D9</f>
        <v>0.29467455621301775</v>
      </c>
      <c r="E18" s="29">
        <f>E17/E9</f>
        <v>0.28197325956662056</v>
      </c>
      <c r="F18" s="29">
        <f>F17/F9</f>
        <v>0.31316348195329086</v>
      </c>
      <c r="G18" s="29">
        <f>G17/G9</f>
        <v>0.28830446762448336</v>
      </c>
      <c r="H18" s="29">
        <f>H17/H9</f>
        <v>0.2815888034693475</v>
      </c>
      <c r="I18" s="29">
        <f>I17/I9</f>
        <v>0.2663509649749821</v>
      </c>
      <c r="J18" s="68">
        <f>J17/J9</f>
        <v>0.256344782703851</v>
      </c>
      <c r="K18" s="13"/>
    </row>
    <row r="19">
      <c r="A19" s="3"/>
      <c r="B19" s="8" t="s">
        <v>139</v>
      </c>
      <c r="C19" s="90"/>
      <c r="D19" s="90"/>
      <c r="E19" s="90"/>
      <c r="F19" s="90"/>
      <c r="G19" s="90"/>
      <c r="H19" s="90">
        <f>(H18-C18)*10000</f>
        <v>205.416042434578</v>
      </c>
      <c r="I19" s="90">
        <f>(I18-D18)*10000</f>
        <v>-283.2359123803563</v>
      </c>
      <c r="J19" s="104">
        <f>(J18-E18)*10000</f>
        <v>-256.2847686276953</v>
      </c>
      <c r="K19" s="13"/>
    </row>
    <row r="20">
      <c r="A20" s="3"/>
      <c r="B20" s="67" t="s">
        <v>282</v>
      </c>
      <c r="C20" s="6">
        <v>0</v>
      </c>
      <c r="D20" s="6">
        <v>41</v>
      </c>
      <c r="E20" s="6">
        <v>0</v>
      </c>
      <c r="F20" s="6">
        <v>0</v>
      </c>
      <c r="G20" s="5">
        <f>SUM(C20:F20)</f>
        <v>41</v>
      </c>
      <c r="H20" s="6">
        <v>0</v>
      </c>
      <c r="I20" s="6">
        <v>0</v>
      </c>
      <c r="J20" s="20">
        <v>0</v>
      </c>
      <c r="K20" s="13"/>
    </row>
    <row r="21">
      <c r="A21" s="3"/>
      <c r="B21" s="2" t="s">
        <v>283</v>
      </c>
      <c r="C21" s="14">
        <f>C13-C17-C20</f>
        <v>3842</v>
      </c>
      <c r="D21" s="14">
        <f>D13-D17-D20</f>
        <v>3837</v>
      </c>
      <c r="E21" s="14">
        <f>E13-E17-E20</f>
        <v>4303</v>
      </c>
      <c r="F21" s="14">
        <f>F13-F17-F20</f>
        <v>3562</v>
      </c>
      <c r="G21" s="14">
        <f>G13-G17-G20</f>
        <v>15544</v>
      </c>
      <c r="H21" s="14">
        <f>H13-H17-H20</f>
        <v>4048</v>
      </c>
      <c r="I21" s="14">
        <f>I13-I17-I20</f>
        <v>4678</v>
      </c>
      <c r="J21" s="72">
        <f>J13-J17-J20</f>
        <v>4871.8215944817075</v>
      </c>
      <c r="K21" s="13"/>
    </row>
    <row r="22">
      <c r="A22" s="3"/>
      <c r="B22" s="67" t="s">
        <v>284</v>
      </c>
      <c r="C22" s="6">
        <v>298</v>
      </c>
      <c r="D22" s="6">
        <v>125</v>
      </c>
      <c r="E22" s="6">
        <v>40</v>
      </c>
      <c r="F22" s="6">
        <v>189</v>
      </c>
      <c r="G22" s="5">
        <f>SUM(C22:F22)</f>
        <v>652</v>
      </c>
      <c r="H22" s="6">
        <v>155</v>
      </c>
      <c r="I22" s="6">
        <v>148</v>
      </c>
      <c r="J22" s="20">
        <v>100</v>
      </c>
      <c r="K22" s="13" t="s">
        <v>285</v>
      </c>
    </row>
    <row r="23">
      <c r="A23" s="3"/>
      <c r="B23" s="8" t="s">
        <v>66</v>
      </c>
      <c r="C23" s="29">
        <f>IFERROR(C22/C130-1,"")</f>
        <v>-0.10240963855421692</v>
      </c>
      <c r="D23" s="29">
        <f>IFERROR(D22/D130-1,"")</f>
        <v>-0.25149700598802394</v>
      </c>
      <c r="E23" s="29">
        <f>IFERROR(E22/E130-1,"")</f>
        <v>-0.6551724137931034</v>
      </c>
      <c r="F23" s="29">
        <f>IFERROR(F22/F130-1,"")</f>
        <v>0.4538461538461538</v>
      </c>
      <c r="G23" s="29">
        <f>IFERROR(G22/G130-1,"")</f>
        <v>-0.12483221476510065</v>
      </c>
      <c r="H23" s="29">
        <f>IFERROR(H22/H130-1,"")</f>
        <v>-0.47986577181208057</v>
      </c>
      <c r="I23" s="29">
        <f>IFERROR(I22/I130-1,"")</f>
        <v>0.18399999999999994</v>
      </c>
      <c r="J23" s="68">
        <f>IFERROR(J22/J130-1,"")</f>
        <v>1.5</v>
      </c>
      <c r="K23" s="13"/>
    </row>
    <row r="24">
      <c r="A24" s="3"/>
      <c r="B24" s="67" t="s">
        <v>157</v>
      </c>
      <c r="C24" s="5"/>
      <c r="D24" s="5">
        <f>D22-C22</f>
        <v>-173</v>
      </c>
      <c r="E24" s="5">
        <f>E22-D22</f>
        <v>-85</v>
      </c>
      <c r="F24" s="5">
        <f>F22-E22</f>
        <v>149</v>
      </c>
      <c r="G24" s="5"/>
      <c r="H24" s="5">
        <f>H22-F22</f>
        <v>-34</v>
      </c>
      <c r="I24" s="5">
        <f>I22-H22</f>
        <v>-7</v>
      </c>
      <c r="J24" s="31">
        <f>J22-I22</f>
        <v>-48</v>
      </c>
      <c r="K24" s="13"/>
    </row>
    <row r="25">
      <c r="A25" s="3"/>
      <c r="B25" s="2" t="s">
        <v>286</v>
      </c>
      <c r="C25" s="14">
        <f>C21-C22</f>
        <v>3544</v>
      </c>
      <c r="D25" s="14">
        <f>D21-D22</f>
        <v>3712</v>
      </c>
      <c r="E25" s="14">
        <f>E21-E22</f>
        <v>4263</v>
      </c>
      <c r="F25" s="14">
        <f>F21-F22</f>
        <v>3373</v>
      </c>
      <c r="G25" s="14">
        <f>G21-G22</f>
        <v>14892</v>
      </c>
      <c r="H25" s="14">
        <f>H21-H22</f>
        <v>3893</v>
      </c>
      <c r="I25" s="14">
        <f>I21-I22</f>
        <v>4530</v>
      </c>
      <c r="J25" s="72">
        <f>J21-J22</f>
        <v>4771.8215944817075</v>
      </c>
      <c r="K25" s="13"/>
    </row>
    <row r="26">
      <c r="A26" s="3"/>
      <c r="B26" s="8" t="s">
        <v>66</v>
      </c>
      <c r="C26" s="29">
        <f>IFERROR(C25/C131-1,"")</f>
        <v>0.1638752052545156</v>
      </c>
      <c r="D26" s="29">
        <f>IFERROR(D25/D131-1,"")</f>
        <v>0.07781649245063882</v>
      </c>
      <c r="E26" s="29">
        <f>IFERROR(E25/E131-1,"")</f>
        <v>0.16666666666666674</v>
      </c>
      <c r="F26" s="29">
        <f>IFERROR(F25/F131-1,"")</f>
        <v>0.03498005523166614</v>
      </c>
      <c r="G26" s="29">
        <f>IFERROR(G25/G131-1,"")</f>
        <v>0.1111774362035518</v>
      </c>
      <c r="H26" s="29">
        <f>IFERROR(H25/H131-1,"")</f>
        <v>0.0984762979683973</v>
      </c>
      <c r="I26" s="29">
        <f>IFERROR(I25/I131-1,"")</f>
        <v>0.22036637931034475</v>
      </c>
      <c r="J26" s="68">
        <f>IFERROR(J25/J131-1,"")</f>
        <v>0.11935763417351808</v>
      </c>
      <c r="K26" s="13"/>
    </row>
    <row r="27">
      <c r="A27" s="3"/>
      <c r="B27" s="67" t="s">
        <v>157</v>
      </c>
      <c r="C27" s="5"/>
      <c r="D27" s="5">
        <f>D25-C25</f>
        <v>168</v>
      </c>
      <c r="E27" s="5">
        <f>E25-D25</f>
        <v>551</v>
      </c>
      <c r="F27" s="5">
        <f>F25-E25</f>
        <v>-890</v>
      </c>
      <c r="G27" s="5"/>
      <c r="H27" s="5">
        <f>H25-F25</f>
        <v>520</v>
      </c>
      <c r="I27" s="5">
        <f>I25-H25</f>
        <v>637</v>
      </c>
      <c r="J27" s="31">
        <f>J25-I25</f>
        <v>241.8215944817075</v>
      </c>
      <c r="K27" s="13"/>
    </row>
    <row r="28">
      <c r="A28" s="3"/>
      <c r="B28" s="21" t="s">
        <v>287</v>
      </c>
      <c r="C28" s="29">
        <f>C25/C9</f>
        <v>0.3810342973873777</v>
      </c>
      <c r="D28" s="29">
        <f>D25/D9</f>
        <v>0.3660749506903353</v>
      </c>
      <c r="E28" s="29">
        <f>E25/E9</f>
        <v>0.39308437067773166</v>
      </c>
      <c r="F28" s="29">
        <f>F25/F9</f>
        <v>0.3255163095927427</v>
      </c>
      <c r="G28" s="29">
        <f>G25/G9</f>
        <v>0.36636488880141704</v>
      </c>
      <c r="H28" s="29">
        <f>H25/H9</f>
        <v>0.38369800906761287</v>
      </c>
      <c r="I28" s="29">
        <f>I25/I9</f>
        <v>0.40475339528234455</v>
      </c>
      <c r="J28" s="68">
        <f>J25/J9</f>
        <v>0.41750671858837785</v>
      </c>
      <c r="K28" s="13"/>
    </row>
    <row r="29">
      <c r="A29" s="3"/>
      <c r="B29" s="8" t="s">
        <v>139</v>
      </c>
      <c r="C29" s="90">
        <f>(C28-C132)*10000</f>
        <v>347.36105643945416</v>
      </c>
      <c r="D29" s="90">
        <f>(D28-D132)*10000</f>
        <v>23.233664064316038</v>
      </c>
      <c r="E29" s="90">
        <f>(E28-E132)*10000</f>
        <v>244.03107434870174</v>
      </c>
      <c r="F29" s="90">
        <f>(F28-F132)*10000</f>
        <v>-102.55378023165007</v>
      </c>
      <c r="G29" s="90">
        <f>(G28-G132)*10000</f>
        <v>125.4472934210027</v>
      </c>
      <c r="H29" s="90">
        <f>(H28-H132)*10000</f>
        <v>26.637116802351592</v>
      </c>
      <c r="I29" s="90">
        <f>(I28-I132)*10000</f>
        <v>386.78444592009254</v>
      </c>
      <c r="J29" s="104">
        <f>(J28-J132)*10000</f>
        <v>244.2234791064618</v>
      </c>
      <c r="K29" s="13"/>
    </row>
    <row r="30">
      <c r="A30" s="3"/>
      <c r="B30" s="67" t="s">
        <v>288</v>
      </c>
      <c r="C30" s="6">
        <v>241</v>
      </c>
      <c r="D30" s="6">
        <v>277</v>
      </c>
      <c r="E30" s="6">
        <v>230</v>
      </c>
      <c r="F30" s="6">
        <v>218</v>
      </c>
      <c r="G30" s="5">
        <f>SUM(C30:F30)</f>
        <v>966</v>
      </c>
      <c r="H30" s="6">
        <v>237</v>
      </c>
      <c r="I30" s="6">
        <v>243</v>
      </c>
      <c r="J30" s="20">
        <v>240</v>
      </c>
      <c r="K30" s="13" t="s">
        <v>289</v>
      </c>
    </row>
    <row r="31">
      <c r="A31" s="3"/>
      <c r="B31" s="8" t="s">
        <v>66</v>
      </c>
      <c r="C31" s="29"/>
      <c r="D31" s="29"/>
      <c r="E31" s="29"/>
      <c r="F31" s="29"/>
      <c r="G31" s="29"/>
      <c r="H31" s="29">
        <f>IFERROR(H30/C30-1,"")</f>
        <v>-0.016597510373444035</v>
      </c>
      <c r="I31" s="29">
        <f>IFERROR(I30/D30-1,"")</f>
        <v>-0.12274368231046928</v>
      </c>
      <c r="J31" s="68">
        <f>IFERROR(J30/E30-1,"")</f>
        <v>0.04347826086956519</v>
      </c>
      <c r="K31" s="13"/>
    </row>
    <row r="32">
      <c r="A32" s="3"/>
      <c r="B32" s="67" t="s">
        <v>157</v>
      </c>
      <c r="C32" s="5"/>
      <c r="D32" s="5">
        <f>D30-C30</f>
        <v>36</v>
      </c>
      <c r="E32" s="5">
        <f>E30-D30</f>
        <v>-47</v>
      </c>
      <c r="F32" s="5">
        <f>F30-E30</f>
        <v>-12</v>
      </c>
      <c r="G32" s="5"/>
      <c r="H32" s="5">
        <f>H30-F30</f>
        <v>19</v>
      </c>
      <c r="I32" s="5">
        <f>I30-H30</f>
        <v>6</v>
      </c>
      <c r="J32" s="31">
        <f>J30-I30</f>
        <v>-3</v>
      </c>
      <c r="K32" s="13"/>
    </row>
    <row r="33" ht="24.75">
      <c r="A33" s="3"/>
      <c r="B33" s="52" t="s">
        <v>290</v>
      </c>
      <c r="C33" s="19">
        <v>12</v>
      </c>
      <c r="D33" s="19">
        <v>11</v>
      </c>
      <c r="E33" s="19">
        <v>14</v>
      </c>
      <c r="F33" s="19">
        <v>9</v>
      </c>
      <c r="G33" s="17">
        <f>SUM(C33:F33)</f>
        <v>46</v>
      </c>
      <c r="H33" s="19">
        <v>-5</v>
      </c>
      <c r="I33" s="19">
        <v>-5</v>
      </c>
      <c r="J33" s="92">
        <v>-5</v>
      </c>
      <c r="K33" s="42"/>
    </row>
    <row r="34">
      <c r="A34" s="3"/>
      <c r="B34" s="2" t="s">
        <v>291</v>
      </c>
      <c r="C34" s="14">
        <f>C25-C30-C33</f>
        <v>3291</v>
      </c>
      <c r="D34" s="14">
        <f>D25-D30-D33</f>
        <v>3424</v>
      </c>
      <c r="E34" s="14">
        <f>E25-E30-E33</f>
        <v>4019</v>
      </c>
      <c r="F34" s="14">
        <f>F25-F30-F33</f>
        <v>3146</v>
      </c>
      <c r="G34" s="14">
        <f>G25-G30-G33</f>
        <v>13880</v>
      </c>
      <c r="H34" s="14">
        <f>H25-H30-H33</f>
        <v>3661</v>
      </c>
      <c r="I34" s="14">
        <f>I25-I30-I33</f>
        <v>4292</v>
      </c>
      <c r="J34" s="72">
        <f>J25-J30-J33</f>
        <v>4536.8215944817075</v>
      </c>
      <c r="K34" s="13"/>
    </row>
    <row r="35">
      <c r="A35" s="3"/>
      <c r="B35" s="67" t="s">
        <v>292</v>
      </c>
      <c r="C35" s="6">
        <v>659</v>
      </c>
      <c r="D35" s="6">
        <v>652</v>
      </c>
      <c r="E35" s="6">
        <v>751</v>
      </c>
      <c r="F35" s="6">
        <v>675</v>
      </c>
      <c r="G35" s="5">
        <f>SUM(C35:F35)</f>
        <v>2737</v>
      </c>
      <c r="H35" s="6">
        <v>676</v>
      </c>
      <c r="I35" s="6">
        <v>955</v>
      </c>
      <c r="J35" s="31">
        <f>J122*J123+J109*J124</f>
        <v>988.7572860025305</v>
      </c>
      <c r="K35" s="13"/>
    </row>
    <row r="36">
      <c r="A36" s="3"/>
      <c r="B36" s="8" t="s">
        <v>293</v>
      </c>
      <c r="C36" s="29">
        <f>C35/C34</f>
        <v>0.2002430872075357</v>
      </c>
      <c r="D36" s="29">
        <f>D35/D34</f>
        <v>0.19042056074766356</v>
      </c>
      <c r="E36" s="29">
        <f>E35/E34</f>
        <v>0.18686240358298084</v>
      </c>
      <c r="F36" s="29">
        <f>F35/F34</f>
        <v>0.21455816910362366</v>
      </c>
      <c r="G36" s="29">
        <f>G35/G34</f>
        <v>0.19719020172910662</v>
      </c>
      <c r="H36" s="29">
        <f>H35/H34</f>
        <v>0.18464900300464354</v>
      </c>
      <c r="I36" s="29">
        <f>I35/I34</f>
        <v>0.22250698974836905</v>
      </c>
      <c r="J36" s="68">
        <f>J35/J34</f>
        <v>0.2179405262938243</v>
      </c>
      <c r="K36" s="13"/>
    </row>
    <row r="37">
      <c r="A37" s="3"/>
      <c r="B37" s="8" t="s">
        <v>139</v>
      </c>
      <c r="C37" s="90"/>
      <c r="D37" s="90"/>
      <c r="E37" s="90"/>
      <c r="F37" s="90"/>
      <c r="G37" s="90"/>
      <c r="H37" s="90">
        <f>(H36-C36)*10000</f>
        <v>-155.94084202892157</v>
      </c>
      <c r="I37" s="90">
        <f>(I36-D36)*10000</f>
        <v>320.86429000705493</v>
      </c>
      <c r="J37" s="104">
        <f>(J36-E36)*10000</f>
        <v>310.7812271084345</v>
      </c>
      <c r="K37" s="13"/>
    </row>
    <row r="38" ht="24.75">
      <c r="A38" s="3"/>
      <c r="B38" s="52" t="s">
        <v>294</v>
      </c>
      <c r="C38" s="19">
        <v>0</v>
      </c>
      <c r="D38" s="19">
        <v>0</v>
      </c>
      <c r="E38" s="19">
        <v>0</v>
      </c>
      <c r="F38" s="19">
        <v>0</v>
      </c>
      <c r="G38" s="17">
        <f>SUM(C38:F38)</f>
        <v>0</v>
      </c>
      <c r="H38" s="19">
        <v>0</v>
      </c>
      <c r="I38" s="19">
        <v>511</v>
      </c>
      <c r="J38" s="92">
        <v>0</v>
      </c>
      <c r="K38" s="42"/>
    </row>
    <row r="39" ht="24.75">
      <c r="A39" s="3"/>
      <c r="B39" s="52" t="s">
        <v>295</v>
      </c>
      <c r="C39" s="19">
        <v>-205</v>
      </c>
      <c r="D39" s="19">
        <v>-376</v>
      </c>
      <c r="E39" s="19">
        <v>-345</v>
      </c>
      <c r="F39" s="19">
        <v>221</v>
      </c>
      <c r="G39" s="17">
        <f>SUM(C39:F39)</f>
        <v>-705</v>
      </c>
      <c r="H39" s="19">
        <v>403</v>
      </c>
      <c r="I39" s="19">
        <v>-159</v>
      </c>
      <c r="J39" s="1">
        <f>-J125</f>
        <v>-70</v>
      </c>
      <c r="K39" s="42" t="s">
        <v>296</v>
      </c>
    </row>
    <row r="40">
      <c r="A40" s="3"/>
      <c r="B40" s="2" t="s">
        <v>297</v>
      </c>
      <c r="C40" s="14">
        <f>C34-C35-C38-C39</f>
        <v>2837</v>
      </c>
      <c r="D40" s="14">
        <f>D34-D35-D38-D39</f>
        <v>3148</v>
      </c>
      <c r="E40" s="14">
        <f>E34-E35-E38-E39</f>
        <v>3613</v>
      </c>
      <c r="F40" s="14">
        <f>F34-F35-F38-F39</f>
        <v>2250</v>
      </c>
      <c r="G40" s="14">
        <f>G34-G35-G38-G39</f>
        <v>11848</v>
      </c>
      <c r="H40" s="14">
        <f>H34-H35-H38-H39</f>
        <v>2582</v>
      </c>
      <c r="I40" s="14">
        <f>I34-I35-I38-I39</f>
        <v>2985</v>
      </c>
      <c r="J40" s="72">
        <f>J34-J35-J38-J39</f>
        <v>3618.0643084791773</v>
      </c>
      <c r="K40" s="13"/>
    </row>
    <row r="41" ht="24.75">
      <c r="A41" s="3"/>
      <c r="B41" s="52" t="s">
        <v>298</v>
      </c>
      <c r="C41" s="19">
        <v>147</v>
      </c>
      <c r="D41" s="19">
        <v>109</v>
      </c>
      <c r="E41" s="19">
        <v>135</v>
      </c>
      <c r="F41" s="19">
        <v>109</v>
      </c>
      <c r="G41" s="17">
        <f>SUM(C41:F41)</f>
        <v>500</v>
      </c>
      <c r="H41" s="19">
        <v>144</v>
      </c>
      <c r="I41" s="19">
        <v>168</v>
      </c>
      <c r="J41" s="92">
        <v>155</v>
      </c>
      <c r="K41" s="42" t="s">
        <v>299</v>
      </c>
    </row>
    <row r="42">
      <c r="A42" s="3"/>
      <c r="B42" s="8" t="s">
        <v>66</v>
      </c>
      <c r="C42" s="29"/>
      <c r="D42" s="29"/>
      <c r="E42" s="29"/>
      <c r="F42" s="29"/>
      <c r="G42" s="29"/>
      <c r="H42" s="29">
        <f>IFERROR(H41/C41-1,"")</f>
        <v>-0.020408163265306145</v>
      </c>
      <c r="I42" s="29">
        <f>IFERROR(I41/D41-1,"")</f>
        <v>0.5412844036697249</v>
      </c>
      <c r="J42" s="68">
        <f>IFERROR(J41/E41-1,"")</f>
        <v>0.14814814814814814</v>
      </c>
      <c r="K42" s="13"/>
    </row>
    <row r="43">
      <c r="A43" s="3"/>
      <c r="B43" s="67" t="s">
        <v>157</v>
      </c>
      <c r="C43" s="5"/>
      <c r="D43" s="5">
        <f>D41-C41</f>
        <v>-38</v>
      </c>
      <c r="E43" s="5">
        <f>E41-D41</f>
        <v>26</v>
      </c>
      <c r="F43" s="5">
        <f>F41-E41</f>
        <v>-26</v>
      </c>
      <c r="G43" s="5"/>
      <c r="H43" s="5">
        <f>H41-F41</f>
        <v>35</v>
      </c>
      <c r="I43" s="5">
        <f>I41-H41</f>
        <v>24</v>
      </c>
      <c r="J43" s="31">
        <f>J41-I41</f>
        <v>-13</v>
      </c>
      <c r="K43" s="13"/>
    </row>
    <row r="44">
      <c r="A44" s="3"/>
      <c r="B44" s="2" t="s">
        <v>300</v>
      </c>
      <c r="C44" s="14">
        <f>C40-C41</f>
        <v>2690</v>
      </c>
      <c r="D44" s="14">
        <f>D40-D41</f>
        <v>3039</v>
      </c>
      <c r="E44" s="14">
        <f>E40-E41</f>
        <v>3478</v>
      </c>
      <c r="F44" s="14">
        <f>F40-F41</f>
        <v>2141</v>
      </c>
      <c r="G44" s="14">
        <f>G40-G41</f>
        <v>11348</v>
      </c>
      <c r="H44" s="14">
        <f>H40-H41</f>
        <v>2438</v>
      </c>
      <c r="I44" s="14">
        <f>I40-I41</f>
        <v>2817</v>
      </c>
      <c r="J44" s="72">
        <f>J40-J41</f>
        <v>3463.0643084791773</v>
      </c>
      <c r="K44" s="13"/>
    </row>
    <row r="45">
      <c r="A45" s="3"/>
      <c r="B45" s="8" t="s">
        <v>66</v>
      </c>
      <c r="C45" s="29"/>
      <c r="D45" s="29"/>
      <c r="E45" s="29"/>
      <c r="F45" s="29"/>
      <c r="G45" s="29"/>
      <c r="H45" s="29">
        <f>H44/C44-1</f>
        <v>-0.09368029739776951</v>
      </c>
      <c r="I45" s="29">
        <f>I44/D44-1</f>
        <v>-0.07305034550839096</v>
      </c>
      <c r="J45" s="68">
        <f>J44/E44-1</f>
        <v>-0.004294333387240612</v>
      </c>
      <c r="K45" s="13"/>
    </row>
    <row r="46">
      <c r="A46" s="3"/>
      <c r="B46" s="67" t="s">
        <v>157</v>
      </c>
      <c r="C46" s="5"/>
      <c r="D46" s="5">
        <f>D44-C44</f>
        <v>349</v>
      </c>
      <c r="E46" s="5">
        <f>E44-D44</f>
        <v>439</v>
      </c>
      <c r="F46" s="5">
        <f>F44-E44</f>
        <v>-1337</v>
      </c>
      <c r="G46" s="5"/>
      <c r="H46" s="5">
        <f>H44-F44</f>
        <v>297</v>
      </c>
      <c r="I46" s="5">
        <f>I44-H44</f>
        <v>379</v>
      </c>
      <c r="J46" s="31">
        <f>J44-I44</f>
        <v>646.0643084791773</v>
      </c>
      <c r="K46" s="13"/>
    </row>
    <row r="47">
      <c r="A47" s="3"/>
      <c r="B47" s="21" t="s">
        <v>301</v>
      </c>
      <c r="C47" s="29">
        <f>C44/C9</f>
        <v>0.2892162133103967</v>
      </c>
      <c r="D47" s="29">
        <f>D44/D9</f>
        <v>0.2997041420118343</v>
      </c>
      <c r="E47" s="29">
        <f>E44/E9</f>
        <v>0.3207007837713232</v>
      </c>
      <c r="F47" s="29">
        <f>F44/F9</f>
        <v>0.20662034356301873</v>
      </c>
      <c r="G47" s="29">
        <f>G44/G9</f>
        <v>0.279177327297776</v>
      </c>
      <c r="H47" s="29">
        <f>H44/H9</f>
        <v>0.2402917405874236</v>
      </c>
      <c r="I47" s="29">
        <f>I44/I9</f>
        <v>0.2516976411722659</v>
      </c>
      <c r="J47" s="68">
        <f>J44/J9</f>
        <v>0.30299804530951097</v>
      </c>
      <c r="K47" s="13"/>
    </row>
    <row r="48">
      <c r="A48" s="3"/>
      <c r="B48" s="8" t="s">
        <v>139</v>
      </c>
      <c r="C48" s="90"/>
      <c r="D48" s="90"/>
      <c r="E48" s="90"/>
      <c r="F48" s="90"/>
      <c r="G48" s="90"/>
      <c r="H48" s="90">
        <f>(H47-C47)*10000</f>
        <v>-489.2447272297309</v>
      </c>
      <c r="I48" s="90">
        <f>(I47-D47)*10000</f>
        <v>-480.06500839568423</v>
      </c>
      <c r="J48" s="104">
        <f>(J47-E47)*10000</f>
        <v>-177.0273846181225</v>
      </c>
      <c r="K48" s="13"/>
    </row>
    <row r="49" ht="24.75">
      <c r="A49" s="3"/>
      <c r="B49" s="52" t="s">
        <v>302</v>
      </c>
      <c r="C49" s="19">
        <v>8</v>
      </c>
      <c r="D49" s="19">
        <v>8</v>
      </c>
      <c r="E49" s="19">
        <v>10</v>
      </c>
      <c r="F49" s="19">
        <v>6</v>
      </c>
      <c r="G49" s="17">
        <f>SUM(C49:F49)</f>
        <v>32</v>
      </c>
      <c r="H49" s="19">
        <v>7</v>
      </c>
      <c r="I49" s="19">
        <v>7</v>
      </c>
      <c r="J49" s="92">
        <v>7</v>
      </c>
      <c r="K49" s="42" t="s">
        <v>303</v>
      </c>
    </row>
    <row r="50">
      <c r="A50" s="3"/>
      <c r="B50" s="2" t="s">
        <v>304</v>
      </c>
      <c r="C50" s="14">
        <f>C44-C49</f>
        <v>2682</v>
      </c>
      <c r="D50" s="14">
        <f>D44-D49</f>
        <v>3031</v>
      </c>
      <c r="E50" s="14">
        <f>E44-E49</f>
        <v>3468</v>
      </c>
      <c r="F50" s="14">
        <f>F44-F49</f>
        <v>2135</v>
      </c>
      <c r="G50" s="14">
        <f>G44-G49</f>
        <v>11316</v>
      </c>
      <c r="H50" s="14">
        <f>H44-H49</f>
        <v>2431</v>
      </c>
      <c r="I50" s="14">
        <f>I44-I49</f>
        <v>2810</v>
      </c>
      <c r="J50" s="72">
        <f>J44-J49</f>
        <v>3456.0643084791773</v>
      </c>
      <c r="K50" s="13"/>
    </row>
    <row r="51">
      <c r="A51" s="3"/>
      <c r="B51" s="67" t="s">
        <v>305</v>
      </c>
      <c r="C51" s="56">
        <f>'Share Count'!C18</f>
        <v>1556</v>
      </c>
      <c r="D51" s="56">
        <f>'Share Count'!D18</f>
        <v>1557</v>
      </c>
      <c r="E51" s="56">
        <f>'Share Count'!E18</f>
        <v>1557</v>
      </c>
      <c r="F51" s="56">
        <f>'Share Count'!F18</f>
        <v>1557</v>
      </c>
      <c r="G51" s="56">
        <f>'Share Count'!G18</f>
        <v>1556</v>
      </c>
      <c r="H51" s="56">
        <f>'Share Count'!H18</f>
        <v>1558</v>
      </c>
      <c r="I51" s="56">
        <f>'Share Count'!I18</f>
        <v>1559</v>
      </c>
      <c r="J51" s="109">
        <f>'Share Count'!J18</f>
        <v>1558.602881</v>
      </c>
      <c r="K51" s="13"/>
    </row>
    <row r="52">
      <c r="A52" s="3"/>
      <c r="B52" s="67" t="s">
        <v>306</v>
      </c>
      <c r="C52" s="56">
        <f>'Share Count'!C20</f>
        <v>1557</v>
      </c>
      <c r="D52" s="56">
        <f>'Share Count'!D20</f>
        <v>1558</v>
      </c>
      <c r="E52" s="56">
        <f>'Share Count'!E20</f>
        <v>1558</v>
      </c>
      <c r="F52" s="56">
        <f>'Share Count'!F20</f>
        <v>1558</v>
      </c>
      <c r="G52" s="56">
        <f>'Share Count'!G20</f>
        <v>1558</v>
      </c>
      <c r="H52" s="56">
        <f>'Share Count'!H20</f>
        <v>1559</v>
      </c>
      <c r="I52" s="56">
        <f>'Share Count'!I20</f>
        <v>1560</v>
      </c>
      <c r="J52" s="109">
        <f>'Share Count'!J20</f>
        <v>1559.602881</v>
      </c>
      <c r="K52" s="13"/>
    </row>
    <row r="53">
      <c r="A53" s="3"/>
      <c r="B53" s="16" t="s">
        <v>307</v>
      </c>
      <c r="C53" s="26">
        <f>C50/C51</f>
        <v>1.7236503856041132</v>
      </c>
      <c r="D53" s="26">
        <f>D50/D51</f>
        <v>1.9466923570969814</v>
      </c>
      <c r="E53" s="26">
        <f>E50/E51</f>
        <v>2.2273603082851636</v>
      </c>
      <c r="F53" s="26">
        <f>F50/F51</f>
        <v>1.3712267180475273</v>
      </c>
      <c r="G53" s="26">
        <f>G50/G51</f>
        <v>7.272493573264781</v>
      </c>
      <c r="H53" s="26">
        <f>H50/H51</f>
        <v>1.5603337612323491</v>
      </c>
      <c r="I53" s="26">
        <f>I50/I51</f>
        <v>1.8024374599101989</v>
      </c>
      <c r="J53" s="63">
        <f>J50/J51</f>
        <v>2.217411728548689</v>
      </c>
      <c r="K53" s="13"/>
    </row>
    <row r="54">
      <c r="A54" s="3"/>
      <c r="B54" s="2" t="s">
        <v>308</v>
      </c>
      <c r="C54" s="141">
        <f>C50/C52</f>
        <v>1.722543352601156</v>
      </c>
      <c r="D54" s="141">
        <f>D50/D52</f>
        <v>1.9454428754813864</v>
      </c>
      <c r="E54" s="141">
        <f>E50/E52</f>
        <v>2.225930680359435</v>
      </c>
      <c r="F54" s="141">
        <f>F50/F52</f>
        <v>1.3703465982028242</v>
      </c>
      <c r="G54" s="141">
        <f>G50/G52</f>
        <v>7.2631578947368425</v>
      </c>
      <c r="H54" s="141">
        <f>H50/H52</f>
        <v>1.5593329057087877</v>
      </c>
      <c r="I54" s="141">
        <f>I50/I52</f>
        <v>1.8012820512820513</v>
      </c>
      <c r="J54" s="156">
        <f>J50/J52</f>
        <v>2.215989948840815</v>
      </c>
      <c r="K54" s="13"/>
    </row>
    <row r="55">
      <c r="A55" s="3"/>
      <c r="B55" s="8" t="s">
        <v>66</v>
      </c>
      <c r="C55" s="29"/>
      <c r="D55" s="29"/>
      <c r="E55" s="29"/>
      <c r="F55" s="29"/>
      <c r="G55" s="29"/>
      <c r="H55" s="29">
        <f>H54/C54-1</f>
        <v>-0.09474968896771718</v>
      </c>
      <c r="I55" s="29">
        <f>I54/D54-1</f>
        <v>-0.07410180273921607</v>
      </c>
      <c r="J55" s="68">
        <f>J54/E54-1</f>
        <v>-0.004465876501156374</v>
      </c>
      <c r="K55" s="13"/>
    </row>
    <row r="56">
      <c r="A56" s="3"/>
      <c r="B56" s="67" t="s">
        <v>309</v>
      </c>
      <c r="C56" s="26"/>
      <c r="D56" s="26">
        <f>D54-C54</f>
        <v>0.2228995228802304</v>
      </c>
      <c r="E56" s="26">
        <f>E54-D54</f>
        <v>0.2804878048780486</v>
      </c>
      <c r="F56" s="26">
        <f>F54-E54</f>
        <v>-0.8555840821566107</v>
      </c>
      <c r="G56" s="26"/>
      <c r="H56" s="26">
        <f>H54-F54</f>
        <v>0.18898630750596346</v>
      </c>
      <c r="I56" s="26">
        <f>I54-H54</f>
        <v>0.24194914557326364</v>
      </c>
      <c r="J56" s="63">
        <f>J54-I54</f>
        <v>0.41470789755876347</v>
      </c>
      <c r="K56" s="13"/>
    </row>
    <row r="57" ht="24.75">
      <c r="A57" s="3"/>
      <c r="B57" s="52" t="s">
        <v>310</v>
      </c>
      <c r="C57" s="89">
        <f>Inputs!C14</f>
        <v>1.72</v>
      </c>
      <c r="D57" s="89">
        <f>Inputs!D14</f>
        <v>1.95</v>
      </c>
      <c r="E57" s="89">
        <f>Inputs!E14</f>
        <v>2.23</v>
      </c>
      <c r="F57" s="89">
        <f>Inputs!F14</f>
        <v>1.37</v>
      </c>
      <c r="G57" s="18"/>
      <c r="H57" s="89">
        <f>Inputs!H14</f>
        <v>1.56</v>
      </c>
      <c r="I57" s="89">
        <f>Inputs!I14</f>
        <v>1.8</v>
      </c>
      <c r="J57" s="37"/>
      <c r="K57" s="42"/>
    </row>
    <row r="58" ht="24.75">
      <c r="A58" s="3"/>
      <c r="B58" s="122" t="s">
        <v>311</v>
      </c>
      <c r="C58" s="18">
        <f>ROUND(C54-C57,2)</f>
        <v>0</v>
      </c>
      <c r="D58" s="18">
        <f>ROUND(D54-D57,2)</f>
        <v>0</v>
      </c>
      <c r="E58" s="18">
        <f>ROUND(E54-E57,2)</f>
        <v>0</v>
      </c>
      <c r="F58" s="18">
        <f>ROUND(F54-F57,2)</f>
        <v>0</v>
      </c>
      <c r="G58" s="18"/>
      <c r="H58" s="18">
        <f>ROUND(H54-H57,2)</f>
        <v>0</v>
      </c>
      <c r="I58" s="18">
        <f>ROUND(I54-I57,2)</f>
        <v>0</v>
      </c>
      <c r="J58" s="37"/>
      <c r="K58" s="42" t="s">
        <v>312</v>
      </c>
    </row>
    <row r="59">
      <c r="A59" s="3"/>
      <c r="B59" s="3"/>
      <c r="C59" s="3"/>
      <c r="D59" s="3"/>
      <c r="E59" s="3"/>
      <c r="F59" s="3"/>
      <c r="G59" s="3"/>
      <c r="H59" s="3"/>
      <c r="I59" s="3"/>
      <c r="J59" s="50"/>
      <c r="K59" s="13"/>
    </row>
    <row r="60">
      <c r="A60" s="3"/>
      <c r="B60" s="70" t="s">
        <v>313</v>
      </c>
      <c r="C60" s="3"/>
      <c r="D60" s="3"/>
      <c r="E60" s="3"/>
      <c r="F60" s="3"/>
      <c r="G60" s="3"/>
      <c r="H60" s="3"/>
      <c r="I60" s="3"/>
      <c r="J60" s="50"/>
      <c r="K60" s="13"/>
    </row>
    <row r="61">
      <c r="A61" s="3"/>
      <c r="B61" s="2" t="s">
        <v>314</v>
      </c>
      <c r="C61" s="24">
        <f>C54</f>
        <v>1.722543352601156</v>
      </c>
      <c r="D61" s="24">
        <f>D54</f>
        <v>1.9454428754813864</v>
      </c>
      <c r="E61" s="24">
        <f>E54</f>
        <v>2.225930680359435</v>
      </c>
      <c r="F61" s="24">
        <f>F54</f>
        <v>1.3703465982028242</v>
      </c>
      <c r="G61" s="24">
        <f>G54</f>
        <v>7.2631578947368425</v>
      </c>
      <c r="H61" s="24">
        <f>H54</f>
        <v>1.5593329057087877</v>
      </c>
      <c r="I61" s="24">
        <f>I54</f>
        <v>1.8012820512820513</v>
      </c>
      <c r="J61" s="51">
        <f>J54</f>
        <v>2.215989948840815</v>
      </c>
      <c r="K61" s="13"/>
    </row>
    <row r="62">
      <c r="A62" s="3"/>
      <c r="B62" s="67" t="s">
        <v>315</v>
      </c>
      <c r="C62" s="45">
        <v>0.12</v>
      </c>
      <c r="D62" s="45">
        <v>0.12</v>
      </c>
      <c r="E62" s="45">
        <v>0.13</v>
      </c>
      <c r="F62" s="45">
        <v>0.13</v>
      </c>
      <c r="G62" s="45">
        <v>0.5</v>
      </c>
      <c r="H62" s="45">
        <v>0.12</v>
      </c>
      <c r="I62" s="45">
        <v>0.13</v>
      </c>
      <c r="J62" s="63">
        <f>-J110*(1-J124)/J52</f>
        <v>0.12875072394791248</v>
      </c>
      <c r="K62" s="13" t="s">
        <v>316</v>
      </c>
    </row>
    <row r="63">
      <c r="A63" s="3"/>
      <c r="B63" s="67" t="s">
        <v>317</v>
      </c>
      <c r="C63" s="45">
        <v>0</v>
      </c>
      <c r="D63" s="45">
        <v>0.13</v>
      </c>
      <c r="E63" s="45">
        <v>0</v>
      </c>
      <c r="F63" s="45">
        <v>0.01</v>
      </c>
      <c r="G63" s="45">
        <v>0.14</v>
      </c>
      <c r="H63" s="45">
        <v>0.01</v>
      </c>
      <c r="I63" s="45">
        <v>0</v>
      </c>
      <c r="J63" s="30">
        <v>0</v>
      </c>
      <c r="K63" s="13"/>
    </row>
    <row r="64" ht="24.75">
      <c r="A64" s="3"/>
      <c r="B64" s="52" t="s">
        <v>318</v>
      </c>
      <c r="C64" s="35">
        <v>0</v>
      </c>
      <c r="D64" s="35">
        <v>0.03</v>
      </c>
      <c r="E64" s="35">
        <v>0</v>
      </c>
      <c r="F64" s="35">
        <v>0</v>
      </c>
      <c r="G64" s="35">
        <v>0.03</v>
      </c>
      <c r="H64" s="35">
        <v>0</v>
      </c>
      <c r="I64" s="35">
        <v>0</v>
      </c>
      <c r="J64" s="146">
        <v>0</v>
      </c>
      <c r="K64" s="42"/>
    </row>
    <row r="65" ht="24.75">
      <c r="A65" s="3"/>
      <c r="B65" s="52" t="s">
        <v>319</v>
      </c>
      <c r="C65" s="35">
        <v>-0.09</v>
      </c>
      <c r="D65" s="35">
        <v>-0.17</v>
      </c>
      <c r="E65" s="35">
        <v>-0.07</v>
      </c>
      <c r="F65" s="35">
        <v>0.14</v>
      </c>
      <c r="G65" s="35">
        <v>-0.18</v>
      </c>
      <c r="H65" s="35">
        <v>0.22</v>
      </c>
      <c r="I65" s="35">
        <v>-0.06</v>
      </c>
      <c r="J65" s="146">
        <v>0</v>
      </c>
      <c r="K65" s="42"/>
    </row>
    <row r="66" ht="24.75">
      <c r="A66" s="3"/>
      <c r="B66" s="52" t="s">
        <v>320</v>
      </c>
      <c r="C66" s="35">
        <v>-0.06</v>
      </c>
      <c r="D66" s="35">
        <v>-0.18</v>
      </c>
      <c r="E66" s="35">
        <v>0</v>
      </c>
      <c r="F66" s="35">
        <v>-0.01</v>
      </c>
      <c r="G66" s="35">
        <v>-0.25</v>
      </c>
      <c r="H66" s="35">
        <v>0.05</v>
      </c>
      <c r="I66" s="35">
        <v>0.01</v>
      </c>
      <c r="J66" s="146">
        <v>0</v>
      </c>
      <c r="K66" s="42"/>
    </row>
    <row r="67" ht="24.75">
      <c r="A67" s="3"/>
      <c r="B67" s="52" t="s">
        <v>321</v>
      </c>
      <c r="C67" s="35">
        <v>0</v>
      </c>
      <c r="D67" s="35">
        <v>0</v>
      </c>
      <c r="E67" s="35">
        <v>0.1</v>
      </c>
      <c r="F67" s="35">
        <v>0</v>
      </c>
      <c r="G67" s="35">
        <v>0.1</v>
      </c>
      <c r="H67" s="35">
        <v>0</v>
      </c>
      <c r="I67" s="35">
        <v>0</v>
      </c>
      <c r="J67" s="146">
        <v>0</v>
      </c>
      <c r="K67" s="42"/>
    </row>
    <row r="68" ht="24.75">
      <c r="A68" s="3"/>
      <c r="B68" s="52" t="s">
        <v>322</v>
      </c>
      <c r="C68" s="35">
        <v>0</v>
      </c>
      <c r="D68" s="35">
        <v>0</v>
      </c>
      <c r="E68" s="35">
        <v>-0.1</v>
      </c>
      <c r="F68" s="35">
        <v>0</v>
      </c>
      <c r="G68" s="35">
        <v>-0.1</v>
      </c>
      <c r="H68" s="35">
        <v>0</v>
      </c>
      <c r="I68" s="35">
        <v>0</v>
      </c>
      <c r="J68" s="146">
        <v>0</v>
      </c>
      <c r="K68" s="42"/>
    </row>
    <row r="69" ht="24.75">
      <c r="A69" s="3"/>
      <c r="B69" s="52" t="s">
        <v>323</v>
      </c>
      <c r="C69" s="35">
        <v>0</v>
      </c>
      <c r="D69" s="35">
        <v>0</v>
      </c>
      <c r="E69" s="35">
        <v>0.09</v>
      </c>
      <c r="F69" s="35">
        <v>0</v>
      </c>
      <c r="G69" s="35">
        <v>0.09</v>
      </c>
      <c r="H69" s="35">
        <v>0</v>
      </c>
      <c r="I69" s="35">
        <v>0</v>
      </c>
      <c r="J69" s="146">
        <v>0</v>
      </c>
      <c r="K69" s="42"/>
    </row>
    <row r="70" ht="24.75">
      <c r="A70" s="3"/>
      <c r="B70" s="52" t="s">
        <v>324</v>
      </c>
      <c r="C70" s="35">
        <v>0</v>
      </c>
      <c r="D70" s="35">
        <v>0</v>
      </c>
      <c r="E70" s="35">
        <v>0</v>
      </c>
      <c r="F70" s="35">
        <v>0.06</v>
      </c>
      <c r="G70" s="35">
        <v>0.06</v>
      </c>
      <c r="H70" s="35">
        <v>0</v>
      </c>
      <c r="I70" s="35">
        <v>0</v>
      </c>
      <c r="J70" s="146">
        <v>0</v>
      </c>
      <c r="K70" s="42"/>
    </row>
    <row r="71" ht="24.75">
      <c r="A71" s="3"/>
      <c r="B71" s="52" t="s">
        <v>294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0.33</v>
      </c>
      <c r="J71" s="146">
        <v>0</v>
      </c>
      <c r="K71" s="42"/>
    </row>
    <row r="72">
      <c r="A72" s="3"/>
      <c r="B72" s="67" t="s">
        <v>325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  <c r="H72" s="45">
        <v>0</v>
      </c>
      <c r="I72" s="45">
        <v>-0.01</v>
      </c>
      <c r="J72" s="30">
        <v>0</v>
      </c>
      <c r="K72" s="13"/>
    </row>
    <row r="73">
      <c r="A73" s="3"/>
      <c r="B73" s="67" t="s">
        <v>326</v>
      </c>
      <c r="C73" s="45">
        <v>0</v>
      </c>
      <c r="D73" s="45">
        <v>0.03</v>
      </c>
      <c r="E73" s="45">
        <v>-0.14</v>
      </c>
      <c r="F73" s="45">
        <v>0</v>
      </c>
      <c r="G73" s="45">
        <v>-0.11</v>
      </c>
      <c r="H73" s="45">
        <v>0</v>
      </c>
      <c r="I73" s="45">
        <v>0</v>
      </c>
      <c r="J73" s="30">
        <v>0</v>
      </c>
      <c r="K73" s="13"/>
    </row>
    <row r="74">
      <c r="A74" s="3"/>
      <c r="B74" s="2" t="s">
        <v>327</v>
      </c>
      <c r="C74" s="141">
        <f>SUM(C62:C73)</f>
        <v>-0.03</v>
      </c>
      <c r="D74" s="141">
        <f>SUM(D62:D73)</f>
        <v>-0.04000000000000001</v>
      </c>
      <c r="E74" s="141">
        <f>SUM(E62:E73)</f>
        <v>0.009999999999999981</v>
      </c>
      <c r="F74" s="141">
        <f>SUM(F62:F73)</f>
        <v>0.33</v>
      </c>
      <c r="G74" s="141">
        <f>SUM(G62:G73)</f>
        <v>0.28</v>
      </c>
      <c r="H74" s="141">
        <f>SUM(H62:H73)</f>
        <v>0.4</v>
      </c>
      <c r="I74" s="141">
        <f>SUM(I62:I73)</f>
        <v>0.4</v>
      </c>
      <c r="J74" s="156">
        <f>SUM(J62:J73)</f>
        <v>0.12875072394791248</v>
      </c>
      <c r="K74" s="13"/>
    </row>
    <row r="75" ht="24.75">
      <c r="A75" s="3"/>
      <c r="B75" s="4" t="s">
        <v>328</v>
      </c>
      <c r="C75" s="144">
        <f>C61+C74</f>
        <v>1.692543352601156</v>
      </c>
      <c r="D75" s="144">
        <f>D61+D74</f>
        <v>1.9054428754813864</v>
      </c>
      <c r="E75" s="144">
        <f>E61+E74</f>
        <v>2.2359306803594348</v>
      </c>
      <c r="F75" s="144">
        <f>F61+F74</f>
        <v>1.7003465982028243</v>
      </c>
      <c r="G75" s="144">
        <f>G61+G74</f>
        <v>7.543157894736843</v>
      </c>
      <c r="H75" s="144">
        <f>H61+H74</f>
        <v>1.9593329057087878</v>
      </c>
      <c r="I75" s="144">
        <f>I61+I74</f>
        <v>2.2012820512820515</v>
      </c>
      <c r="J75" s="149">
        <f>J61+J74</f>
        <v>2.344740672788727</v>
      </c>
      <c r="K75" s="42"/>
    </row>
    <row r="76">
      <c r="A76" s="3"/>
      <c r="B76" s="8" t="s">
        <v>66</v>
      </c>
      <c r="C76" s="29"/>
      <c r="D76" s="29"/>
      <c r="E76" s="29"/>
      <c r="F76" s="29"/>
      <c r="G76" s="29"/>
      <c r="H76" s="29">
        <f>H75/C75-1</f>
        <v>0.1576264222110595</v>
      </c>
      <c r="I76" s="29">
        <f>I75/D75-1</f>
        <v>0.15526006032898</v>
      </c>
      <c r="J76" s="68">
        <f>J75/E75-1</f>
        <v>0.04866429598425692</v>
      </c>
      <c r="K76" s="13"/>
    </row>
    <row r="77">
      <c r="A77" s="3"/>
      <c r="B77" s="67" t="s">
        <v>309</v>
      </c>
      <c r="C77" s="26"/>
      <c r="D77" s="26">
        <f>D75-C75</f>
        <v>0.2128995228802304</v>
      </c>
      <c r="E77" s="26">
        <f>E75-D75</f>
        <v>0.3304878048780484</v>
      </c>
      <c r="F77" s="26">
        <f>F75-E75</f>
        <v>-0.5355840821566105</v>
      </c>
      <c r="G77" s="26"/>
      <c r="H77" s="26">
        <f>H75-F75</f>
        <v>0.2589863075059635</v>
      </c>
      <c r="I77" s="26">
        <f>I75-H75</f>
        <v>0.24194914557326364</v>
      </c>
      <c r="J77" s="63">
        <f>J75-I75</f>
        <v>0.14345862150667577</v>
      </c>
      <c r="K77" s="13"/>
    </row>
    <row r="78" ht="24.75">
      <c r="A78" s="3"/>
      <c r="B78" s="52" t="s">
        <v>329</v>
      </c>
      <c r="C78" s="89">
        <f>Inputs!C12</f>
        <v>1.69</v>
      </c>
      <c r="D78" s="89">
        <f>Inputs!D12</f>
        <v>1.91</v>
      </c>
      <c r="E78" s="89">
        <f>Inputs!E12</f>
        <v>2.24</v>
      </c>
      <c r="F78" s="89">
        <f>Inputs!F12</f>
        <v>1.7</v>
      </c>
      <c r="G78" s="18"/>
      <c r="H78" s="89">
        <f>Inputs!H12</f>
        <v>1.96</v>
      </c>
      <c r="I78" s="89">
        <f>Inputs!I12</f>
        <v>2.2</v>
      </c>
      <c r="J78" s="37"/>
      <c r="K78" s="42"/>
    </row>
    <row r="79" ht="24.75">
      <c r="A79" s="3"/>
      <c r="B79" s="122" t="s">
        <v>330</v>
      </c>
      <c r="C79" s="18">
        <f>ROUND(C75-C78,2)</f>
        <v>0</v>
      </c>
      <c r="D79" s="18">
        <f>ROUND(D75-D78,2)</f>
        <v>0</v>
      </c>
      <c r="E79" s="18">
        <f>ROUND(E75-E78,2)</f>
        <v>0</v>
      </c>
      <c r="F79" s="18">
        <f>ROUND(F75-F78,2)</f>
        <v>0</v>
      </c>
      <c r="G79" s="18"/>
      <c r="H79" s="18">
        <f>ROUND(H75-H78,2)</f>
        <v>0</v>
      </c>
      <c r="I79" s="18">
        <f>ROUND(I75-I78,2)</f>
        <v>0</v>
      </c>
      <c r="J79" s="37"/>
      <c r="K79" s="42"/>
    </row>
    <row r="80" ht="24.75">
      <c r="A80" s="3"/>
      <c r="B80" s="4" t="s">
        <v>331</v>
      </c>
      <c r="C80" s="9">
        <f>C75*C52+C49</f>
        <v>2643.29</v>
      </c>
      <c r="D80" s="9">
        <f>D75*D52+D49</f>
        <v>2976.68</v>
      </c>
      <c r="E80" s="9">
        <f>E75*E52+E49</f>
        <v>3493.5799999999995</v>
      </c>
      <c r="F80" s="9">
        <f>F75*F52+F49</f>
        <v>2655.1400000000003</v>
      </c>
      <c r="G80" s="9">
        <f>G75*G52+G49</f>
        <v>11784.240000000002</v>
      </c>
      <c r="H80" s="9">
        <f>H75*H52+H49</f>
        <v>3061.6000000000004</v>
      </c>
      <c r="I80" s="9">
        <f>I75*I52+I49</f>
        <v>3441.0000000000005</v>
      </c>
      <c r="J80" s="71">
        <f>J75*J52+J49</f>
        <v>3663.8643084791775</v>
      </c>
      <c r="K80" s="42" t="s">
        <v>332</v>
      </c>
    </row>
    <row r="81">
      <c r="A81" s="3"/>
      <c r="B81" s="8" t="s">
        <v>66</v>
      </c>
      <c r="C81" s="29"/>
      <c r="D81" s="29"/>
      <c r="E81" s="29"/>
      <c r="F81" s="29"/>
      <c r="G81" s="29"/>
      <c r="H81" s="29">
        <f>H80/C80-1</f>
        <v>0.15825354009586556</v>
      </c>
      <c r="I81" s="29">
        <f>I80/D80-1</f>
        <v>0.15598586344518073</v>
      </c>
      <c r="J81" s="68">
        <f>J80/E80-1</f>
        <v>0.04874206644163803</v>
      </c>
      <c r="K81" s="13"/>
    </row>
    <row r="82" ht="24.75">
      <c r="A82" s="3"/>
      <c r="B82" s="122" t="s">
        <v>333</v>
      </c>
      <c r="C82" s="18">
        <f>C75-(C80-C49)/C52</f>
        <v>0</v>
      </c>
      <c r="D82" s="18">
        <f>D75-(D80-D49)/D52</f>
        <v>0</v>
      </c>
      <c r="E82" s="18">
        <f>E75-(E80-E49)/E52</f>
        <v>0</v>
      </c>
      <c r="F82" s="18">
        <f>F75-(F80-F49)/F52</f>
        <v>0</v>
      </c>
      <c r="G82" s="18">
        <f>G75-(G80-G49)/G52</f>
        <v>0</v>
      </c>
      <c r="H82" s="18">
        <f>H75-(H80-H49)/H52</f>
        <v>0</v>
      </c>
      <c r="I82" s="18">
        <f>I75-(I80-I49)/I52</f>
        <v>0</v>
      </c>
      <c r="J82" s="37">
        <f>J75-(J80-J49)/J52</f>
        <v>0</v>
      </c>
      <c r="K82" s="42" t="s">
        <v>334</v>
      </c>
    </row>
    <row r="83">
      <c r="A83" s="3"/>
      <c r="B83" s="3"/>
      <c r="C83" s="3"/>
      <c r="D83" s="3"/>
      <c r="E83" s="3"/>
      <c r="F83" s="3"/>
      <c r="G83" s="3"/>
      <c r="H83" s="3"/>
      <c r="I83" s="3"/>
      <c r="J83" s="50"/>
      <c r="K83" s="13"/>
    </row>
    <row r="84">
      <c r="A84" s="3"/>
      <c r="B84" s="70" t="s">
        <v>335</v>
      </c>
      <c r="C84" s="3"/>
      <c r="D84" s="3"/>
      <c r="E84" s="3"/>
      <c r="F84" s="3"/>
      <c r="G84" s="3"/>
      <c r="H84" s="3"/>
      <c r="I84" s="3"/>
      <c r="J84" s="50"/>
      <c r="K84" s="13"/>
    </row>
    <row r="85">
      <c r="A85" s="3"/>
      <c r="B85" s="2" t="s">
        <v>336</v>
      </c>
      <c r="C85" s="115">
        <f>C95-SUM(C88:C94)</f>
        <v>3650</v>
      </c>
      <c r="D85" s="115">
        <f>D95-SUM(D88:D94)</f>
        <v>4018</v>
      </c>
      <c r="E85" s="115">
        <f>E95-SUM(E88:E94)</f>
        <v>4542</v>
      </c>
      <c r="F85" s="115">
        <f>F95-SUM(F88:F94)</f>
        <v>3744</v>
      </c>
      <c r="G85" s="115">
        <f>G95-SUM(G88:G94)</f>
        <v>15954</v>
      </c>
      <c r="H85" s="115">
        <f>H95-SUM(H88:H94)</f>
        <v>4224</v>
      </c>
      <c r="I85" s="115">
        <f>I95-SUM(I88:I94)</f>
        <v>4641</v>
      </c>
      <c r="J85" s="159">
        <f>'Revenue summary'!J25*J86</f>
        <v>4962.8215944817075</v>
      </c>
      <c r="K85" s="13"/>
    </row>
    <row r="86">
      <c r="A86" s="3"/>
      <c r="B86" s="8" t="s">
        <v>337</v>
      </c>
      <c r="C86" s="123">
        <f>C85/'Revenue summary'!C25</f>
        <v>0.4344203761009284</v>
      </c>
      <c r="D86" s="123">
        <f>D85/'Revenue summary'!D25</f>
        <v>0.4330674714378099</v>
      </c>
      <c r="E86" s="123">
        <f>E85/'Revenue summary'!E25</f>
        <v>0.44726735598227474</v>
      </c>
      <c r="F86" s="123">
        <f>F85/'Revenue summary'!F25</f>
        <v>0.39012191309784305</v>
      </c>
      <c r="G86" s="123">
        <f>G85/'Revenue summary'!G25</f>
        <v>0.4262128659970079</v>
      </c>
      <c r="H86" s="123">
        <f>H85/'Revenue summary'!H25</f>
        <v>0.4435111297774045</v>
      </c>
      <c r="I86" s="123">
        <f>I85/'Revenue summary'!I25</f>
        <v>0.44901315789473684</v>
      </c>
      <c r="J86" s="106">
        <v>0.465</v>
      </c>
      <c r="K86" s="13" t="s">
        <v>338</v>
      </c>
    </row>
    <row r="87">
      <c r="A87" s="3"/>
      <c r="B87" s="8" t="s">
        <v>139</v>
      </c>
      <c r="C87" s="90"/>
      <c r="D87" s="90"/>
      <c r="E87" s="90"/>
      <c r="F87" s="90"/>
      <c r="G87" s="90"/>
      <c r="H87" s="90">
        <f>(H86-C86)*10000</f>
        <v>90.90753676476105</v>
      </c>
      <c r="I87" s="90">
        <f>(I86-D86)*10000</f>
        <v>159.45686456926956</v>
      </c>
      <c r="J87" s="104">
        <f>(J86-E86)*10000</f>
        <v>177.32644017725286</v>
      </c>
      <c r="K87" s="13"/>
    </row>
    <row r="88">
      <c r="A88" s="3"/>
      <c r="B88" s="67" t="s">
        <v>315</v>
      </c>
      <c r="C88" s="6">
        <v>-45</v>
      </c>
      <c r="D88" s="6">
        <v>-49</v>
      </c>
      <c r="E88" s="6">
        <v>-50</v>
      </c>
      <c r="F88" s="6">
        <v>-55</v>
      </c>
      <c r="G88" s="5">
        <f>SUM(C88:F88)</f>
        <v>-199</v>
      </c>
      <c r="H88" s="6">
        <v>-50</v>
      </c>
      <c r="I88" s="6">
        <v>-50</v>
      </c>
      <c r="J88" s="20">
        <v>-50</v>
      </c>
      <c r="K88" s="13" t="s">
        <v>339</v>
      </c>
    </row>
    <row r="89">
      <c r="A89" s="3"/>
      <c r="B89" s="67" t="s">
        <v>317</v>
      </c>
      <c r="C89" s="6">
        <v>0</v>
      </c>
      <c r="D89" s="6">
        <v>-243</v>
      </c>
      <c r="E89" s="6">
        <v>0</v>
      </c>
      <c r="F89" s="6">
        <v>2</v>
      </c>
      <c r="G89" s="5">
        <f>SUM(C89:F89)</f>
        <v>-241</v>
      </c>
      <c r="H89" s="6">
        <v>0</v>
      </c>
      <c r="I89" s="6">
        <v>0</v>
      </c>
      <c r="J89" s="20">
        <v>0</v>
      </c>
      <c r="K89" s="13" t="s">
        <v>340</v>
      </c>
    </row>
    <row r="90">
      <c r="A90" s="3"/>
      <c r="B90" s="67" t="s">
        <v>282</v>
      </c>
      <c r="C90" s="6">
        <v>0</v>
      </c>
      <c r="D90" s="6">
        <v>-41</v>
      </c>
      <c r="E90" s="6">
        <v>0</v>
      </c>
      <c r="F90" s="6">
        <v>0</v>
      </c>
      <c r="G90" s="5">
        <f>SUM(C90:F90)</f>
        <v>-41</v>
      </c>
      <c r="H90" s="6">
        <v>0</v>
      </c>
      <c r="I90" s="6">
        <v>0</v>
      </c>
      <c r="J90" s="20">
        <v>0</v>
      </c>
      <c r="K90" s="13"/>
    </row>
    <row r="91">
      <c r="A91" s="3"/>
      <c r="B91" s="67" t="s">
        <v>341</v>
      </c>
      <c r="C91" s="6">
        <v>0</v>
      </c>
      <c r="D91" s="6">
        <v>0</v>
      </c>
      <c r="E91" s="6">
        <v>19</v>
      </c>
      <c r="F91" s="6">
        <v>0</v>
      </c>
      <c r="G91" s="5">
        <f>SUM(C91:F91)</f>
        <v>19</v>
      </c>
      <c r="H91" s="6">
        <v>0</v>
      </c>
      <c r="I91" s="6">
        <v>0</v>
      </c>
      <c r="J91" s="20">
        <v>0</v>
      </c>
      <c r="K91" s="13"/>
    </row>
    <row r="92" ht="24.75">
      <c r="A92" s="3"/>
      <c r="B92" s="52" t="s">
        <v>321</v>
      </c>
      <c r="C92" s="19">
        <v>0</v>
      </c>
      <c r="D92" s="19">
        <v>0</v>
      </c>
      <c r="E92" s="19">
        <v>-176</v>
      </c>
      <c r="F92" s="19">
        <v>0</v>
      </c>
      <c r="G92" s="17">
        <f>SUM(C92:F92)</f>
        <v>-176</v>
      </c>
      <c r="H92" s="19">
        <v>0</v>
      </c>
      <c r="I92" s="19">
        <v>0</v>
      </c>
      <c r="J92" s="92">
        <v>0</v>
      </c>
      <c r="K92" s="42"/>
    </row>
    <row r="93" ht="24.75">
      <c r="A93" s="3"/>
      <c r="B93" s="52" t="s">
        <v>324</v>
      </c>
      <c r="C93" s="19">
        <v>0</v>
      </c>
      <c r="D93" s="19">
        <v>0</v>
      </c>
      <c r="E93" s="19">
        <v>0</v>
      </c>
      <c r="F93" s="19">
        <v>-94</v>
      </c>
      <c r="G93" s="17">
        <f>SUM(C93:F93)</f>
        <v>-94</v>
      </c>
      <c r="H93" s="19">
        <v>0</v>
      </c>
      <c r="I93" s="19">
        <v>0</v>
      </c>
      <c r="J93" s="92">
        <v>0</v>
      </c>
      <c r="K93" s="42"/>
    </row>
    <row r="94">
      <c r="A94" s="3"/>
      <c r="B94" s="67" t="s">
        <v>325</v>
      </c>
      <c r="C94" s="6">
        <v>0</v>
      </c>
      <c r="D94" s="6">
        <v>0</v>
      </c>
      <c r="E94" s="6">
        <v>0</v>
      </c>
      <c r="F94" s="6">
        <v>0</v>
      </c>
      <c r="G94" s="5">
        <f>SUM(C94:F94)</f>
        <v>0</v>
      </c>
      <c r="H94" s="6">
        <v>0</v>
      </c>
      <c r="I94" s="6">
        <v>15</v>
      </c>
      <c r="J94" s="20">
        <v>0</v>
      </c>
      <c r="K94" s="13"/>
    </row>
    <row r="95">
      <c r="A95" s="3"/>
      <c r="B95" s="2" t="s">
        <v>342</v>
      </c>
      <c r="C95" s="10">
        <v>3605</v>
      </c>
      <c r="D95" s="10">
        <v>3685</v>
      </c>
      <c r="E95" s="10">
        <v>4335</v>
      </c>
      <c r="F95" s="10">
        <v>3597</v>
      </c>
      <c r="G95" s="14">
        <f>SUM(C95:F95)</f>
        <v>15222</v>
      </c>
      <c r="H95" s="10">
        <v>4174</v>
      </c>
      <c r="I95" s="10">
        <v>4606</v>
      </c>
      <c r="J95" s="72">
        <f>J85+SUM(J88:J94)</f>
        <v>4912.8215944817075</v>
      </c>
      <c r="K95" s="13" t="s">
        <v>343</v>
      </c>
    </row>
    <row r="96">
      <c r="A96" s="3"/>
      <c r="B96" s="2" t="s">
        <v>344</v>
      </c>
      <c r="C96" s="115">
        <f>C101-C99-C100</f>
        <v>437</v>
      </c>
      <c r="D96" s="115">
        <f>D101-D99-D100</f>
        <v>353</v>
      </c>
      <c r="E96" s="115">
        <f>E101-E99-E100</f>
        <v>167</v>
      </c>
      <c r="F96" s="115">
        <f>F101-F99-F100</f>
        <v>166</v>
      </c>
      <c r="G96" s="115">
        <f>G101-G99-G100</f>
        <v>1123</v>
      </c>
      <c r="H96" s="115">
        <f>H101-H99-H100</f>
        <v>99</v>
      </c>
      <c r="I96" s="115">
        <f>I101-I99-I100</f>
        <v>279</v>
      </c>
      <c r="J96" s="158">
        <v>160</v>
      </c>
      <c r="K96" s="13" t="s">
        <v>345</v>
      </c>
    </row>
    <row r="97">
      <c r="A97" s="3"/>
      <c r="B97" s="8" t="s">
        <v>346</v>
      </c>
      <c r="C97" s="123">
        <f>C96/'Segment - U.S.'!C58</f>
        <v>0.4860956618464961</v>
      </c>
      <c r="D97" s="123">
        <f>D96/'Segment - U.S.'!D58</f>
        <v>0.4095127610208817</v>
      </c>
      <c r="E97" s="123">
        <f>E96/'Segment - U.S.'!E58</f>
        <v>0.24238026124818576</v>
      </c>
      <c r="F97" s="123">
        <f>F96/'Segment - U.S.'!F58</f>
        <v>0.2169934640522876</v>
      </c>
      <c r="G97" s="123">
        <f>G96/'Segment - U.S.'!G58</f>
        <v>0.34930015552099536</v>
      </c>
      <c r="H97" s="123">
        <f>H96/'Segment - U.S.'!H58</f>
        <v>0.15916398713826366</v>
      </c>
      <c r="I97" s="123">
        <f>I96/'Segment - U.S.'!I58</f>
        <v>0.32593457943925236</v>
      </c>
      <c r="J97" s="127">
        <f>J96/'Segment - U.S.'!J58</f>
        <v>0.21147397974306223</v>
      </c>
      <c r="K97" s="13"/>
    </row>
    <row r="98">
      <c r="A98" s="3"/>
      <c r="B98" s="8" t="s">
        <v>139</v>
      </c>
      <c r="C98" s="90"/>
      <c r="D98" s="90"/>
      <c r="E98" s="90"/>
      <c r="F98" s="90"/>
      <c r="G98" s="90"/>
      <c r="H98" s="90">
        <f>(H97-C97)*10000</f>
        <v>-3269.3167470823246</v>
      </c>
      <c r="I98" s="90">
        <f>(I97-D97)*10000</f>
        <v>-835.7818158162933</v>
      </c>
      <c r="J98" s="104">
        <f>(J97-E97)*10000</f>
        <v>-309.06281505123536</v>
      </c>
      <c r="K98" s="13"/>
    </row>
    <row r="99">
      <c r="A99" s="3"/>
      <c r="B99" s="67" t="s">
        <v>315</v>
      </c>
      <c r="C99" s="6">
        <v>-200</v>
      </c>
      <c r="D99" s="6">
        <v>-201</v>
      </c>
      <c r="E99" s="6">
        <v>-200</v>
      </c>
      <c r="F99" s="6">
        <v>-201</v>
      </c>
      <c r="G99" s="5">
        <f>SUM(C99:F99)</f>
        <v>-802</v>
      </c>
      <c r="H99" s="6">
        <v>-201</v>
      </c>
      <c r="I99" s="6">
        <v>-201</v>
      </c>
      <c r="J99" s="20">
        <v>-201</v>
      </c>
      <c r="K99" s="13"/>
    </row>
    <row r="100">
      <c r="A100" s="3"/>
      <c r="B100" s="67" t="s">
        <v>317</v>
      </c>
      <c r="C100" s="6">
        <v>0</v>
      </c>
      <c r="D100" s="6">
        <v>0</v>
      </c>
      <c r="E100" s="6">
        <v>0</v>
      </c>
      <c r="F100" s="6">
        <v>0</v>
      </c>
      <c r="G100" s="5">
        <f>SUM(C100:F100)</f>
        <v>0</v>
      </c>
      <c r="H100" s="6">
        <v>-24</v>
      </c>
      <c r="I100" s="6">
        <v>-6</v>
      </c>
      <c r="J100" s="20">
        <v>0</v>
      </c>
      <c r="K100" s="13"/>
    </row>
    <row r="101">
      <c r="A101" s="3"/>
      <c r="B101" s="2" t="s">
        <v>347</v>
      </c>
      <c r="C101" s="10">
        <v>237</v>
      </c>
      <c r="D101" s="10">
        <v>152</v>
      </c>
      <c r="E101" s="10">
        <v>-33</v>
      </c>
      <c r="F101" s="10">
        <v>-35</v>
      </c>
      <c r="G101" s="14">
        <f>SUM(C101:F101)</f>
        <v>321</v>
      </c>
      <c r="H101" s="10">
        <v>-126</v>
      </c>
      <c r="I101" s="10">
        <v>72</v>
      </c>
      <c r="J101" s="72">
        <f>J96+J99+J100</f>
        <v>-41</v>
      </c>
      <c r="K101" s="13" t="s">
        <v>343</v>
      </c>
    </row>
    <row r="102">
      <c r="A102" s="3"/>
      <c r="B102" s="2" t="s">
        <v>348</v>
      </c>
      <c r="C102" s="14">
        <f>C95+C101</f>
        <v>3842</v>
      </c>
      <c r="D102" s="14">
        <f>D95+D101</f>
        <v>3837</v>
      </c>
      <c r="E102" s="14">
        <f>E95+E101</f>
        <v>4302</v>
      </c>
      <c r="F102" s="14">
        <f>F95+F101</f>
        <v>3562</v>
      </c>
      <c r="G102" s="14">
        <f>G95+G101</f>
        <v>15543</v>
      </c>
      <c r="H102" s="14">
        <f>H95+H101</f>
        <v>4048</v>
      </c>
      <c r="I102" s="14">
        <f>I95+I101</f>
        <v>4678</v>
      </c>
      <c r="J102" s="72">
        <f>J95+J101</f>
        <v>4871.8215944817075</v>
      </c>
      <c r="K102" s="13"/>
    </row>
    <row r="103" ht="36">
      <c r="A103" s="3"/>
      <c r="B103" s="122" t="s">
        <v>349</v>
      </c>
      <c r="C103" s="17">
        <f>IF(ABS(C21-C102)&lt;=1,0,C21-C102)</f>
        <v>0</v>
      </c>
      <c r="D103" s="17">
        <f>IF(ABS(D21-D102)&lt;=1,0,D21-D102)</f>
        <v>0</v>
      </c>
      <c r="E103" s="17">
        <f>IF(ABS(E21-E102)&lt;=1,0,E21-E102)</f>
        <v>0</v>
      </c>
      <c r="F103" s="17">
        <f>IF(ABS(F21-F102)&lt;=1,0,F21-F102)</f>
        <v>0</v>
      </c>
      <c r="G103" s="17">
        <f>IF(ABS(G21-G102)&lt;=COUNT(C21:F21),0,G21-G102)</f>
        <v>0</v>
      </c>
      <c r="H103" s="17">
        <f>IF(ABS(H21-H102)&lt;=1,0,H21-H102)</f>
        <v>0</v>
      </c>
      <c r="I103" s="17">
        <f>IF(ABS(I21-I102)&lt;=1,0,I21-I102)</f>
        <v>0</v>
      </c>
      <c r="J103" s="1">
        <f>IF(ABS(J21-J102)&lt;=1,0,J21-J102)</f>
        <v>0</v>
      </c>
      <c r="K103" s="42" t="s">
        <v>350</v>
      </c>
    </row>
    <row r="104">
      <c r="A104" s="3"/>
      <c r="B104" s="2" t="s">
        <v>351</v>
      </c>
      <c r="C104" s="14">
        <f>C85+C96</f>
        <v>4087</v>
      </c>
      <c r="D104" s="14">
        <f>D85+D96</f>
        <v>4371</v>
      </c>
      <c r="E104" s="14">
        <f>E85+E96</f>
        <v>4709</v>
      </c>
      <c r="F104" s="14">
        <f>F85+F96</f>
        <v>3910</v>
      </c>
      <c r="G104" s="14">
        <f>G85+G96</f>
        <v>17077</v>
      </c>
      <c r="H104" s="14">
        <f>H85+H96</f>
        <v>4323</v>
      </c>
      <c r="I104" s="14">
        <f>I85+I96</f>
        <v>4920</v>
      </c>
      <c r="J104" s="72">
        <f>J85+J96</f>
        <v>5122.8215944817075</v>
      </c>
      <c r="K104" s="13"/>
    </row>
    <row r="105">
      <c r="A105" s="3"/>
      <c r="B105" s="2" t="s">
        <v>352</v>
      </c>
      <c r="C105" s="14">
        <f>C104-C22</f>
        <v>3789</v>
      </c>
      <c r="D105" s="14">
        <f>D104-D22</f>
        <v>4246</v>
      </c>
      <c r="E105" s="14">
        <f>E104-E22</f>
        <v>4669</v>
      </c>
      <c r="F105" s="14">
        <f>F104-F22</f>
        <v>3721</v>
      </c>
      <c r="G105" s="14">
        <f>G104-G22</f>
        <v>16425</v>
      </c>
      <c r="H105" s="14">
        <f>H104-H22</f>
        <v>4168</v>
      </c>
      <c r="I105" s="14">
        <f>I104-I22</f>
        <v>4772</v>
      </c>
      <c r="J105" s="72">
        <f>J104-J22</f>
        <v>5022.8215944817075</v>
      </c>
      <c r="K105" s="13"/>
    </row>
    <row r="106">
      <c r="A106" s="3"/>
      <c r="B106" s="8" t="s">
        <v>66</v>
      </c>
      <c r="C106" s="29"/>
      <c r="D106" s="29"/>
      <c r="E106" s="29"/>
      <c r="F106" s="29"/>
      <c r="G106" s="29"/>
      <c r="H106" s="29">
        <f>H105/C105-1</f>
        <v>0.10002639218791232</v>
      </c>
      <c r="I106" s="29">
        <f>I105/D105-1</f>
        <v>0.12388130004710307</v>
      </c>
      <c r="J106" s="68">
        <f>J105/E105-1</f>
        <v>0.0757810225919271</v>
      </c>
      <c r="K106" s="13"/>
    </row>
    <row r="107">
      <c r="A107" s="3"/>
      <c r="B107" s="21" t="s">
        <v>353</v>
      </c>
      <c r="C107" s="29">
        <f>C105/C9</f>
        <v>0.4073755510160198</v>
      </c>
      <c r="D107" s="29">
        <f>D105/D9</f>
        <v>0.41873767258382644</v>
      </c>
      <c r="E107" s="29">
        <f>E105/E9</f>
        <v>0.43052097740894424</v>
      </c>
      <c r="F107" s="29">
        <f>F105/F9</f>
        <v>0.35910055973750243</v>
      </c>
      <c r="G107" s="29">
        <f>G105/G9</f>
        <v>0.40407892147215113</v>
      </c>
      <c r="H107" s="29">
        <f>H105/H9</f>
        <v>0.41080228661541496</v>
      </c>
      <c r="I107" s="29">
        <f>I105/I9</f>
        <v>0.4263759828448892</v>
      </c>
      <c r="J107" s="68">
        <f>J105/J9</f>
        <v>0.4394677630848591</v>
      </c>
      <c r="K107" s="13"/>
    </row>
    <row r="108">
      <c r="A108" s="3"/>
      <c r="B108" s="8" t="s">
        <v>139</v>
      </c>
      <c r="C108" s="90"/>
      <c r="D108" s="90"/>
      <c r="E108" s="90"/>
      <c r="F108" s="90"/>
      <c r="G108" s="90"/>
      <c r="H108" s="90">
        <f>(H107-C107)*10000</f>
        <v>34.26735599395159</v>
      </c>
      <c r="I108" s="90">
        <f>(I107-D107)*10000</f>
        <v>76.38310261062765</v>
      </c>
      <c r="J108" s="104">
        <f>(J107-E107)*10000</f>
        <v>89.46785675914836</v>
      </c>
      <c r="K108" s="13"/>
    </row>
    <row r="109">
      <c r="A109" s="3"/>
      <c r="B109" s="160" t="s">
        <v>354</v>
      </c>
      <c r="C109" s="14">
        <f>SUM(C88:C94)+C99+C100</f>
        <v>-245</v>
      </c>
      <c r="D109" s="14">
        <f>SUM(D88:D94)+D99+D100</f>
        <v>-534</v>
      </c>
      <c r="E109" s="14">
        <f>SUM(E88:E94)+E99+E100</f>
        <v>-407</v>
      </c>
      <c r="F109" s="14">
        <f>SUM(F88:F94)+F99+F100</f>
        <v>-348</v>
      </c>
      <c r="G109" s="14">
        <f>SUM(G88:G94)+G99+G100</f>
        <v>-1534</v>
      </c>
      <c r="H109" s="14">
        <f>SUM(H88:H94)+H99+H100</f>
        <v>-275</v>
      </c>
      <c r="I109" s="14">
        <f>SUM(I88:I94)+I99+I100</f>
        <v>-242</v>
      </c>
      <c r="J109" s="72">
        <f>SUM(J88:J94)+J99+J100</f>
        <v>-251</v>
      </c>
      <c r="K109" s="13"/>
    </row>
    <row r="110">
      <c r="A110" s="3"/>
      <c r="B110" s="131" t="s">
        <v>355</v>
      </c>
      <c r="C110" s="5">
        <f>C88+C99</f>
        <v>-245</v>
      </c>
      <c r="D110" s="5">
        <f>D88+D99</f>
        <v>-250</v>
      </c>
      <c r="E110" s="5">
        <f>E88+E99</f>
        <v>-250</v>
      </c>
      <c r="F110" s="5">
        <f>F88+F99</f>
        <v>-256</v>
      </c>
      <c r="G110" s="5">
        <f>G88+G99</f>
        <v>-1001</v>
      </c>
      <c r="H110" s="5">
        <f>H88+H99</f>
        <v>-251</v>
      </c>
      <c r="I110" s="5">
        <f>I88+I99</f>
        <v>-251</v>
      </c>
      <c r="J110" s="31">
        <f>J88+J99</f>
        <v>-251</v>
      </c>
      <c r="K110" s="13"/>
    </row>
    <row r="111" ht="36">
      <c r="A111" s="3"/>
      <c r="B111" s="122" t="s">
        <v>356</v>
      </c>
      <c r="C111" s="78">
        <f>IF(ABS(C13-('Segment - Intl Smoke-Free'!C62+'Segment - Intl Combustibles'!C40+'Segment - U.S.'!C75))&lt;=1,0,C13-('Segment - Intl Smoke-Free'!C62+'Segment - Intl Combustibles'!C40+'Segment - U.S.'!C75))</f>
        <v>0</v>
      </c>
      <c r="D111" s="78">
        <f>IF(ABS(D13-('Segment - Intl Smoke-Free'!D62+'Segment - Intl Combustibles'!D40+'Segment - U.S.'!D75))&lt;=1,0,D13-('Segment - Intl Smoke-Free'!D62+'Segment - Intl Combustibles'!D40+'Segment - U.S.'!D75))</f>
        <v>0</v>
      </c>
      <c r="E111" s="78">
        <f>IF(ABS(E13-('Segment - Intl Smoke-Free'!E62+'Segment - Intl Combustibles'!E40+'Segment - U.S.'!E75))&lt;=1,0,E13-('Segment - Intl Smoke-Free'!E62+'Segment - Intl Combustibles'!E40+'Segment - U.S.'!E75))</f>
        <v>0</v>
      </c>
      <c r="F111" s="78">
        <f>IF(ABS(F13-('Segment - Intl Smoke-Free'!F62+'Segment - Intl Combustibles'!F40+'Segment - U.S.'!F75))&lt;=1,0,F13-('Segment - Intl Smoke-Free'!F62+'Segment - Intl Combustibles'!F40+'Segment - U.S.'!F75))</f>
        <v>0</v>
      </c>
      <c r="G111" s="17">
        <f>IF(ABS(G13-('Segment - Intl Smoke-Free'!G62+'Segment - Intl Combustibles'!G40+'Segment - U.S.'!G75))&lt;=COUNT(C13:F13),0,G13-('Segment - Intl Smoke-Free'!G62+'Segment - Intl Combustibles'!G40+'Segment - U.S.'!G75))</f>
        <v>0</v>
      </c>
      <c r="H111" s="78">
        <f>IF(ABS(H13-('Segment - Intl Smoke-Free'!H62+'Segment - Intl Combustibles'!H40+'Segment - U.S.'!H75))&lt;=1,0,H13-('Segment - Intl Smoke-Free'!H62+'Segment - Intl Combustibles'!H40+'Segment - U.S.'!H75))</f>
        <v>0</v>
      </c>
      <c r="I111" s="78">
        <f>IF(ABS(I13-('Segment - Intl Smoke-Free'!I62+'Segment - Intl Combustibles'!I40+'Segment - U.S.'!I75))&lt;=1,0,I13-('Segment - Intl Smoke-Free'!I62+'Segment - Intl Combustibles'!I40+'Segment - U.S.'!I75))</f>
        <v>0</v>
      </c>
      <c r="J111" s="150">
        <f>IF(ABS(J13-('Segment - Intl Smoke-Free'!J62+'Segment - Intl Combustibles'!J40+'Segment - U.S.'!J75))&lt;=1,0,J13-('Segment - Intl Smoke-Free'!J62+'Segment - Intl Combustibles'!J40+'Segment - U.S.'!J75))</f>
        <v>0</v>
      </c>
      <c r="K111" s="42" t="s">
        <v>357</v>
      </c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50"/>
      <c r="K112" s="13"/>
    </row>
    <row r="113">
      <c r="A113" s="3"/>
      <c r="B113" s="70" t="s">
        <v>358</v>
      </c>
      <c r="C113" s="3"/>
      <c r="D113" s="3"/>
      <c r="E113" s="3"/>
      <c r="F113" s="3"/>
      <c r="G113" s="3"/>
      <c r="H113" s="3"/>
      <c r="I113" s="3"/>
      <c r="J113" s="50"/>
      <c r="K113" s="13"/>
    </row>
    <row r="114" ht="24.75">
      <c r="A114" s="3"/>
      <c r="B114" s="52" t="s">
        <v>359</v>
      </c>
      <c r="C114" s="78">
        <f>'Cash Flow Statement'!C10</f>
        <v>480</v>
      </c>
      <c r="D114" s="78">
        <f>'Cash Flow Statement'!D10</f>
        <v>490</v>
      </c>
      <c r="E114" s="78">
        <f>'Cash Flow Statement'!E10</f>
        <v>505</v>
      </c>
      <c r="F114" s="78">
        <f>'Cash Flow Statement'!F10</f>
        <v>521</v>
      </c>
      <c r="G114" s="78">
        <f>'Cash Flow Statement'!G10</f>
        <v>1996</v>
      </c>
      <c r="H114" s="78">
        <f>'Cash Flow Statement'!H10</f>
        <v>510</v>
      </c>
      <c r="I114" s="78">
        <f>'Cash Flow Statement'!I10</f>
        <v>513</v>
      </c>
      <c r="J114" s="150">
        <f>'Cash Flow Statement'!J10</f>
        <v>514</v>
      </c>
      <c r="K114" s="42"/>
    </row>
    <row r="115">
      <c r="A115" s="3"/>
      <c r="B115" s="2" t="s">
        <v>360</v>
      </c>
      <c r="C115" s="115">
        <f>C40+C39+C35+C30+C38+C114+C20-(C89+SUM(C91:C94)+C100)</f>
        <v>4012</v>
      </c>
      <c r="D115" s="115">
        <f>D40+D39+D35+D30+D38+D114+D20-(D89+SUM(D91:D94)+D100)</f>
        <v>4475</v>
      </c>
      <c r="E115" s="115">
        <f>E40+E39+E35+E30+E38+E114+E20-(E89+SUM(E91:E94)+E100)</f>
        <v>4911</v>
      </c>
      <c r="F115" s="115">
        <f>F40+F39+F35+F30+F38+F114+F20-(F89+SUM(F91:F94)+F100)</f>
        <v>3977</v>
      </c>
      <c r="G115" s="115">
        <f>G40+G39+G35+G30+G38+G114+G20-(G89+SUM(G91:G94)+G100)</f>
        <v>17375</v>
      </c>
      <c r="H115" s="115">
        <f>H40+H39+H35+H30+H38+H114+H20-(H89+SUM(H91:H94)+H100)</f>
        <v>4432</v>
      </c>
      <c r="I115" s="115">
        <f>I40+I39+I35+I30+I38+I114+I20-(I89+SUM(I91:I94)+I100)</f>
        <v>5039</v>
      </c>
      <c r="J115" s="125">
        <f>J40+J39+J35+J30+J38+J114+J20-(J89+SUM(J91:J94)+J100)</f>
        <v>5290.8215944817075</v>
      </c>
      <c r="K115" s="13" t="s">
        <v>361</v>
      </c>
    </row>
    <row r="116">
      <c r="A116" s="3"/>
      <c r="B116" s="21" t="s">
        <v>362</v>
      </c>
      <c r="C116" s="29">
        <f>C115/C9</f>
        <v>0.43135146758413073</v>
      </c>
      <c r="D116" s="29">
        <f>D115/D9</f>
        <v>0.4413214990138067</v>
      </c>
      <c r="E116" s="29">
        <f>E115/E9</f>
        <v>0.45283540802213</v>
      </c>
      <c r="F116" s="29">
        <f>F115/F9</f>
        <v>0.3838062150164061</v>
      </c>
      <c r="G116" s="29">
        <f>G115/G9</f>
        <v>0.4274503050580594</v>
      </c>
      <c r="H116" s="29">
        <f>H115/H9</f>
        <v>0.43682239306130494</v>
      </c>
      <c r="I116" s="29">
        <f>I115/I9</f>
        <v>0.4502323087919943</v>
      </c>
      <c r="J116" s="68">
        <f>J115/J9</f>
        <v>0.4629162090014207</v>
      </c>
      <c r="K116" s="13"/>
    </row>
    <row r="117">
      <c r="A117" s="3"/>
      <c r="B117" s="8" t="s">
        <v>139</v>
      </c>
      <c r="C117" s="90"/>
      <c r="D117" s="90"/>
      <c r="E117" s="90"/>
      <c r="F117" s="90"/>
      <c r="G117" s="90"/>
      <c r="H117" s="90">
        <f>(H116-C116)*10000</f>
        <v>54.709254771742046</v>
      </c>
      <c r="I117" s="90">
        <f>(I116-D116)*10000</f>
        <v>89.1080977818759</v>
      </c>
      <c r="J117" s="104">
        <f>(J116-E116)*10000</f>
        <v>100.80800979290704</v>
      </c>
      <c r="K117" s="13"/>
    </row>
    <row r="118">
      <c r="A118" s="3"/>
      <c r="B118" s="67" t="s">
        <v>363</v>
      </c>
      <c r="C118" s="5"/>
      <c r="D118" s="5"/>
      <c r="E118" s="5"/>
      <c r="F118" s="5"/>
      <c r="G118" s="6">
        <v>17375</v>
      </c>
      <c r="H118" s="5"/>
      <c r="I118" s="5"/>
      <c r="J118" s="31"/>
      <c r="K118" s="13" t="s">
        <v>364</v>
      </c>
    </row>
    <row r="119" ht="24.75">
      <c r="A119" s="3"/>
      <c r="B119" s="122" t="s">
        <v>365</v>
      </c>
      <c r="C119" s="17"/>
      <c r="D119" s="17"/>
      <c r="E119" s="17"/>
      <c r="F119" s="17"/>
      <c r="G119" s="17">
        <f>G115-G118</f>
        <v>0</v>
      </c>
      <c r="H119" s="17"/>
      <c r="I119" s="17"/>
      <c r="J119" s="1"/>
      <c r="K119" s="42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50"/>
      <c r="K120" s="13"/>
    </row>
    <row r="121">
      <c r="A121" s="3"/>
      <c r="B121" s="70" t="s">
        <v>366</v>
      </c>
      <c r="C121" s="3"/>
      <c r="D121" s="3"/>
      <c r="E121" s="3"/>
      <c r="F121" s="3"/>
      <c r="G121" s="3"/>
      <c r="H121" s="3"/>
      <c r="I121" s="3"/>
      <c r="J121" s="50"/>
      <c r="K121" s="13"/>
    </row>
    <row r="122">
      <c r="A122" s="3"/>
      <c r="B122" s="16" t="s">
        <v>367</v>
      </c>
      <c r="C122" s="5">
        <f>C34-C109</f>
        <v>3536</v>
      </c>
      <c r="D122" s="5">
        <f>D34-D109</f>
        <v>3958</v>
      </c>
      <c r="E122" s="5">
        <f>E34-E109</f>
        <v>4426</v>
      </c>
      <c r="F122" s="5">
        <f>F34-F109</f>
        <v>3494</v>
      </c>
      <c r="G122" s="5">
        <f>G34-G109</f>
        <v>15414</v>
      </c>
      <c r="H122" s="5">
        <f>H34-H109</f>
        <v>3936</v>
      </c>
      <c r="I122" s="5">
        <f>I34-I109</f>
        <v>4534</v>
      </c>
      <c r="J122" s="31">
        <f>J34-J109</f>
        <v>4787.8215944817075</v>
      </c>
      <c r="K122" s="13"/>
    </row>
    <row r="123" ht="24.75">
      <c r="A123" s="3"/>
      <c r="B123" s="75" t="s">
        <v>368</v>
      </c>
      <c r="C123" s="62"/>
      <c r="D123" s="62"/>
      <c r="E123" s="62"/>
      <c r="F123" s="62"/>
      <c r="G123" s="62"/>
      <c r="H123" s="62"/>
      <c r="I123" s="62"/>
      <c r="J123" s="119">
        <v>0.217</v>
      </c>
      <c r="K123" s="42" t="s">
        <v>369</v>
      </c>
    </row>
    <row r="124" ht="24.75">
      <c r="A124" s="3"/>
      <c r="B124" s="75" t="s">
        <v>370</v>
      </c>
      <c r="C124" s="62"/>
      <c r="D124" s="62"/>
      <c r="E124" s="62"/>
      <c r="F124" s="62"/>
      <c r="G124" s="62"/>
      <c r="H124" s="62"/>
      <c r="I124" s="62"/>
      <c r="J124" s="119">
        <v>0.2</v>
      </c>
      <c r="K124" s="42" t="s">
        <v>371</v>
      </c>
    </row>
    <row r="125" ht="36">
      <c r="A125" s="3"/>
      <c r="B125" s="53" t="s">
        <v>372</v>
      </c>
      <c r="C125" s="17"/>
      <c r="D125" s="17"/>
      <c r="E125" s="17"/>
      <c r="F125" s="17"/>
      <c r="G125" s="17"/>
      <c r="H125" s="17"/>
      <c r="I125" s="17"/>
      <c r="J125" s="92">
        <v>70</v>
      </c>
      <c r="K125" s="42" t="s">
        <v>373</v>
      </c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50"/>
      <c r="K126" s="13"/>
    </row>
    <row r="127">
      <c r="A127" s="3"/>
      <c r="B127" s="70" t="s">
        <v>374</v>
      </c>
      <c r="C127" s="3"/>
      <c r="D127" s="3"/>
      <c r="E127" s="3"/>
      <c r="F127" s="3"/>
      <c r="G127" s="3"/>
      <c r="H127" s="3"/>
      <c r="I127" s="3"/>
      <c r="J127" s="50"/>
      <c r="K127" s="13"/>
    </row>
    <row r="128">
      <c r="A128" s="3"/>
      <c r="B128" s="16" t="s">
        <v>186</v>
      </c>
      <c r="C128" s="6">
        <v>5604</v>
      </c>
      <c r="D128" s="6">
        <v>6127</v>
      </c>
      <c r="E128" s="6">
        <v>6549</v>
      </c>
      <c r="F128" s="6">
        <v>6288</v>
      </c>
      <c r="G128" s="5">
        <f>SUM(C128:F128)</f>
        <v>24568</v>
      </c>
      <c r="H128" s="5">
        <f>C13</f>
        <v>6270</v>
      </c>
      <c r="I128" s="5">
        <f>D13</f>
        <v>6866</v>
      </c>
      <c r="J128" s="31">
        <f>E13</f>
        <v>7361</v>
      </c>
      <c r="K128" s="13" t="s">
        <v>375</v>
      </c>
    </row>
    <row r="129">
      <c r="A129" s="3"/>
      <c r="B129" s="21" t="s">
        <v>188</v>
      </c>
      <c r="C129" s="123">
        <f>C128/'Revenue summary'!C91</f>
        <v>0.6373251450017059</v>
      </c>
      <c r="D129" s="123">
        <f>D128/'Revenue summary'!D91</f>
        <v>0.6471271651880017</v>
      </c>
      <c r="E129" s="123">
        <f>E128/'Revenue summary'!E91</f>
        <v>0.6607809504590859</v>
      </c>
      <c r="F129" s="123">
        <f>F128/'Revenue summary'!F91</f>
        <v>0.6478466927673604</v>
      </c>
      <c r="G129" s="123">
        <f>G128/'Revenue summary'!G91</f>
        <v>0.648608691060774</v>
      </c>
      <c r="H129" s="123">
        <f>H128/'Revenue summary'!H91</f>
        <v>0.6741210622513708</v>
      </c>
      <c r="I129" s="123">
        <f>I128/'Revenue summary'!I91</f>
        <v>0.677120315581854</v>
      </c>
      <c r="J129" s="127">
        <f>J128/'Revenue summary'!J91</f>
        <v>0.6787459658828954</v>
      </c>
      <c r="K129" s="13"/>
    </row>
    <row r="130">
      <c r="A130" s="3"/>
      <c r="B130" s="16" t="s">
        <v>376</v>
      </c>
      <c r="C130" s="6">
        <v>332</v>
      </c>
      <c r="D130" s="6">
        <v>167</v>
      </c>
      <c r="E130" s="6">
        <v>116</v>
      </c>
      <c r="F130" s="6">
        <v>130</v>
      </c>
      <c r="G130" s="5">
        <f>SUM(C130:F130)</f>
        <v>745</v>
      </c>
      <c r="H130" s="5">
        <f>C22</f>
        <v>298</v>
      </c>
      <c r="I130" s="5">
        <f>D22</f>
        <v>125</v>
      </c>
      <c r="J130" s="31">
        <f>E22</f>
        <v>40</v>
      </c>
      <c r="K130" s="13" t="s">
        <v>375</v>
      </c>
    </row>
    <row r="131">
      <c r="A131" s="3"/>
      <c r="B131" s="16" t="s">
        <v>377</v>
      </c>
      <c r="C131" s="6">
        <v>3045</v>
      </c>
      <c r="D131" s="6">
        <v>3444</v>
      </c>
      <c r="E131" s="6">
        <v>3654</v>
      </c>
      <c r="F131" s="6">
        <v>3259</v>
      </c>
      <c r="G131" s="5">
        <f>SUM(C131:F131)</f>
        <v>13402</v>
      </c>
      <c r="H131" s="5">
        <f>C25</f>
        <v>3544</v>
      </c>
      <c r="I131" s="5">
        <f>D25</f>
        <v>3712</v>
      </c>
      <c r="J131" s="31">
        <f>E25</f>
        <v>4263</v>
      </c>
      <c r="K131" s="13" t="s">
        <v>375</v>
      </c>
    </row>
    <row r="132">
      <c r="A132" s="3"/>
      <c r="B132" s="21" t="s">
        <v>378</v>
      </c>
      <c r="C132" s="123">
        <f>C131/'Revenue summary'!C91</f>
        <v>0.3462981917434323</v>
      </c>
      <c r="D132" s="123">
        <f>D131/'Revenue summary'!D91</f>
        <v>0.3637515842839037</v>
      </c>
      <c r="E132" s="123">
        <f>E131/'Revenue summary'!E91</f>
        <v>0.3686812632428615</v>
      </c>
      <c r="F132" s="123">
        <f>F131/'Revenue summary'!F91</f>
        <v>0.3357716876159077</v>
      </c>
      <c r="G132" s="123">
        <f>G131/'Revenue summary'!G91</f>
        <v>0.3538201594593168</v>
      </c>
      <c r="H132" s="123">
        <f>H131/'Revenue summary'!H91</f>
        <v>0.3810342973873777</v>
      </c>
      <c r="I132" s="123">
        <f>I131/'Revenue summary'!I91</f>
        <v>0.3660749506903353</v>
      </c>
      <c r="J132" s="127">
        <f>J131/'Revenue summary'!J91</f>
        <v>0.39308437067773166</v>
      </c>
      <c r="K132" s="1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50"/>
      <c r="K133" s="13"/>
    </row>
    <row r="134">
      <c r="A134" s="3"/>
      <c r="B134" s="167" t="s">
        <v>379</v>
      </c>
      <c r="C134" s="168"/>
      <c r="D134" s="168"/>
      <c r="E134" s="168"/>
      <c r="F134" s="168"/>
      <c r="G134" s="168"/>
      <c r="H134" s="168"/>
      <c r="I134" s="168"/>
      <c r="J134" s="179"/>
      <c r="K134" s="170"/>
    </row>
    <row r="135">
      <c r="B135" s="175" t="s">
        <v>380</v>
      </c>
      <c r="C135" s="171">
        <f>C13-C104</f>
        <v>2183</v>
      </c>
      <c r="D135" s="171">
        <f>D13-D104</f>
        <v>2495</v>
      </c>
      <c r="E135" s="171">
        <f>E13-E104</f>
        <v>2652</v>
      </c>
      <c r="F135" s="171">
        <f>F13-F104</f>
        <v>2897</v>
      </c>
      <c r="G135" s="171">
        <f>G13-G104</f>
        <v>10227</v>
      </c>
      <c r="H135" s="171">
        <f>H13-H104</f>
        <v>2582</v>
      </c>
      <c r="I135" s="171">
        <f>I13-I104</f>
        <v>2739</v>
      </c>
      <c r="J135" s="174">
        <f>J13-J104</f>
        <v>2678.8488270435428</v>
      </c>
      <c r="K135" s="173" t="s">
        <v>381</v>
      </c>
    </row>
    <row r="136">
      <c r="B136" s="166" t="s">
        <v>66</v>
      </c>
      <c r="C136" s="176"/>
      <c r="D136" s="176"/>
      <c r="E136" s="176"/>
      <c r="F136" s="176"/>
      <c r="G136" s="176"/>
      <c r="H136" s="176">
        <f>H135/C135-1</f>
        <v>0.18277599633531838</v>
      </c>
      <c r="I136" s="176">
        <f>I135/D135-1</f>
        <v>0.0977955911823647</v>
      </c>
      <c r="J136" s="178">
        <f>J135/E135-1</f>
        <v>0.010123992097866852</v>
      </c>
      <c r="K136" s="173"/>
    </row>
    <row r="137">
      <c r="B137" s="166" t="s">
        <v>67</v>
      </c>
      <c r="C137" s="176"/>
      <c r="D137" s="176">
        <f>D135/C135-1</f>
        <v>0.14292258360054966</v>
      </c>
      <c r="E137" s="176">
        <f>E135/D135-1</f>
        <v>0.06292585170340681</v>
      </c>
      <c r="F137" s="176">
        <f>F135/E135-1</f>
        <v>0.09238310708898934</v>
      </c>
      <c r="G137" s="176"/>
      <c r="H137" s="176">
        <f>H135/F135-1</f>
        <v>-0.10873317224715218</v>
      </c>
      <c r="I137" s="176">
        <f>I135/H135-1</f>
        <v>0.060805577072037265</v>
      </c>
      <c r="J137" s="178">
        <f>J135/I135-1</f>
        <v>-0.02196099779352212</v>
      </c>
      <c r="K137" s="173"/>
    </row>
    <row r="138">
      <c r="B138" s="166" t="s">
        <v>382</v>
      </c>
      <c r="C138" s="175"/>
      <c r="D138" s="175"/>
      <c r="E138" s="175"/>
      <c r="F138" s="175"/>
      <c r="G138" s="175"/>
      <c r="H138" s="175"/>
      <c r="I138" s="175"/>
      <c r="J138" s="177">
        <f>-(I135-J135)*(1-J123)/J52</f>
        <v>-0.030198949359921075</v>
      </c>
      <c r="K138" s="173" t="s">
        <v>383</v>
      </c>
    </row>
    <row r="139">
      <c r="J139" s="213"/>
    </row>
    <row r="140">
      <c r="B140" s="216" t="s">
        <v>384</v>
      </c>
      <c r="J140" s="213"/>
      <c r="K140" s="208"/>
    </row>
    <row r="141">
      <c r="B141" s="204" t="s">
        <v>385</v>
      </c>
      <c r="C141" s="207">
        <f>'Segment - Intl Smoke-Free'!C62+'Segment - Intl Combustibles'!C40-C85</f>
        <v>1936</v>
      </c>
      <c r="D141" s="207">
        <f>'Segment - Intl Smoke-Free'!D62+'Segment - Intl Combustibles'!D40-D85</f>
        <v>2237</v>
      </c>
      <c r="E141" s="207">
        <f>'Segment - Intl Smoke-Free'!E62+'Segment - Intl Combustibles'!E40-E85</f>
        <v>2385</v>
      </c>
      <c r="F141" s="207">
        <f>'Segment - Intl Smoke-Free'!F62+'Segment - Intl Combustibles'!F40-F85</f>
        <v>2588</v>
      </c>
      <c r="G141" s="207">
        <f>'Segment - Intl Smoke-Free'!G62+'Segment - Intl Combustibles'!G40-G85</f>
        <v>9146</v>
      </c>
      <c r="H141" s="207">
        <f>'Segment - Intl Smoke-Free'!H62+'Segment - Intl Combustibles'!H40-H85</f>
        <v>2302</v>
      </c>
      <c r="I141" s="207">
        <f>'Segment - Intl Smoke-Free'!I62+'Segment - Intl Combustibles'!I40-I85</f>
        <v>2463</v>
      </c>
      <c r="J141" s="211">
        <f>'Segment - Intl Smoke-Free'!J62+'Segment - Intl Combustibles'!J40-J85</f>
        <v>2365.9774122174795</v>
      </c>
      <c r="K141" s="208" t="s">
        <v>386</v>
      </c>
    </row>
    <row r="142">
      <c r="B142" s="214" t="s">
        <v>67</v>
      </c>
      <c r="C142" s="209"/>
      <c r="D142" s="209">
        <f>D141/C141-1</f>
        <v>0.15547520661157033</v>
      </c>
      <c r="E142" s="209">
        <f>E141/D141-1</f>
        <v>0.06616003576218144</v>
      </c>
      <c r="F142" s="209">
        <f>F141/E141-1</f>
        <v>0.08511530398322842</v>
      </c>
      <c r="G142" s="209"/>
      <c r="H142" s="209">
        <f>H141/F141-1</f>
        <v>-0.11051004636785167</v>
      </c>
      <c r="I142" s="209">
        <f>I141/H141-1</f>
        <v>0.06993918331885318</v>
      </c>
      <c r="J142" s="205">
        <f>J141/I141-1</f>
        <v>-0.039392037264523116</v>
      </c>
      <c r="K142" s="208" t="s">
        <v>387</v>
      </c>
    </row>
    <row r="143">
      <c r="B143" s="214" t="s">
        <v>66</v>
      </c>
      <c r="C143" s="209"/>
      <c r="D143" s="209"/>
      <c r="E143" s="209"/>
      <c r="F143" s="209"/>
      <c r="G143" s="209"/>
      <c r="H143" s="209">
        <f>H141/C141-1</f>
        <v>0.18904958677685957</v>
      </c>
      <c r="I143" s="209">
        <f>I141/D141-1</f>
        <v>0.1010281627179257</v>
      </c>
      <c r="J143" s="205">
        <f>J141/E141-1</f>
        <v>-0.007975927791413207</v>
      </c>
      <c r="K143" s="208"/>
    </row>
    <row r="144">
      <c r="B144" s="204" t="s">
        <v>388</v>
      </c>
      <c r="C144" s="207">
        <f>'Segment - U.S.'!C75-C96</f>
        <v>248</v>
      </c>
      <c r="D144" s="207">
        <f>'Segment - U.S.'!D75-D96</f>
        <v>258</v>
      </c>
      <c r="E144" s="207">
        <f>'Segment - U.S.'!E75-E96</f>
        <v>267</v>
      </c>
      <c r="F144" s="207">
        <f>'Segment - U.S.'!F75-F96</f>
        <v>310</v>
      </c>
      <c r="G144" s="207">
        <f>'Segment - U.S.'!G75-G96</f>
        <v>1083</v>
      </c>
      <c r="H144" s="207">
        <f>'Segment - U.S.'!H75-H96</f>
        <v>281</v>
      </c>
      <c r="I144" s="207">
        <f>'Segment - U.S.'!I75-I96</f>
        <v>276</v>
      </c>
      <c r="J144" s="211">
        <f>'Segment - U.S.'!J75-J96</f>
        <v>312.87141482606285</v>
      </c>
      <c r="K144" s="208" t="s">
        <v>389</v>
      </c>
    </row>
    <row r="145">
      <c r="B145" s="214" t="s">
        <v>67</v>
      </c>
      <c r="C145" s="209"/>
      <c r="D145" s="209">
        <f>D144/C144-1</f>
        <v>0.040322580645161255</v>
      </c>
      <c r="E145" s="209">
        <f>E144/D144-1</f>
        <v>0.03488372093023262</v>
      </c>
      <c r="F145" s="209">
        <f>F144/E144-1</f>
        <v>0.16104868913857673</v>
      </c>
      <c r="G145" s="209"/>
      <c r="H145" s="209">
        <f>H144/F144-1</f>
        <v>-0.09354838709677415</v>
      </c>
      <c r="I145" s="209">
        <f>I144/H144-1</f>
        <v>-0.017793594306049876</v>
      </c>
      <c r="J145" s="205">
        <f>J144/I144-1</f>
        <v>0.13359208270312628</v>
      </c>
      <c r="K145" s="208"/>
    </row>
    <row r="146">
      <c r="B146" s="214" t="s">
        <v>66</v>
      </c>
      <c r="C146" s="209"/>
      <c r="D146" s="209"/>
      <c r="E146" s="209"/>
      <c r="F146" s="209"/>
      <c r="G146" s="209"/>
      <c r="H146" s="209">
        <f>H144/C144-1</f>
        <v>0.13306451612903225</v>
      </c>
      <c r="I146" s="209">
        <f>I144/D144-1</f>
        <v>0.06976744186046502</v>
      </c>
      <c r="J146" s="205">
        <f>J144/E144-1</f>
        <v>0.17180305178300692</v>
      </c>
      <c r="K146" s="208"/>
    </row>
    <row r="147">
      <c r="B147" s="204" t="s">
        <v>390</v>
      </c>
      <c r="C147" s="207">
        <f>C141+C144-C135</f>
        <v>1</v>
      </c>
      <c r="D147" s="207">
        <f>D141+D144-D135</f>
        <v>0</v>
      </c>
      <c r="E147" s="207">
        <f>E141+E144-E135</f>
        <v>0</v>
      </c>
      <c r="F147" s="207">
        <f>F141+F144-F135</f>
        <v>1</v>
      </c>
      <c r="G147" s="207">
        <f>G141+G144-G135</f>
        <v>2</v>
      </c>
      <c r="H147" s="207">
        <f>H141+H144-H135</f>
        <v>1</v>
      </c>
      <c r="I147" s="207">
        <f>I141+I144-I135</f>
        <v>0</v>
      </c>
      <c r="J147" s="211">
        <f>J141+J144-J135</f>
        <v>0</v>
      </c>
      <c r="K147" s="208" t="s">
        <v>391</v>
      </c>
    </row>
    <row r="148">
      <c r="J148" s="213"/>
      <c r="K148" s="208"/>
    </row>
    <row r="149">
      <c r="B149" s="216" t="s">
        <v>392</v>
      </c>
      <c r="J149" s="213"/>
      <c r="K149" s="208"/>
    </row>
    <row r="150">
      <c r="B150" s="204" t="s">
        <v>393</v>
      </c>
      <c r="C150" s="207">
        <f>-C39</f>
        <v>205</v>
      </c>
      <c r="D150" s="207">
        <f>-D39</f>
        <v>376</v>
      </c>
      <c r="E150" s="207">
        <f>-E39</f>
        <v>345</v>
      </c>
      <c r="F150" s="207">
        <f>-F39</f>
        <v>-221</v>
      </c>
      <c r="G150" s="207">
        <f>-G39</f>
        <v>705</v>
      </c>
      <c r="H150" s="207">
        <f>-H39</f>
        <v>-403</v>
      </c>
      <c r="I150" s="207">
        <f>-I39</f>
        <v>159</v>
      </c>
      <c r="J150" s="211">
        <f>-J39</f>
        <v>70</v>
      </c>
      <c r="K150" s="208"/>
    </row>
    <row r="151">
      <c r="B151" s="204" t="s">
        <v>394</v>
      </c>
      <c r="C151" s="207">
        <f>(C65+C68+C69)*C52</f>
        <v>-140.13</v>
      </c>
      <c r="D151" s="207">
        <f>(D65+D68+D69)*D52</f>
        <v>-264.86</v>
      </c>
      <c r="E151" s="207">
        <f>(E65+E68+E69)*E52</f>
        <v>-124.64000000000003</v>
      </c>
      <c r="F151" s="207">
        <f>(F65+F68+F69)*F52</f>
        <v>218.12000000000003</v>
      </c>
      <c r="G151" s="207">
        <f>(G65+G68+G69)*G52</f>
        <v>-296.02000000000004</v>
      </c>
      <c r="H151" s="207">
        <f>(H65+H68+H69)*H52</f>
        <v>342.98</v>
      </c>
      <c r="I151" s="207">
        <f>(I65+I68+I69)*I52</f>
        <v>-93.6</v>
      </c>
      <c r="J151" s="211">
        <f>(J65+J68+J69)*J52</f>
        <v>0</v>
      </c>
      <c r="K151" s="208" t="s">
        <v>395</v>
      </c>
    </row>
    <row r="152">
      <c r="B152" s="204" t="s">
        <v>396</v>
      </c>
      <c r="C152" s="207">
        <f>C150+C151</f>
        <v>64.87</v>
      </c>
      <c r="D152" s="207">
        <f>D150+D151</f>
        <v>111.13999999999999</v>
      </c>
      <c r="E152" s="207">
        <f>E150+E151</f>
        <v>220.35999999999996</v>
      </c>
      <c r="F152" s="207">
        <f>F150+F151</f>
        <v>-2.879999999999967</v>
      </c>
      <c r="G152" s="207">
        <f>G150+G151</f>
        <v>408.97999999999996</v>
      </c>
      <c r="H152" s="207">
        <f>H150+H151</f>
        <v>-60.01999999999998</v>
      </c>
      <c r="I152" s="207">
        <f>I150+I151</f>
        <v>65.4</v>
      </c>
      <c r="J152" s="211">
        <f>J150+J151</f>
        <v>70</v>
      </c>
      <c r="K152" s="208" t="s">
        <v>397</v>
      </c>
    </row>
    <row r="153">
      <c r="B153" s="204" t="s">
        <v>398</v>
      </c>
      <c r="C153" s="206">
        <v>-183</v>
      </c>
      <c r="D153" s="206">
        <v>-342</v>
      </c>
      <c r="E153" s="206">
        <v>-288</v>
      </c>
      <c r="F153" s="206"/>
      <c r="G153" s="206"/>
      <c r="H153" s="206">
        <v>433</v>
      </c>
      <c r="I153" s="206">
        <v>-125</v>
      </c>
      <c r="J153" s="215">
        <v>0</v>
      </c>
      <c r="K153" s="208" t="s">
        <v>399</v>
      </c>
    </row>
    <row r="154">
      <c r="B154" s="204" t="s">
        <v>400</v>
      </c>
      <c r="C154" s="207">
        <f>IF(ISNUMBER(C153),C150+C153,"")</f>
        <v>22</v>
      </c>
      <c r="D154" s="207">
        <f>IF(ISNUMBER(D153),D150+D153,"")</f>
        <v>34</v>
      </c>
      <c r="E154" s="207">
        <f>IF(ISNUMBER(E153),E150+E153,"")</f>
        <v>57</v>
      </c>
      <c r="F154" s="207" t="str">
        <f>IF(ISNUMBER(F153),F150+F153,"")</f>
        <v/>
      </c>
      <c r="G154" s="207" t="str">
        <f>IF(ISNUMBER(G153),G150+G153,"")</f>
        <v/>
      </c>
      <c r="H154" s="207">
        <f>IF(ISNUMBER(H153),H150+H153,"")</f>
        <v>30</v>
      </c>
      <c r="I154" s="207">
        <f>IF(ISNUMBER(I153),I150+I153,"")</f>
        <v>34</v>
      </c>
      <c r="J154" s="211">
        <f>IF(ISNUMBER(J153),J150+J153,"")</f>
        <v>70</v>
      </c>
      <c r="K154" s="208" t="s">
        <v>401</v>
      </c>
    </row>
    <row r="155">
      <c r="B155" s="214" t="s">
        <v>402</v>
      </c>
      <c r="J155" s="212">
        <f>AVERAGE(C154:F154,H154:I154)</f>
        <v>35.4</v>
      </c>
      <c r="K155" s="208" t="s">
        <v>403</v>
      </c>
    </row>
    <row r="156">
      <c r="B156" s="214" t="s">
        <v>404</v>
      </c>
      <c r="J156" s="210">
        <f>(J155-J125)/J52</f>
        <v>-0.02218513470417217</v>
      </c>
      <c r="K156" s="208" t="s">
        <v>405</v>
      </c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406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407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16" t="s">
        <v>408</v>
      </c>
      <c r="C9" s="6">
        <v>4443</v>
      </c>
      <c r="D9" s="6">
        <v>4138</v>
      </c>
      <c r="E9" s="6">
        <v>4037</v>
      </c>
      <c r="F9" s="6">
        <v>4872</v>
      </c>
      <c r="G9" s="5">
        <f>F9</f>
        <v>4872</v>
      </c>
      <c r="H9" s="6">
        <v>5450</v>
      </c>
      <c r="I9" s="6">
        <v>5999</v>
      </c>
      <c r="J9" s="109">
        <f>'Cash Flow Statement'!J48-J57</f>
        <v>7582.064308479177</v>
      </c>
      <c r="K9" s="13" t="s">
        <v>409</v>
      </c>
    </row>
    <row r="10">
      <c r="A10" s="3"/>
      <c r="B10" s="16" t="s">
        <v>410</v>
      </c>
      <c r="C10" s="6">
        <v>4880</v>
      </c>
      <c r="D10" s="6">
        <v>4994</v>
      </c>
      <c r="E10" s="6">
        <v>4796</v>
      </c>
      <c r="F10" s="6">
        <v>4572</v>
      </c>
      <c r="G10" s="5">
        <f>F10</f>
        <v>4572</v>
      </c>
      <c r="H10" s="6">
        <v>5120</v>
      </c>
      <c r="I10" s="6">
        <v>5179</v>
      </c>
      <c r="J10" s="109">
        <f>I10-'Cash Flow Statement'!J16</f>
        <v>4879</v>
      </c>
      <c r="K10" s="13"/>
    </row>
    <row r="11">
      <c r="A11" s="3"/>
      <c r="B11" s="16" t="s">
        <v>411</v>
      </c>
      <c r="C11" s="6">
        <v>913</v>
      </c>
      <c r="D11" s="6">
        <v>895</v>
      </c>
      <c r="E11" s="6">
        <v>1027</v>
      </c>
      <c r="F11" s="6">
        <v>1238</v>
      </c>
      <c r="G11" s="5">
        <f>F11</f>
        <v>1238</v>
      </c>
      <c r="H11" s="6">
        <v>1270</v>
      </c>
      <c r="I11" s="6">
        <v>1295</v>
      </c>
      <c r="J11" s="31">
        <f>I11</f>
        <v>1295</v>
      </c>
      <c r="K11" s="13"/>
    </row>
    <row r="12">
      <c r="A12" s="3"/>
      <c r="B12" s="67" t="s">
        <v>412</v>
      </c>
      <c r="C12" s="6">
        <v>2166</v>
      </c>
      <c r="D12" s="6">
        <v>2195</v>
      </c>
      <c r="E12" s="6">
        <v>2300</v>
      </c>
      <c r="F12" s="6">
        <v>2425</v>
      </c>
      <c r="G12" s="5">
        <f>F12</f>
        <v>2425</v>
      </c>
      <c r="H12" s="6">
        <v>2565</v>
      </c>
      <c r="I12" s="6">
        <v>2639</v>
      </c>
      <c r="J12" s="31">
        <f>I12</f>
        <v>2639</v>
      </c>
      <c r="K12" s="13"/>
    </row>
    <row r="13">
      <c r="A13" s="3"/>
      <c r="B13" s="67" t="s">
        <v>413</v>
      </c>
      <c r="C13" s="6">
        <v>2631</v>
      </c>
      <c r="D13" s="6">
        <v>2815</v>
      </c>
      <c r="E13" s="6">
        <v>2702</v>
      </c>
      <c r="F13" s="6">
        <v>2223</v>
      </c>
      <c r="G13" s="5">
        <f>F13</f>
        <v>2223</v>
      </c>
      <c r="H13" s="6">
        <v>2473</v>
      </c>
      <c r="I13" s="6">
        <v>2629</v>
      </c>
      <c r="J13" s="31">
        <f>I13</f>
        <v>2629</v>
      </c>
      <c r="K13" s="13"/>
    </row>
    <row r="14">
      <c r="A14" s="3"/>
      <c r="B14" s="67" t="s">
        <v>414</v>
      </c>
      <c r="C14" s="6">
        <v>5330</v>
      </c>
      <c r="D14" s="6">
        <v>5718</v>
      </c>
      <c r="E14" s="6">
        <v>5265</v>
      </c>
      <c r="F14" s="6">
        <v>6830</v>
      </c>
      <c r="G14" s="5">
        <f>F14</f>
        <v>6830</v>
      </c>
      <c r="H14" s="6">
        <v>6354</v>
      </c>
      <c r="I14" s="6">
        <v>6168</v>
      </c>
      <c r="J14" s="31">
        <f>I14</f>
        <v>6168</v>
      </c>
      <c r="K14" s="13"/>
    </row>
    <row r="15">
      <c r="A15" s="3"/>
      <c r="B15" s="2" t="s">
        <v>415</v>
      </c>
      <c r="C15" s="14">
        <f>C12+C13+C14</f>
        <v>10127</v>
      </c>
      <c r="D15" s="14">
        <f>D12+D13+D14</f>
        <v>10728</v>
      </c>
      <c r="E15" s="14">
        <f>E12+E13+E14</f>
        <v>10267</v>
      </c>
      <c r="F15" s="14">
        <f>F12+F13+F14</f>
        <v>11478</v>
      </c>
      <c r="G15" s="14">
        <f>G12+G13+G14</f>
        <v>11478</v>
      </c>
      <c r="H15" s="14">
        <f>H12+H13+H14</f>
        <v>11392</v>
      </c>
      <c r="I15" s="14">
        <f>I12+I13+I14</f>
        <v>11436</v>
      </c>
      <c r="J15" s="72">
        <f>J12+J13+J14</f>
        <v>11436</v>
      </c>
      <c r="K15" s="13"/>
    </row>
    <row r="16">
      <c r="A16" s="3"/>
      <c r="B16" s="16" t="s">
        <v>416</v>
      </c>
      <c r="C16" s="6">
        <v>1833</v>
      </c>
      <c r="D16" s="6">
        <v>2609</v>
      </c>
      <c r="E16" s="6">
        <v>2538</v>
      </c>
      <c r="F16" s="6">
        <v>2203</v>
      </c>
      <c r="G16" s="5">
        <f>F16</f>
        <v>2203</v>
      </c>
      <c r="H16" s="6">
        <v>2370</v>
      </c>
      <c r="I16" s="6">
        <v>2097</v>
      </c>
      <c r="J16" s="31">
        <f>I16</f>
        <v>2097</v>
      </c>
      <c r="K16" s="13"/>
    </row>
    <row r="17">
      <c r="A17" s="3"/>
      <c r="B17" s="2" t="s">
        <v>417</v>
      </c>
      <c r="C17" s="14">
        <f>C9+C10+C11+C15+C16</f>
        <v>22196</v>
      </c>
      <c r="D17" s="14">
        <f>D9+D10+D11+D15+D16</f>
        <v>23364</v>
      </c>
      <c r="E17" s="14">
        <f>E9+E10+E11+E15+E16</f>
        <v>22665</v>
      </c>
      <c r="F17" s="14">
        <f>F9+F10+F11+F15+F16</f>
        <v>24363</v>
      </c>
      <c r="G17" s="14">
        <f>G9+G10+G11+G15+G16</f>
        <v>24363</v>
      </c>
      <c r="H17" s="14">
        <f>H9+H10+H11+H15+H16</f>
        <v>25602</v>
      </c>
      <c r="I17" s="14">
        <f>I9+I10+I11+I15+I16</f>
        <v>26006</v>
      </c>
      <c r="J17" s="72">
        <f>J9+J10+J11+J15+J16</f>
        <v>27289.064308479177</v>
      </c>
      <c r="K17" s="13"/>
    </row>
    <row r="18">
      <c r="A18" s="3"/>
      <c r="B18" s="16" t="s">
        <v>418</v>
      </c>
      <c r="C18" s="6">
        <v>17428</v>
      </c>
      <c r="D18" s="6">
        <v>18999</v>
      </c>
      <c r="E18" s="6">
        <v>19186</v>
      </c>
      <c r="F18" s="6">
        <v>19616</v>
      </c>
      <c r="G18" s="5">
        <f>F18</f>
        <v>19616</v>
      </c>
      <c r="H18" s="6">
        <v>19452</v>
      </c>
      <c r="I18" s="6">
        <v>19556</v>
      </c>
      <c r="J18" s="109">
        <f>I18-'Cash Flow Statement'!J27</f>
        <v>19941</v>
      </c>
      <c r="K18" s="13"/>
    </row>
    <row r="19">
      <c r="A19" s="3"/>
      <c r="B19" s="67" t="s">
        <v>419</v>
      </c>
      <c r="C19" s="6">
        <v>9896</v>
      </c>
      <c r="D19" s="6">
        <v>10956</v>
      </c>
      <c r="E19" s="6">
        <v>11071</v>
      </c>
      <c r="F19" s="6">
        <v>11219</v>
      </c>
      <c r="G19" s="5">
        <f>F19</f>
        <v>11219</v>
      </c>
      <c r="H19" s="6">
        <v>11193</v>
      </c>
      <c r="I19" s="6">
        <v>11243</v>
      </c>
      <c r="J19" s="109">
        <f>I19+'Cash Flow Statement'!J55</f>
        <v>11506</v>
      </c>
      <c r="K19" s="13"/>
    </row>
    <row r="20">
      <c r="A20" s="3"/>
      <c r="B20" s="2" t="s">
        <v>420</v>
      </c>
      <c r="C20" s="14">
        <f>C18-C19</f>
        <v>7532</v>
      </c>
      <c r="D20" s="14">
        <f>D18-D19</f>
        <v>8043</v>
      </c>
      <c r="E20" s="14">
        <f>E18-E19</f>
        <v>8115</v>
      </c>
      <c r="F20" s="14">
        <f>F18-F19</f>
        <v>8397</v>
      </c>
      <c r="G20" s="14">
        <f>G18-G19</f>
        <v>8397</v>
      </c>
      <c r="H20" s="14">
        <f>H18-H19</f>
        <v>8259</v>
      </c>
      <c r="I20" s="14">
        <f>I18-I19</f>
        <v>8313</v>
      </c>
      <c r="J20" s="72">
        <f>J18-J19</f>
        <v>8435</v>
      </c>
      <c r="K20" s="13"/>
    </row>
    <row r="21">
      <c r="A21" s="3"/>
      <c r="B21" s="16" t="s">
        <v>421</v>
      </c>
      <c r="C21" s="6">
        <v>16864</v>
      </c>
      <c r="D21" s="6">
        <v>17225</v>
      </c>
      <c r="E21" s="6">
        <v>17181</v>
      </c>
      <c r="F21" s="6">
        <v>17264</v>
      </c>
      <c r="G21" s="5">
        <f>F21</f>
        <v>17264</v>
      </c>
      <c r="H21" s="6">
        <v>17069</v>
      </c>
      <c r="I21" s="6">
        <v>16917</v>
      </c>
      <c r="J21" s="31">
        <f>I21</f>
        <v>16917</v>
      </c>
      <c r="K21" s="13"/>
    </row>
    <row r="22">
      <c r="A22" s="3"/>
      <c r="B22" s="16" t="s">
        <v>422</v>
      </c>
      <c r="C22" s="6">
        <v>11345</v>
      </c>
      <c r="D22" s="6">
        <v>11382</v>
      </c>
      <c r="E22" s="6">
        <v>11146</v>
      </c>
      <c r="F22" s="6">
        <v>10884</v>
      </c>
      <c r="G22" s="5">
        <f>F22</f>
        <v>10884</v>
      </c>
      <c r="H22" s="6">
        <v>10512</v>
      </c>
      <c r="I22" s="6">
        <v>10178</v>
      </c>
      <c r="J22" s="109">
        <f>I22+'Income Statement'!J110</f>
        <v>9927</v>
      </c>
      <c r="K22" s="13"/>
    </row>
    <row r="23">
      <c r="A23" s="3"/>
      <c r="B23" s="16" t="s">
        <v>423</v>
      </c>
      <c r="C23" s="6">
        <v>2972</v>
      </c>
      <c r="D23" s="6">
        <v>3352</v>
      </c>
      <c r="E23" s="6">
        <v>3133</v>
      </c>
      <c r="F23" s="6">
        <v>2891</v>
      </c>
      <c r="G23" s="5">
        <f>F23</f>
        <v>2891</v>
      </c>
      <c r="H23" s="6">
        <v>2478</v>
      </c>
      <c r="I23" s="6">
        <v>2130</v>
      </c>
      <c r="J23" s="31">
        <f>I23</f>
        <v>2130</v>
      </c>
      <c r="K23" s="13"/>
    </row>
    <row r="24">
      <c r="A24" s="3"/>
      <c r="B24" s="16" t="s">
        <v>424</v>
      </c>
      <c r="C24" s="6">
        <v>1287</v>
      </c>
      <c r="D24" s="6">
        <v>1111</v>
      </c>
      <c r="E24" s="6">
        <v>1057</v>
      </c>
      <c r="F24" s="6">
        <v>1247</v>
      </c>
      <c r="G24" s="5">
        <f>F24</f>
        <v>1247</v>
      </c>
      <c r="H24" s="6">
        <v>1197</v>
      </c>
      <c r="I24" s="6">
        <v>1137</v>
      </c>
      <c r="J24" s="31">
        <f>I24</f>
        <v>1137</v>
      </c>
      <c r="K24" s="13"/>
    </row>
    <row r="25">
      <c r="A25" s="3"/>
      <c r="B25" s="16" t="s">
        <v>425</v>
      </c>
      <c r="C25" s="6">
        <v>2883</v>
      </c>
      <c r="D25" s="6">
        <v>4029</v>
      </c>
      <c r="E25" s="6">
        <v>3764</v>
      </c>
      <c r="F25" s="6">
        <v>4139</v>
      </c>
      <c r="G25" s="5">
        <f>F25</f>
        <v>4139</v>
      </c>
      <c r="H25" s="6">
        <v>3796</v>
      </c>
      <c r="I25" s="6">
        <v>3590</v>
      </c>
      <c r="J25" s="31">
        <f>I25</f>
        <v>3590</v>
      </c>
      <c r="K25" s="13"/>
    </row>
    <row r="26">
      <c r="A26" s="3"/>
      <c r="B26" s="2" t="s">
        <v>426</v>
      </c>
      <c r="C26" s="14">
        <f>C17+C20+C21+C22+C23+C24+C25</f>
        <v>65079</v>
      </c>
      <c r="D26" s="14">
        <f>D17+D20+D21+D22+D23+D24+D25</f>
        <v>68506</v>
      </c>
      <c r="E26" s="14">
        <f>E17+E20+E21+E22+E23+E24+E25</f>
        <v>67061</v>
      </c>
      <c r="F26" s="14">
        <f>F17+F20+F21+F22+F23+F24+F25</f>
        <v>69185</v>
      </c>
      <c r="G26" s="14">
        <f>G17+G20+G21+G22+G23+G24+G25</f>
        <v>69185</v>
      </c>
      <c r="H26" s="14">
        <f>H17+H20+H21+H22+H23+H24+H25</f>
        <v>68913</v>
      </c>
      <c r="I26" s="14">
        <f>I17+I20+I21+I22+I23+I24+I25</f>
        <v>68271</v>
      </c>
      <c r="J26" s="72">
        <f>J17+J20+J21+J22+J23+J24+J25</f>
        <v>69425.06430847918</v>
      </c>
      <c r="K26" s="13"/>
    </row>
    <row r="27">
      <c r="A27" s="3"/>
      <c r="B27" s="3"/>
      <c r="C27" s="3"/>
      <c r="D27" s="3"/>
      <c r="E27" s="3"/>
      <c r="F27" s="3"/>
      <c r="G27" s="3"/>
      <c r="H27" s="3"/>
      <c r="I27" s="3"/>
      <c r="J27" s="50"/>
      <c r="K27" s="13"/>
    </row>
    <row r="28">
      <c r="A28" s="3"/>
      <c r="B28" s="70" t="s">
        <v>427</v>
      </c>
      <c r="C28" s="3"/>
      <c r="D28" s="3"/>
      <c r="E28" s="3"/>
      <c r="F28" s="3"/>
      <c r="G28" s="3"/>
      <c r="H28" s="3"/>
      <c r="I28" s="3"/>
      <c r="J28" s="50"/>
      <c r="K28" s="13"/>
    </row>
    <row r="29">
      <c r="A29" s="3"/>
      <c r="B29" s="16" t="s">
        <v>428</v>
      </c>
      <c r="C29" s="6">
        <v>4438</v>
      </c>
      <c r="D29" s="6">
        <v>2540</v>
      </c>
      <c r="E29" s="6">
        <v>1880</v>
      </c>
      <c r="F29" s="6">
        <v>168</v>
      </c>
      <c r="G29" s="5">
        <f>F29</f>
        <v>168</v>
      </c>
      <c r="H29" s="6">
        <v>5693</v>
      </c>
      <c r="I29" s="6">
        <v>3341</v>
      </c>
      <c r="J29" s="31">
        <f>I29</f>
        <v>3341</v>
      </c>
      <c r="K29" s="13"/>
    </row>
    <row r="30">
      <c r="A30" s="3"/>
      <c r="B30" s="16" t="s">
        <v>429</v>
      </c>
      <c r="C30" s="6">
        <v>6360</v>
      </c>
      <c r="D30" s="6">
        <v>6491</v>
      </c>
      <c r="E30" s="6">
        <v>6339</v>
      </c>
      <c r="F30" s="6">
        <v>3533</v>
      </c>
      <c r="G30" s="5">
        <f>F30</f>
        <v>3533</v>
      </c>
      <c r="H30" s="6">
        <v>2447</v>
      </c>
      <c r="I30" s="6">
        <v>3406</v>
      </c>
      <c r="J30" s="31">
        <f>I30</f>
        <v>3406</v>
      </c>
      <c r="K30" s="13"/>
    </row>
    <row r="31">
      <c r="A31" s="3"/>
      <c r="B31" s="16" t="s">
        <v>430</v>
      </c>
      <c r="C31" s="6">
        <v>3749</v>
      </c>
      <c r="D31" s="6">
        <v>3870</v>
      </c>
      <c r="E31" s="6">
        <v>3978</v>
      </c>
      <c r="F31" s="6">
        <v>4407</v>
      </c>
      <c r="G31" s="5">
        <f>F31</f>
        <v>4407</v>
      </c>
      <c r="H31" s="6">
        <v>3927</v>
      </c>
      <c r="I31" s="6">
        <v>3919</v>
      </c>
      <c r="J31" s="31">
        <f>I31</f>
        <v>3919</v>
      </c>
      <c r="K31" s="13"/>
    </row>
    <row r="32">
      <c r="A32" s="3"/>
      <c r="B32" s="67" t="s">
        <v>431</v>
      </c>
      <c r="C32" s="6">
        <v>949</v>
      </c>
      <c r="D32" s="6">
        <v>1169</v>
      </c>
      <c r="E32" s="6">
        <v>1405</v>
      </c>
      <c r="F32" s="6">
        <v>1354</v>
      </c>
      <c r="G32" s="5">
        <f>F32</f>
        <v>1354</v>
      </c>
      <c r="H32" s="6">
        <v>1298</v>
      </c>
      <c r="I32" s="6">
        <v>1348</v>
      </c>
      <c r="J32" s="31">
        <f>I32</f>
        <v>1348</v>
      </c>
      <c r="K32" s="13"/>
    </row>
    <row r="33">
      <c r="A33" s="3"/>
      <c r="B33" s="67" t="s">
        <v>432</v>
      </c>
      <c r="C33" s="6">
        <v>5640</v>
      </c>
      <c r="D33" s="6">
        <v>6361</v>
      </c>
      <c r="E33" s="6">
        <v>5332</v>
      </c>
      <c r="F33" s="6">
        <v>7555</v>
      </c>
      <c r="G33" s="5">
        <f>F33</f>
        <v>7555</v>
      </c>
      <c r="H33" s="6">
        <v>5105</v>
      </c>
      <c r="I33" s="6">
        <v>6572</v>
      </c>
      <c r="J33" s="31">
        <f>I33</f>
        <v>6572</v>
      </c>
      <c r="K33" s="13"/>
    </row>
    <row r="34">
      <c r="A34" s="3"/>
      <c r="B34" s="67" t="s">
        <v>433</v>
      </c>
      <c r="C34" s="6">
        <v>1016</v>
      </c>
      <c r="D34" s="6">
        <v>1252</v>
      </c>
      <c r="E34" s="6">
        <v>1402</v>
      </c>
      <c r="F34" s="6">
        <v>1545</v>
      </c>
      <c r="G34" s="5">
        <f>F34</f>
        <v>1545</v>
      </c>
      <c r="H34" s="6">
        <v>1227</v>
      </c>
      <c r="I34" s="6">
        <v>1293</v>
      </c>
      <c r="J34" s="31">
        <f>I34</f>
        <v>1293</v>
      </c>
      <c r="K34" s="13"/>
    </row>
    <row r="35">
      <c r="A35" s="3"/>
      <c r="B35" s="67" t="s">
        <v>434</v>
      </c>
      <c r="C35" s="6">
        <v>2121</v>
      </c>
      <c r="D35" s="6">
        <v>2123</v>
      </c>
      <c r="E35" s="6">
        <v>2311</v>
      </c>
      <c r="F35" s="6">
        <v>2312</v>
      </c>
      <c r="G35" s="5">
        <f>F35</f>
        <v>2312</v>
      </c>
      <c r="H35" s="6">
        <v>2313</v>
      </c>
      <c r="I35" s="6">
        <v>2314</v>
      </c>
      <c r="J35" s="109">
        <f>'Share Count'!J28</f>
        <v>2493.7646096000003</v>
      </c>
      <c r="K35" s="13"/>
    </row>
    <row r="36">
      <c r="A36" s="3"/>
      <c r="B36" s="67" t="s">
        <v>435</v>
      </c>
      <c r="C36" s="6">
        <v>2491</v>
      </c>
      <c r="D36" s="6">
        <v>3556</v>
      </c>
      <c r="E36" s="6">
        <v>3237</v>
      </c>
      <c r="F36" s="6">
        <v>3298</v>
      </c>
      <c r="G36" s="5">
        <f>F36</f>
        <v>3298</v>
      </c>
      <c r="H36" s="6">
        <v>3121</v>
      </c>
      <c r="I36" s="6">
        <v>3273</v>
      </c>
      <c r="J36" s="31">
        <f>I36</f>
        <v>3273</v>
      </c>
      <c r="K36" s="13"/>
    </row>
    <row r="37">
      <c r="A37" s="3"/>
      <c r="B37" s="16" t="s">
        <v>436</v>
      </c>
      <c r="C37" s="6">
        <v>1323</v>
      </c>
      <c r="D37" s="6">
        <v>786</v>
      </c>
      <c r="E37" s="6">
        <v>835</v>
      </c>
      <c r="F37" s="6">
        <v>1255</v>
      </c>
      <c r="G37" s="5">
        <f>F37</f>
        <v>1255</v>
      </c>
      <c r="H37" s="6">
        <v>1091</v>
      </c>
      <c r="I37" s="6">
        <v>1076</v>
      </c>
      <c r="J37" s="31">
        <f>I37</f>
        <v>1076</v>
      </c>
      <c r="K37" s="13"/>
    </row>
    <row r="38">
      <c r="A38" s="3"/>
      <c r="B38" s="2" t="s">
        <v>437</v>
      </c>
      <c r="C38" s="14">
        <f>SUM(C29:C37)</f>
        <v>28087</v>
      </c>
      <c r="D38" s="14">
        <f>SUM(D29:D37)</f>
        <v>28148</v>
      </c>
      <c r="E38" s="14">
        <f>SUM(E29:E37)</f>
        <v>26719</v>
      </c>
      <c r="F38" s="14">
        <f>SUM(F29:F37)</f>
        <v>25427</v>
      </c>
      <c r="G38" s="14">
        <f>SUM(G29:G37)</f>
        <v>25427</v>
      </c>
      <c r="H38" s="14">
        <f>SUM(H29:H37)</f>
        <v>26222</v>
      </c>
      <c r="I38" s="14">
        <f>SUM(I29:I37)</f>
        <v>26542</v>
      </c>
      <c r="J38" s="72">
        <f>SUM(J29:J37)</f>
        <v>26721.7646096</v>
      </c>
      <c r="K38" s="13"/>
    </row>
    <row r="39">
      <c r="A39" s="3"/>
      <c r="B39" s="16" t="s">
        <v>438</v>
      </c>
      <c r="C39" s="6">
        <v>38781</v>
      </c>
      <c r="D39" s="6">
        <v>42431</v>
      </c>
      <c r="E39" s="6">
        <v>41863</v>
      </c>
      <c r="F39" s="6">
        <v>45134</v>
      </c>
      <c r="G39" s="5">
        <f>F39</f>
        <v>45134</v>
      </c>
      <c r="H39" s="6">
        <v>43808</v>
      </c>
      <c r="I39" s="6">
        <v>42366</v>
      </c>
      <c r="J39" s="31">
        <f>I39</f>
        <v>42366</v>
      </c>
      <c r="K39" s="13"/>
    </row>
    <row r="40">
      <c r="A40" s="3"/>
      <c r="B40" s="16" t="s">
        <v>424</v>
      </c>
      <c r="C40" s="6">
        <v>2817</v>
      </c>
      <c r="D40" s="6">
        <v>2152</v>
      </c>
      <c r="E40" s="6">
        <v>1999</v>
      </c>
      <c r="F40" s="6">
        <v>2065</v>
      </c>
      <c r="G40" s="5">
        <f>F40</f>
        <v>2065</v>
      </c>
      <c r="H40" s="6">
        <v>2013</v>
      </c>
      <c r="I40" s="6">
        <v>2057</v>
      </c>
      <c r="J40" s="31">
        <f>I40</f>
        <v>2057</v>
      </c>
      <c r="K40" s="13"/>
    </row>
    <row r="41">
      <c r="A41" s="3"/>
      <c r="B41" s="16" t="s">
        <v>439</v>
      </c>
      <c r="C41" s="6">
        <v>2991</v>
      </c>
      <c r="D41" s="6">
        <v>3295</v>
      </c>
      <c r="E41" s="6">
        <v>3222</v>
      </c>
      <c r="F41" s="6">
        <v>2406</v>
      </c>
      <c r="G41" s="5">
        <f>F41</f>
        <v>2406</v>
      </c>
      <c r="H41" s="6">
        <v>2340</v>
      </c>
      <c r="I41" s="6">
        <v>2249</v>
      </c>
      <c r="J41" s="31">
        <f>I41</f>
        <v>2249</v>
      </c>
      <c r="K41" s="13"/>
    </row>
    <row r="42">
      <c r="A42" s="3"/>
      <c r="B42" s="16" t="s">
        <v>440</v>
      </c>
      <c r="C42" s="6">
        <v>1329</v>
      </c>
      <c r="D42" s="6">
        <v>2492</v>
      </c>
      <c r="E42" s="6">
        <v>2242</v>
      </c>
      <c r="F42" s="6">
        <v>2181</v>
      </c>
      <c r="G42" s="5">
        <f>F42</f>
        <v>2181</v>
      </c>
      <c r="H42" s="6">
        <v>1830</v>
      </c>
      <c r="I42" s="6">
        <v>1714</v>
      </c>
      <c r="J42" s="31">
        <f>I42</f>
        <v>1714</v>
      </c>
      <c r="K42" s="13"/>
    </row>
    <row r="43">
      <c r="A43" s="3"/>
      <c r="B43" s="2" t="s">
        <v>441</v>
      </c>
      <c r="C43" s="14">
        <f>C38+SUM(C39:C42)</f>
        <v>74005</v>
      </c>
      <c r="D43" s="14">
        <f>D38+SUM(D39:D42)</f>
        <v>78518</v>
      </c>
      <c r="E43" s="14">
        <f>E38+SUM(E39:E42)</f>
        <v>76045</v>
      </c>
      <c r="F43" s="14">
        <f>F38+SUM(F39:F42)</f>
        <v>77213</v>
      </c>
      <c r="G43" s="14">
        <f>G38+SUM(G39:G42)</f>
        <v>77213</v>
      </c>
      <c r="H43" s="14">
        <f>H38+SUM(H39:H42)</f>
        <v>76213</v>
      </c>
      <c r="I43" s="14">
        <f>I38+SUM(I39:I42)</f>
        <v>74928</v>
      </c>
      <c r="J43" s="72">
        <f>J38+SUM(J39:J42)</f>
        <v>75107.7646096</v>
      </c>
      <c r="K43" s="13"/>
    </row>
    <row r="44">
      <c r="A44" s="3"/>
      <c r="B44" s="3"/>
      <c r="C44" s="3"/>
      <c r="D44" s="3"/>
      <c r="E44" s="3"/>
      <c r="F44" s="3"/>
      <c r="G44" s="3"/>
      <c r="H44" s="3"/>
      <c r="I44" s="3"/>
      <c r="J44" s="50"/>
      <c r="K44" s="13"/>
    </row>
    <row r="45">
      <c r="A45" s="3"/>
      <c r="B45" s="70" t="s">
        <v>442</v>
      </c>
      <c r="C45" s="3"/>
      <c r="D45" s="3"/>
      <c r="E45" s="3"/>
      <c r="F45" s="3"/>
      <c r="G45" s="3"/>
      <c r="H45" s="3"/>
      <c r="I45" s="3"/>
      <c r="J45" s="50"/>
      <c r="K45" s="13"/>
    </row>
    <row r="46">
      <c r="A46" s="3"/>
      <c r="B46" s="16" t="s">
        <v>443</v>
      </c>
      <c r="C46" s="6">
        <v>2326</v>
      </c>
      <c r="D46" s="6">
        <v>2364</v>
      </c>
      <c r="E46" s="6">
        <v>2400</v>
      </c>
      <c r="F46" s="6">
        <v>2453</v>
      </c>
      <c r="G46" s="5">
        <f>F46</f>
        <v>2453</v>
      </c>
      <c r="H46" s="6">
        <v>2433</v>
      </c>
      <c r="I46" s="6">
        <v>2477</v>
      </c>
      <c r="J46" s="31">
        <f>I46</f>
        <v>2477</v>
      </c>
      <c r="K46" s="13"/>
    </row>
    <row r="47">
      <c r="A47" s="3"/>
      <c r="B47" s="16" t="s">
        <v>444</v>
      </c>
      <c r="C47" s="6">
        <v>33447</v>
      </c>
      <c r="D47" s="6">
        <v>34376</v>
      </c>
      <c r="E47" s="6">
        <v>35557</v>
      </c>
      <c r="F47" s="6">
        <v>35400</v>
      </c>
      <c r="G47" s="5">
        <f>F47</f>
        <v>35400</v>
      </c>
      <c r="H47" s="6">
        <v>35538</v>
      </c>
      <c r="I47" s="6">
        <v>36055</v>
      </c>
      <c r="J47" s="109">
        <f>I47+'Income Statement'!J44-'Share Count'!J28</f>
        <v>37024.29969887918</v>
      </c>
      <c r="K47" s="13"/>
    </row>
    <row r="48">
      <c r="A48" s="3"/>
      <c r="B48" s="16" t="s">
        <v>445</v>
      </c>
      <c r="C48" s="6">
        <v>-11117</v>
      </c>
      <c r="D48" s="6">
        <v>-13153</v>
      </c>
      <c r="E48" s="6">
        <v>-13320</v>
      </c>
      <c r="F48" s="6">
        <v>-12296</v>
      </c>
      <c r="G48" s="5">
        <f>F48</f>
        <v>-12296</v>
      </c>
      <c r="H48" s="6">
        <v>-11788</v>
      </c>
      <c r="I48" s="6">
        <v>-11656</v>
      </c>
      <c r="J48" s="31">
        <f>I48</f>
        <v>-11656</v>
      </c>
      <c r="K48" s="13"/>
    </row>
    <row r="49">
      <c r="A49" s="3"/>
      <c r="B49" s="16" t="s">
        <v>446</v>
      </c>
      <c r="C49" s="6">
        <v>-35557</v>
      </c>
      <c r="D49" s="6">
        <v>-35553</v>
      </c>
      <c r="E49" s="6">
        <v>-35551</v>
      </c>
      <c r="F49" s="6">
        <v>-35551</v>
      </c>
      <c r="G49" s="5">
        <f>F49</f>
        <v>-35551</v>
      </c>
      <c r="H49" s="6">
        <v>-35462</v>
      </c>
      <c r="I49" s="6">
        <v>-35459</v>
      </c>
      <c r="J49" s="31">
        <f>I49</f>
        <v>-35459</v>
      </c>
      <c r="K49" s="13"/>
    </row>
    <row r="50">
      <c r="A50" s="3"/>
      <c r="B50" s="2" t="s">
        <v>447</v>
      </c>
      <c r="C50" s="14">
        <f>SUM(C46:C49)</f>
        <v>-10901</v>
      </c>
      <c r="D50" s="14">
        <f>SUM(D46:D49)</f>
        <v>-11966</v>
      </c>
      <c r="E50" s="14">
        <f>SUM(E46:E49)</f>
        <v>-10914</v>
      </c>
      <c r="F50" s="14">
        <f>SUM(F46:F49)</f>
        <v>-9994</v>
      </c>
      <c r="G50" s="14">
        <f>SUM(G46:G49)</f>
        <v>-9994</v>
      </c>
      <c r="H50" s="14">
        <f>SUM(H46:H49)</f>
        <v>-9279</v>
      </c>
      <c r="I50" s="14">
        <f>SUM(I46:I49)</f>
        <v>-8583</v>
      </c>
      <c r="J50" s="72">
        <f>SUM(J46:J49)</f>
        <v>-7613.700301120822</v>
      </c>
      <c r="K50" s="13"/>
    </row>
    <row r="51">
      <c r="A51" s="3"/>
      <c r="B51" s="16" t="s">
        <v>448</v>
      </c>
      <c r="C51" s="6">
        <v>1975</v>
      </c>
      <c r="D51" s="6">
        <v>1954</v>
      </c>
      <c r="E51" s="6">
        <v>1930</v>
      </c>
      <c r="F51" s="6">
        <v>1966</v>
      </c>
      <c r="G51" s="5">
        <f>F51</f>
        <v>1966</v>
      </c>
      <c r="H51" s="6">
        <v>1979</v>
      </c>
      <c r="I51" s="6">
        <v>1926</v>
      </c>
      <c r="J51" s="109">
        <f>I51+'Income Statement'!J41+'Cash Flow Statement'!J42</f>
        <v>1931</v>
      </c>
      <c r="K51" s="13"/>
    </row>
    <row r="52">
      <c r="A52" s="3"/>
      <c r="B52" s="2" t="s">
        <v>449</v>
      </c>
      <c r="C52" s="14">
        <f>C50+C51</f>
        <v>-8926</v>
      </c>
      <c r="D52" s="14">
        <f>D50+D51</f>
        <v>-10012</v>
      </c>
      <c r="E52" s="14">
        <f>E50+E51</f>
        <v>-8984</v>
      </c>
      <c r="F52" s="14">
        <f>F50+F51</f>
        <v>-8028</v>
      </c>
      <c r="G52" s="14">
        <f>G50+G51</f>
        <v>-8028</v>
      </c>
      <c r="H52" s="14">
        <f>H50+H51</f>
        <v>-7300</v>
      </c>
      <c r="I52" s="14">
        <f>I50+I51</f>
        <v>-6657</v>
      </c>
      <c r="J52" s="72">
        <f>J50+J51</f>
        <v>-5682.700301120822</v>
      </c>
      <c r="K52" s="13"/>
    </row>
    <row r="53" ht="24.75">
      <c r="A53" s="3"/>
      <c r="B53" s="4" t="s">
        <v>450</v>
      </c>
      <c r="C53" s="102">
        <f>C43+C52</f>
        <v>65079</v>
      </c>
      <c r="D53" s="102">
        <f>D43+D52</f>
        <v>68506</v>
      </c>
      <c r="E53" s="102">
        <f>E43+E52</f>
        <v>67061</v>
      </c>
      <c r="F53" s="102">
        <f>F43+F52</f>
        <v>69185</v>
      </c>
      <c r="G53" s="102">
        <f>G43+G52</f>
        <v>69185</v>
      </c>
      <c r="H53" s="102">
        <f>H43+H52</f>
        <v>68913</v>
      </c>
      <c r="I53" s="102">
        <f>I43+I52</f>
        <v>68271</v>
      </c>
      <c r="J53" s="114">
        <f>J43+J52</f>
        <v>69425.06430847917</v>
      </c>
      <c r="K53" s="42"/>
    </row>
    <row r="54" ht="24.75">
      <c r="A54" s="3"/>
      <c r="B54" s="122" t="s">
        <v>451</v>
      </c>
      <c r="C54" s="17">
        <f>C26-C43-C52</f>
        <v>0</v>
      </c>
      <c r="D54" s="17">
        <f>D26-D43-D52</f>
        <v>0</v>
      </c>
      <c r="E54" s="17">
        <f>E26-E43-E52</f>
        <v>0</v>
      </c>
      <c r="F54" s="17">
        <f>F26-F43-F52</f>
        <v>0</v>
      </c>
      <c r="G54" s="17">
        <f>G26-G43-G52</f>
        <v>0</v>
      </c>
      <c r="H54" s="17">
        <f>H26-H43-H52</f>
        <v>0</v>
      </c>
      <c r="I54" s="17">
        <f>I26-I43-I52</f>
        <v>0</v>
      </c>
      <c r="J54" s="1">
        <f>J26-J43-J52</f>
        <v>0</v>
      </c>
      <c r="K54" s="42"/>
    </row>
    <row r="55">
      <c r="A55" s="3"/>
      <c r="B55" s="3"/>
      <c r="C55" s="3"/>
      <c r="D55" s="3"/>
      <c r="E55" s="3"/>
      <c r="F55" s="3"/>
      <c r="G55" s="3"/>
      <c r="H55" s="3"/>
      <c r="I55" s="3"/>
      <c r="J55" s="50"/>
      <c r="K55" s="13"/>
    </row>
    <row r="56">
      <c r="A56" s="3"/>
      <c r="B56" s="70" t="s">
        <v>452</v>
      </c>
      <c r="C56" s="3"/>
      <c r="D56" s="3"/>
      <c r="E56" s="3"/>
      <c r="F56" s="3"/>
      <c r="G56" s="3"/>
      <c r="H56" s="3"/>
      <c r="I56" s="3"/>
      <c r="J56" s="50"/>
      <c r="K56" s="13"/>
    </row>
    <row r="57" ht="24.75">
      <c r="A57" s="3"/>
      <c r="B57" s="53" t="s">
        <v>453</v>
      </c>
      <c r="C57" s="19">
        <v>33</v>
      </c>
      <c r="D57" s="19">
        <v>38</v>
      </c>
      <c r="E57" s="19">
        <v>24</v>
      </c>
      <c r="F57" s="19">
        <v>20</v>
      </c>
      <c r="G57" s="17">
        <f>F57</f>
        <v>20</v>
      </c>
      <c r="H57" s="19">
        <v>20</v>
      </c>
      <c r="I57" s="19">
        <v>25</v>
      </c>
      <c r="J57" s="1">
        <f>I57</f>
        <v>25</v>
      </c>
      <c r="K57" s="42" t="s">
        <v>454</v>
      </c>
    </row>
    <row r="58">
      <c r="A58" s="3"/>
      <c r="B58" s="16" t="s">
        <v>455</v>
      </c>
      <c r="C58" s="5">
        <f>C9+C57</f>
        <v>4476</v>
      </c>
      <c r="D58" s="5">
        <f>D9+D57</f>
        <v>4176</v>
      </c>
      <c r="E58" s="5">
        <f>E9+E57</f>
        <v>4061</v>
      </c>
      <c r="F58" s="5">
        <f>F9+F57</f>
        <v>4892</v>
      </c>
      <c r="G58" s="5">
        <f>G9+G57</f>
        <v>4892</v>
      </c>
      <c r="H58" s="5">
        <f>H9+H57</f>
        <v>5470</v>
      </c>
      <c r="I58" s="5">
        <f>I9+I57</f>
        <v>6024</v>
      </c>
      <c r="J58" s="31">
        <f>J9+J57</f>
        <v>7607.064308479177</v>
      </c>
      <c r="K58" s="13"/>
    </row>
    <row r="59">
      <c r="A59" s="3"/>
      <c r="B59" s="2" t="s">
        <v>456</v>
      </c>
      <c r="C59" s="14">
        <f>C29+C30+C39</f>
        <v>49579</v>
      </c>
      <c r="D59" s="14">
        <f>D29+D30+D39</f>
        <v>51462</v>
      </c>
      <c r="E59" s="14">
        <f>E29+E30+E39</f>
        <v>50082</v>
      </c>
      <c r="F59" s="14">
        <f>F29+F30+F39</f>
        <v>48835</v>
      </c>
      <c r="G59" s="14">
        <f>G29+G30+G39</f>
        <v>48835</v>
      </c>
      <c r="H59" s="14">
        <f>H29+H30+H39</f>
        <v>51948</v>
      </c>
      <c r="I59" s="14">
        <f>I29+I30+I39</f>
        <v>49113</v>
      </c>
      <c r="J59" s="72">
        <f>J29+J30+J39</f>
        <v>49113</v>
      </c>
      <c r="K59" s="13"/>
    </row>
    <row r="60">
      <c r="A60" s="3"/>
      <c r="B60" s="2" t="s">
        <v>457</v>
      </c>
      <c r="C60" s="115">
        <f>C59-C9</f>
        <v>45136</v>
      </c>
      <c r="D60" s="115">
        <f>D59-D9</f>
        <v>47324</v>
      </c>
      <c r="E60" s="115">
        <f>E59-E9</f>
        <v>46045</v>
      </c>
      <c r="F60" s="115">
        <f>F59-F9</f>
        <v>43963</v>
      </c>
      <c r="G60" s="115">
        <f>G59-G9</f>
        <v>43963</v>
      </c>
      <c r="H60" s="115">
        <f>H59-H9</f>
        <v>46498</v>
      </c>
      <c r="I60" s="115">
        <f>I59-I9</f>
        <v>43114</v>
      </c>
      <c r="J60" s="125">
        <f>J59-J9</f>
        <v>41530.93569152082</v>
      </c>
      <c r="K60" s="13"/>
    </row>
    <row r="61">
      <c r="A61" s="3"/>
      <c r="B61" s="21" t="s">
        <v>458</v>
      </c>
      <c r="C61" s="113"/>
      <c r="D61" s="113"/>
      <c r="E61" s="113"/>
      <c r="F61" s="118">
        <f>F60/'Income Statement'!G115</f>
        <v>2.5302446043165467</v>
      </c>
      <c r="G61" s="118">
        <f>G60/'Income Statement'!G115</f>
        <v>2.5302446043165467</v>
      </c>
      <c r="H61" s="113"/>
      <c r="I61" s="118">
        <f>I60/('Income Statement'!E115+'Income Statement'!F115+'Income Statement'!H115+'Income Statement'!I115)</f>
        <v>2.3483849882891223</v>
      </c>
      <c r="J61" s="120">
        <f>J60/('Income Statement'!F115+'Income Statement'!H115+'Income Statement'!I115+'Income Statement'!J115)</f>
        <v>2.2163045569392175</v>
      </c>
      <c r="K61" s="13" t="s">
        <v>459</v>
      </c>
    </row>
    <row r="62">
      <c r="A62" s="3"/>
      <c r="B62" s="3"/>
      <c r="C62" s="3"/>
      <c r="D62" s="3"/>
      <c r="E62" s="3"/>
      <c r="F62" s="3"/>
      <c r="G62" s="3"/>
      <c r="H62" s="3"/>
      <c r="I62" s="3"/>
      <c r="J62" s="50"/>
      <c r="K62" s="13"/>
    </row>
    <row r="63">
      <c r="A63" s="3"/>
      <c r="B63" s="3"/>
      <c r="C63" s="3"/>
      <c r="D63" s="3"/>
      <c r="E63" s="3"/>
      <c r="F63" s="3"/>
      <c r="G63" s="3"/>
      <c r="H63" s="3"/>
      <c r="I63" s="3"/>
      <c r="J63" s="50"/>
      <c r="K63" s="13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460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461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67" t="s">
        <v>297</v>
      </c>
      <c r="C9" s="5">
        <f>C60</f>
        <v>2837</v>
      </c>
      <c r="D9" s="5">
        <f>D60-C60</f>
        <v>3148</v>
      </c>
      <c r="E9" s="5">
        <f>E60-D60</f>
        <v>3613</v>
      </c>
      <c r="F9" s="5">
        <f>F60-E60</f>
        <v>2250</v>
      </c>
      <c r="G9" s="5">
        <f>SUM(C9:F9)</f>
        <v>11848</v>
      </c>
      <c r="H9" s="5">
        <f>H60</f>
        <v>2582</v>
      </c>
      <c r="I9" s="5">
        <f>I60-H60</f>
        <v>2985</v>
      </c>
      <c r="J9" s="109">
        <f>'Income Statement'!J40</f>
        <v>3618.0643084791773</v>
      </c>
      <c r="K9" s="13"/>
    </row>
    <row r="10">
      <c r="A10" s="3"/>
      <c r="B10" s="67" t="s">
        <v>462</v>
      </c>
      <c r="C10" s="5">
        <f>C61</f>
        <v>480</v>
      </c>
      <c r="D10" s="5">
        <f>D61-C61</f>
        <v>490</v>
      </c>
      <c r="E10" s="5">
        <f>E61-D61</f>
        <v>505</v>
      </c>
      <c r="F10" s="5">
        <f>F61-E61</f>
        <v>521</v>
      </c>
      <c r="G10" s="5">
        <f>SUM(C10:F10)</f>
        <v>1996</v>
      </c>
      <c r="H10" s="5">
        <f>H61</f>
        <v>510</v>
      </c>
      <c r="I10" s="5">
        <f>I61-H61</f>
        <v>513</v>
      </c>
      <c r="J10" s="109">
        <f>J55-'Income Statement'!J110</f>
        <v>514</v>
      </c>
      <c r="K10" s="13"/>
    </row>
    <row r="11" ht="24.75">
      <c r="A11" s="3"/>
      <c r="B11" s="52" t="s">
        <v>463</v>
      </c>
      <c r="C11" s="17">
        <f>C62</f>
        <v>0</v>
      </c>
      <c r="D11" s="17">
        <f>D62-C62</f>
        <v>41</v>
      </c>
      <c r="E11" s="17">
        <f>E62-D62</f>
        <v>0</v>
      </c>
      <c r="F11" s="17">
        <f>F62-E62</f>
        <v>0</v>
      </c>
      <c r="G11" s="17">
        <f>SUM(C11:F11)</f>
        <v>41</v>
      </c>
      <c r="H11" s="17">
        <f>H62</f>
        <v>0</v>
      </c>
      <c r="I11" s="17">
        <f>I62-H62</f>
        <v>0</v>
      </c>
      <c r="J11" s="92">
        <v>0</v>
      </c>
      <c r="K11" s="42"/>
    </row>
    <row r="12" ht="24.75">
      <c r="A12" s="3"/>
      <c r="B12" s="52" t="s">
        <v>294</v>
      </c>
      <c r="C12" s="17">
        <f>C63</f>
        <v>0</v>
      </c>
      <c r="D12" s="17">
        <f>D63-C63</f>
        <v>0</v>
      </c>
      <c r="E12" s="17">
        <f>E63-D63</f>
        <v>0</v>
      </c>
      <c r="F12" s="17">
        <f>F63-E63</f>
        <v>0</v>
      </c>
      <c r="G12" s="17">
        <f>SUM(C12:F12)</f>
        <v>0</v>
      </c>
      <c r="H12" s="17">
        <f>H63</f>
        <v>0</v>
      </c>
      <c r="I12" s="17">
        <f>I63-H63</f>
        <v>511</v>
      </c>
      <c r="J12" s="92">
        <v>0</v>
      </c>
      <c r="K12" s="42"/>
    </row>
    <row r="13">
      <c r="A13" s="3"/>
      <c r="B13" s="67" t="s">
        <v>464</v>
      </c>
      <c r="C13" s="5">
        <f>C64</f>
        <v>0</v>
      </c>
      <c r="D13" s="5">
        <f>D64-C64</f>
        <v>0</v>
      </c>
      <c r="E13" s="5">
        <f>E64-D64</f>
        <v>0</v>
      </c>
      <c r="F13" s="5">
        <f>F64-E64</f>
        <v>94</v>
      </c>
      <c r="G13" s="5">
        <f>SUM(C13:F13)</f>
        <v>94</v>
      </c>
      <c r="H13" s="5">
        <f>H64</f>
        <v>0</v>
      </c>
      <c r="I13" s="5">
        <f>I64-H64</f>
        <v>0</v>
      </c>
      <c r="J13" s="20">
        <v>0</v>
      </c>
      <c r="K13" s="13"/>
    </row>
    <row r="14" ht="24.75">
      <c r="A14" s="3"/>
      <c r="B14" s="52" t="s">
        <v>465</v>
      </c>
      <c r="C14" s="17">
        <f>C65</f>
        <v>-67</v>
      </c>
      <c r="D14" s="17">
        <f>D65-C65</f>
        <v>-207</v>
      </c>
      <c r="E14" s="17">
        <f>E65-D65</f>
        <v>-159</v>
      </c>
      <c r="F14" s="17">
        <f>F65-E65</f>
        <v>-414</v>
      </c>
      <c r="G14" s="17">
        <f>SUM(C14:F14)</f>
        <v>-847</v>
      </c>
      <c r="H14" s="17">
        <f>H65</f>
        <v>-67</v>
      </c>
      <c r="I14" s="17">
        <f>I65-H65</f>
        <v>57</v>
      </c>
      <c r="J14" s="92">
        <v>0</v>
      </c>
      <c r="K14" s="42"/>
    </row>
    <row r="15" ht="24.75">
      <c r="A15" s="3"/>
      <c r="B15" s="52" t="s">
        <v>466</v>
      </c>
      <c r="C15" s="17">
        <f>C66</f>
        <v>-1</v>
      </c>
      <c r="D15" s="17">
        <f>D66-C66</f>
        <v>240</v>
      </c>
      <c r="E15" s="17">
        <f>E66-D66</f>
        <v>-23</v>
      </c>
      <c r="F15" s="17">
        <f>F66-E66</f>
        <v>-10</v>
      </c>
      <c r="G15" s="17">
        <f>SUM(C15:F15)</f>
        <v>206</v>
      </c>
      <c r="H15" s="17">
        <f>H66</f>
        <v>-3</v>
      </c>
      <c r="I15" s="17">
        <f>I66-H66</f>
        <v>-12</v>
      </c>
      <c r="J15" s="92">
        <v>0</v>
      </c>
      <c r="K15" s="42"/>
    </row>
    <row r="16">
      <c r="A16" s="3"/>
      <c r="B16" s="67" t="s">
        <v>467</v>
      </c>
      <c r="C16" s="5">
        <f>C67</f>
        <v>-882</v>
      </c>
      <c r="D16" s="5">
        <f>D67-C67</f>
        <v>102</v>
      </c>
      <c r="E16" s="5">
        <f>E67-D67</f>
        <v>71</v>
      </c>
      <c r="F16" s="5">
        <f>F67-E67</f>
        <v>261</v>
      </c>
      <c r="G16" s="5">
        <f>SUM(C16:F16)</f>
        <v>-448</v>
      </c>
      <c r="H16" s="5">
        <f>H67</f>
        <v>-640</v>
      </c>
      <c r="I16" s="5">
        <f>I67-H67</f>
        <v>-50</v>
      </c>
      <c r="J16" s="31">
        <f>J56</f>
        <v>300</v>
      </c>
      <c r="K16" s="13"/>
    </row>
    <row r="17">
      <c r="A17" s="3"/>
      <c r="B17" s="67" t="s">
        <v>468</v>
      </c>
      <c r="C17" s="5">
        <f>C68</f>
        <v>-325</v>
      </c>
      <c r="D17" s="5">
        <f>D68-C68</f>
        <v>-94</v>
      </c>
      <c r="E17" s="5">
        <f>E68-D68</f>
        <v>371</v>
      </c>
      <c r="F17" s="5">
        <f>F68-E68</f>
        <v>-1153</v>
      </c>
      <c r="G17" s="5">
        <f>SUM(C17:F17)</f>
        <v>-1201</v>
      </c>
      <c r="H17" s="5">
        <f>H68</f>
        <v>-11</v>
      </c>
      <c r="I17" s="5">
        <f>I68-H68</f>
        <v>-69</v>
      </c>
      <c r="J17" s="20">
        <v>0</v>
      </c>
      <c r="K17" s="13"/>
    </row>
    <row r="18">
      <c r="A18" s="3"/>
      <c r="B18" s="67" t="s">
        <v>430</v>
      </c>
      <c r="C18" s="5">
        <f>C69</f>
        <v>-127</v>
      </c>
      <c r="D18" s="5">
        <f>D69-C69</f>
        <v>-34</v>
      </c>
      <c r="E18" s="5">
        <f>E69-D69</f>
        <v>133</v>
      </c>
      <c r="F18" s="5">
        <f>F69-E69</f>
        <v>286</v>
      </c>
      <c r="G18" s="5">
        <f>SUM(C18:F18)</f>
        <v>258</v>
      </c>
      <c r="H18" s="5">
        <f>H69</f>
        <v>-317</v>
      </c>
      <c r="I18" s="5">
        <f>I69-H69</f>
        <v>33</v>
      </c>
      <c r="J18" s="20">
        <v>0</v>
      </c>
      <c r="K18" s="13"/>
    </row>
    <row r="19" ht="24.75">
      <c r="A19" s="3"/>
      <c r="B19" s="52" t="s">
        <v>469</v>
      </c>
      <c r="C19" s="17">
        <f>C70</f>
        <v>-2437</v>
      </c>
      <c r="D19" s="17">
        <f>D70-C70</f>
        <v>465</v>
      </c>
      <c r="E19" s="17">
        <f>E70-D70</f>
        <v>-507</v>
      </c>
      <c r="F19" s="17">
        <f>F70-E70</f>
        <v>2328</v>
      </c>
      <c r="G19" s="17">
        <f>SUM(C19:F19)</f>
        <v>-151</v>
      </c>
      <c r="H19" s="17">
        <f>H70</f>
        <v>-2734</v>
      </c>
      <c r="I19" s="17">
        <f>I70-H70</f>
        <v>1653</v>
      </c>
      <c r="J19" s="92">
        <v>0</v>
      </c>
      <c r="K19" s="42"/>
    </row>
    <row r="20">
      <c r="A20" s="3"/>
      <c r="B20" s="67" t="s">
        <v>436</v>
      </c>
      <c r="C20" s="5">
        <f>C71</f>
        <v>-20</v>
      </c>
      <c r="D20" s="5">
        <f>D71-C71</f>
        <v>-591</v>
      </c>
      <c r="E20" s="5">
        <f>E71-D71</f>
        <v>47</v>
      </c>
      <c r="F20" s="5">
        <f>F71-E71</f>
        <v>298</v>
      </c>
      <c r="G20" s="5">
        <f>SUM(C20:F20)</f>
        <v>-266</v>
      </c>
      <c r="H20" s="5">
        <f>H71</f>
        <v>-171</v>
      </c>
      <c r="I20" s="5">
        <f>I71-H71</f>
        <v>-29</v>
      </c>
      <c r="J20" s="20">
        <v>0</v>
      </c>
      <c r="K20" s="13"/>
    </row>
    <row r="21">
      <c r="A21" s="3"/>
      <c r="B21" s="67" t="s">
        <v>470</v>
      </c>
      <c r="C21" s="5">
        <f>C72</f>
        <v>-37</v>
      </c>
      <c r="D21" s="5">
        <f>D72-C72</f>
        <v>-25</v>
      </c>
      <c r="E21" s="5">
        <f>E72-D72</f>
        <v>-29</v>
      </c>
      <c r="F21" s="5">
        <f>F72-E72</f>
        <v>-48</v>
      </c>
      <c r="G21" s="5">
        <f>SUM(C21:F21)</f>
        <v>-139</v>
      </c>
      <c r="H21" s="5">
        <f>H72</f>
        <v>-30</v>
      </c>
      <c r="I21" s="5">
        <f>I72-H72</f>
        <v>-37</v>
      </c>
      <c r="J21" s="20">
        <v>0</v>
      </c>
      <c r="K21" s="13"/>
    </row>
    <row r="22">
      <c r="A22" s="3"/>
      <c r="B22" s="67" t="s">
        <v>471</v>
      </c>
      <c r="C22" s="5">
        <f>C73</f>
        <v>229</v>
      </c>
      <c r="D22" s="5">
        <f>D73-C73</f>
        <v>-123</v>
      </c>
      <c r="E22" s="5">
        <f>E73-D73</f>
        <v>440</v>
      </c>
      <c r="F22" s="5">
        <f>F73-E73</f>
        <v>296</v>
      </c>
      <c r="G22" s="5">
        <f>SUM(C22:F22)</f>
        <v>842</v>
      </c>
      <c r="H22" s="5">
        <f>H73</f>
        <v>482</v>
      </c>
      <c r="I22" s="5">
        <f>I73-H73</f>
        <v>-63</v>
      </c>
      <c r="J22" s="20">
        <v>0</v>
      </c>
      <c r="K22" s="13" t="s">
        <v>472</v>
      </c>
    </row>
    <row r="23" ht="24.75">
      <c r="A23" s="3"/>
      <c r="B23" s="4" t="s">
        <v>473</v>
      </c>
      <c r="C23" s="102">
        <f>SUM(C9:C22)</f>
        <v>-350</v>
      </c>
      <c r="D23" s="102">
        <f>SUM(D9:D22)</f>
        <v>3412</v>
      </c>
      <c r="E23" s="102">
        <f>SUM(E9:E22)</f>
        <v>4462</v>
      </c>
      <c r="F23" s="102">
        <f>SUM(F9:F22)</f>
        <v>4709</v>
      </c>
      <c r="G23" s="102">
        <f>SUM(G9:G22)</f>
        <v>12233</v>
      </c>
      <c r="H23" s="102">
        <f>SUM(H9:H22)</f>
        <v>-399</v>
      </c>
      <c r="I23" s="102">
        <f>SUM(I9:I22)</f>
        <v>5492</v>
      </c>
      <c r="J23" s="114">
        <f>SUM(J9:J22)</f>
        <v>4432.064308479177</v>
      </c>
      <c r="K23" s="42"/>
    </row>
    <row r="24">
      <c r="A24" s="3"/>
      <c r="B24" s="8" t="s">
        <v>66</v>
      </c>
      <c r="C24" s="29"/>
      <c r="D24" s="29"/>
      <c r="E24" s="29"/>
      <c r="F24" s="29"/>
      <c r="G24" s="29"/>
      <c r="H24" s="29"/>
      <c r="I24" s="29">
        <f>I23/D23-1</f>
        <v>0.6096131301289567</v>
      </c>
      <c r="J24" s="68">
        <f>J23/E23-1</f>
        <v>-0.006709029923985366</v>
      </c>
      <c r="K24" s="13"/>
    </row>
    <row r="25">
      <c r="A25" s="3"/>
      <c r="B25" s="3"/>
      <c r="C25" s="3"/>
      <c r="D25" s="3"/>
      <c r="E25" s="3"/>
      <c r="F25" s="3"/>
      <c r="G25" s="3"/>
      <c r="H25" s="3"/>
      <c r="I25" s="3"/>
      <c r="J25" s="50"/>
      <c r="K25" s="13"/>
    </row>
    <row r="26">
      <c r="A26" s="3"/>
      <c r="B26" s="70" t="s">
        <v>474</v>
      </c>
      <c r="C26" s="3"/>
      <c r="D26" s="3"/>
      <c r="E26" s="3"/>
      <c r="F26" s="3"/>
      <c r="G26" s="3"/>
      <c r="H26" s="3"/>
      <c r="I26" s="3"/>
      <c r="J26" s="50"/>
      <c r="K26" s="13"/>
    </row>
    <row r="27">
      <c r="A27" s="3"/>
      <c r="B27" s="67" t="s">
        <v>475</v>
      </c>
      <c r="C27" s="5">
        <f>C74</f>
        <v>-404</v>
      </c>
      <c r="D27" s="5">
        <f>D74-C74</f>
        <v>-356</v>
      </c>
      <c r="E27" s="5">
        <f>E74-D74</f>
        <v>-365</v>
      </c>
      <c r="F27" s="5">
        <f>F74-E74</f>
        <v>-444</v>
      </c>
      <c r="G27" s="5">
        <f>SUM(C27:F27)</f>
        <v>-1569</v>
      </c>
      <c r="H27" s="5">
        <f>H74</f>
        <v>-353</v>
      </c>
      <c r="I27" s="5">
        <f>I74-H74</f>
        <v>-380</v>
      </c>
      <c r="J27" s="20">
        <v>-385</v>
      </c>
      <c r="K27" s="13"/>
    </row>
    <row r="28">
      <c r="A28" s="3"/>
      <c r="B28" s="67" t="s">
        <v>476</v>
      </c>
      <c r="C28" s="5">
        <f>C75</f>
        <v>0</v>
      </c>
      <c r="D28" s="5">
        <f>D75-C75</f>
        <v>32</v>
      </c>
      <c r="E28" s="5">
        <f>E75-D75</f>
        <v>0</v>
      </c>
      <c r="F28" s="5">
        <f>F75-E75</f>
        <v>-2</v>
      </c>
      <c r="G28" s="5">
        <f>SUM(C28:F28)</f>
        <v>30</v>
      </c>
      <c r="H28" s="5">
        <f>H75</f>
        <v>0</v>
      </c>
      <c r="I28" s="5">
        <f>I75-H75</f>
        <v>87</v>
      </c>
      <c r="J28" s="20">
        <v>0</v>
      </c>
      <c r="K28" s="13"/>
    </row>
    <row r="29">
      <c r="A29" s="3"/>
      <c r="B29" s="67" t="s">
        <v>477</v>
      </c>
      <c r="C29" s="5">
        <f>C76</f>
        <v>-26</v>
      </c>
      <c r="D29" s="5">
        <f>D76-C76</f>
        <v>-8</v>
      </c>
      <c r="E29" s="5">
        <f>E76-D76</f>
        <v>-46</v>
      </c>
      <c r="F29" s="5">
        <f>F76-E76</f>
        <v>-11</v>
      </c>
      <c r="G29" s="5">
        <f>SUM(C29:F29)</f>
        <v>-91</v>
      </c>
      <c r="H29" s="5">
        <f>H76</f>
        <v>71</v>
      </c>
      <c r="I29" s="5">
        <f>I76-H76</f>
        <v>100</v>
      </c>
      <c r="J29" s="20">
        <v>0</v>
      </c>
      <c r="K29" s="13"/>
    </row>
    <row r="30">
      <c r="A30" s="3"/>
      <c r="B30" s="67" t="s">
        <v>423</v>
      </c>
      <c r="C30" s="5">
        <f>C77</f>
        <v>-10</v>
      </c>
      <c r="D30" s="5">
        <f>D77-C77</f>
        <v>-25</v>
      </c>
      <c r="E30" s="5">
        <f>E77-D77</f>
        <v>-13</v>
      </c>
      <c r="F30" s="5">
        <f>F77-E77</f>
        <v>-15</v>
      </c>
      <c r="G30" s="5">
        <f>SUM(C30:F30)</f>
        <v>-63</v>
      </c>
      <c r="H30" s="5">
        <f>H77</f>
        <v>-35</v>
      </c>
      <c r="I30" s="5">
        <f>I77-H77</f>
        <v>-10</v>
      </c>
      <c r="J30" s="20">
        <v>0</v>
      </c>
      <c r="K30" s="13"/>
    </row>
    <row r="31" ht="24.75">
      <c r="A31" s="3"/>
      <c r="B31" s="52" t="s">
        <v>478</v>
      </c>
      <c r="C31" s="17">
        <f>C78</f>
        <v>6</v>
      </c>
      <c r="D31" s="17">
        <f>D78-C78</f>
        <v>-1959</v>
      </c>
      <c r="E31" s="17">
        <f>E78-D78</f>
        <v>-365</v>
      </c>
      <c r="F31" s="17">
        <f>F78-E78</f>
        <v>44</v>
      </c>
      <c r="G31" s="17">
        <f>SUM(C31:F31)</f>
        <v>-2274</v>
      </c>
      <c r="H31" s="17">
        <f>H78</f>
        <v>314</v>
      </c>
      <c r="I31" s="17">
        <f>I78-H78</f>
        <v>229</v>
      </c>
      <c r="J31" s="92">
        <v>0</v>
      </c>
      <c r="K31" s="42"/>
    </row>
    <row r="32" ht="24.75">
      <c r="A32" s="3"/>
      <c r="B32" s="4" t="s">
        <v>479</v>
      </c>
      <c r="C32" s="102">
        <f>SUM(C27:C31)</f>
        <v>-434</v>
      </c>
      <c r="D32" s="102">
        <f>SUM(D27:D31)</f>
        <v>-2316</v>
      </c>
      <c r="E32" s="102">
        <f>SUM(E27:E31)</f>
        <v>-789</v>
      </c>
      <c r="F32" s="102">
        <f>SUM(F27:F31)</f>
        <v>-428</v>
      </c>
      <c r="G32" s="102">
        <f>SUM(G27:G31)</f>
        <v>-3967</v>
      </c>
      <c r="H32" s="102">
        <f>SUM(H27:H31)</f>
        <v>-3</v>
      </c>
      <c r="I32" s="102">
        <f>SUM(I27:I31)</f>
        <v>26</v>
      </c>
      <c r="J32" s="114">
        <f>SUM(J27:J31)</f>
        <v>-385</v>
      </c>
      <c r="K32" s="42"/>
    </row>
    <row r="33">
      <c r="A33" s="3"/>
      <c r="B33" s="3"/>
      <c r="C33" s="3"/>
      <c r="D33" s="3"/>
      <c r="E33" s="3"/>
      <c r="F33" s="3"/>
      <c r="G33" s="3"/>
      <c r="H33" s="3"/>
      <c r="I33" s="3"/>
      <c r="J33" s="50"/>
      <c r="K33" s="13"/>
    </row>
    <row r="34">
      <c r="A34" s="3"/>
      <c r="B34" s="70" t="s">
        <v>480</v>
      </c>
      <c r="C34" s="3"/>
      <c r="D34" s="3"/>
      <c r="E34" s="3"/>
      <c r="F34" s="3"/>
      <c r="G34" s="3"/>
      <c r="H34" s="3"/>
      <c r="I34" s="3"/>
      <c r="J34" s="50"/>
      <c r="K34" s="13"/>
    </row>
    <row r="35" ht="24.75">
      <c r="A35" s="3"/>
      <c r="B35" s="52" t="s">
        <v>481</v>
      </c>
      <c r="C35" s="17">
        <f>C79</f>
        <v>4231</v>
      </c>
      <c r="D35" s="17">
        <f>D79-C79</f>
        <v>-1937</v>
      </c>
      <c r="E35" s="17">
        <f>E79-D79</f>
        <v>-561</v>
      </c>
      <c r="F35" s="17">
        <f>F79-E79</f>
        <v>-1714</v>
      </c>
      <c r="G35" s="17">
        <f>SUM(C35:F35)</f>
        <v>19</v>
      </c>
      <c r="H35" s="17">
        <f>H79</f>
        <v>4530</v>
      </c>
      <c r="I35" s="17">
        <f>I79-H79</f>
        <v>-2005</v>
      </c>
      <c r="J35" s="92">
        <v>0</v>
      </c>
      <c r="K35" s="42"/>
    </row>
    <row r="36" ht="24.75">
      <c r="A36" s="3"/>
      <c r="B36" s="52" t="s">
        <v>482</v>
      </c>
      <c r="C36" s="17">
        <f>C80</f>
        <v>70</v>
      </c>
      <c r="D36" s="17">
        <f>D80-C80</f>
        <v>100</v>
      </c>
      <c r="E36" s="17">
        <f>E80-D80</f>
        <v>0</v>
      </c>
      <c r="F36" s="17">
        <f>F80-E80</f>
        <v>0</v>
      </c>
      <c r="G36" s="17">
        <f>SUM(C36:F36)</f>
        <v>170</v>
      </c>
      <c r="H36" s="17">
        <f>H80</f>
        <v>993</v>
      </c>
      <c r="I36" s="17">
        <f>I80-H80</f>
        <v>666</v>
      </c>
      <c r="J36" s="92">
        <v>0</v>
      </c>
      <c r="K36" s="42"/>
    </row>
    <row r="37" ht="24.75">
      <c r="A37" s="3"/>
      <c r="B37" s="52" t="s">
        <v>483</v>
      </c>
      <c r="C37" s="17">
        <f>C81</f>
        <v>0</v>
      </c>
      <c r="D37" s="17">
        <f>D81-C81</f>
        <v>-70</v>
      </c>
      <c r="E37" s="17">
        <f>E81-D81</f>
        <v>-100</v>
      </c>
      <c r="F37" s="17">
        <f>F81-E81</f>
        <v>0</v>
      </c>
      <c r="G37" s="17">
        <f>SUM(C37:F37)</f>
        <v>-170</v>
      </c>
      <c r="H37" s="17">
        <f>H81</f>
        <v>0</v>
      </c>
      <c r="I37" s="17">
        <f>I81-H81</f>
        <v>-994</v>
      </c>
      <c r="J37" s="92">
        <v>0</v>
      </c>
      <c r="K37" s="42"/>
    </row>
    <row r="38">
      <c r="A38" s="3"/>
      <c r="B38" s="67" t="s">
        <v>484</v>
      </c>
      <c r="C38" s="5">
        <f>C82</f>
        <v>0</v>
      </c>
      <c r="D38" s="5">
        <f>D82-C82</f>
        <v>3596</v>
      </c>
      <c r="E38" s="5">
        <f>E82-D82</f>
        <v>0</v>
      </c>
      <c r="F38" s="5">
        <f>F82-E82</f>
        <v>3459</v>
      </c>
      <c r="G38" s="5">
        <f>SUM(C38:F38)</f>
        <v>7055</v>
      </c>
      <c r="H38" s="5">
        <f>H82</f>
        <v>0</v>
      </c>
      <c r="I38" s="5">
        <f>I82-H82</f>
        <v>1478</v>
      </c>
      <c r="J38" s="20">
        <v>0</v>
      </c>
      <c r="K38" s="13"/>
    </row>
    <row r="39">
      <c r="A39" s="3"/>
      <c r="B39" s="67" t="s">
        <v>485</v>
      </c>
      <c r="C39" s="5">
        <f>C83</f>
        <v>-822</v>
      </c>
      <c r="D39" s="5">
        <f>D83-C83</f>
        <v>-744</v>
      </c>
      <c r="E39" s="5">
        <f>E83-D83</f>
        <v>-750</v>
      </c>
      <c r="F39" s="5">
        <f>F83-E83</f>
        <v>-3052</v>
      </c>
      <c r="G39" s="5">
        <f>SUM(C39:F39)</f>
        <v>-5368</v>
      </c>
      <c r="H39" s="5">
        <f>H83</f>
        <v>-2142</v>
      </c>
      <c r="I39" s="5">
        <f>I83-H83</f>
        <v>-1879</v>
      </c>
      <c r="J39" s="20">
        <v>0</v>
      </c>
      <c r="K39" s="13"/>
    </row>
    <row r="40">
      <c r="A40" s="3"/>
      <c r="B40" s="67" t="s">
        <v>486</v>
      </c>
      <c r="C40" s="5">
        <f>C84</f>
        <v>-2116</v>
      </c>
      <c r="D40" s="5">
        <f>D84-C84</f>
        <v>-2106</v>
      </c>
      <c r="E40" s="5">
        <f>E84-D84</f>
        <v>-2107</v>
      </c>
      <c r="F40" s="5">
        <f>F84-E84</f>
        <v>-2295</v>
      </c>
      <c r="G40" s="5">
        <f>SUM(C40:F40)</f>
        <v>-8624</v>
      </c>
      <c r="H40" s="5">
        <f>H84</f>
        <v>-2307</v>
      </c>
      <c r="I40" s="5">
        <f>I84-H84</f>
        <v>-2297</v>
      </c>
      <c r="J40" s="109">
        <f>-'Balance Sheet'!I35</f>
        <v>-2314</v>
      </c>
      <c r="K40" s="13"/>
    </row>
    <row r="41" ht="24.75">
      <c r="A41" s="3"/>
      <c r="B41" s="52" t="s">
        <v>487</v>
      </c>
      <c r="C41" s="17">
        <f>C85</f>
        <v>-606</v>
      </c>
      <c r="D41" s="17">
        <f>D85-C85</f>
        <v>-218</v>
      </c>
      <c r="E41" s="17">
        <f>E85-D85</f>
        <v>9</v>
      </c>
      <c r="F41" s="17">
        <f>F85-E85</f>
        <v>122</v>
      </c>
      <c r="G41" s="17">
        <f>SUM(C41:F41)</f>
        <v>-693</v>
      </c>
      <c r="H41" s="17">
        <f>H85</f>
        <v>138</v>
      </c>
      <c r="I41" s="17">
        <f>I85-H85</f>
        <v>266</v>
      </c>
      <c r="J41" s="92">
        <v>0</v>
      </c>
      <c r="K41" s="42"/>
    </row>
    <row r="42" ht="24.75">
      <c r="A42" s="3"/>
      <c r="B42" s="52" t="s">
        <v>488</v>
      </c>
      <c r="C42" s="17">
        <f>C86</f>
        <v>-86</v>
      </c>
      <c r="D42" s="17">
        <f>D86-C86</f>
        <v>-182</v>
      </c>
      <c r="E42" s="17">
        <f>E86-D86</f>
        <v>-152</v>
      </c>
      <c r="F42" s="17">
        <f>F86-E86</f>
        <v>-101</v>
      </c>
      <c r="G42" s="17">
        <f>SUM(C42:F42)</f>
        <v>-521</v>
      </c>
      <c r="H42" s="17">
        <f>H86</f>
        <v>-116</v>
      </c>
      <c r="I42" s="17">
        <f>I86-H86</f>
        <v>-210</v>
      </c>
      <c r="J42" s="92">
        <v>-150</v>
      </c>
      <c r="K42" s="42"/>
    </row>
    <row r="43" ht="24.75">
      <c r="A43" s="3"/>
      <c r="B43" s="4" t="s">
        <v>489</v>
      </c>
      <c r="C43" s="102">
        <f>SUM(C35:C42)</f>
        <v>671</v>
      </c>
      <c r="D43" s="102">
        <f>SUM(D35:D42)</f>
        <v>-1561</v>
      </c>
      <c r="E43" s="102">
        <f>SUM(E35:E42)</f>
        <v>-3661</v>
      </c>
      <c r="F43" s="102">
        <f>SUM(F35:F42)</f>
        <v>-3581</v>
      </c>
      <c r="G43" s="102">
        <f>SUM(G35:G42)</f>
        <v>-8132</v>
      </c>
      <c r="H43" s="102">
        <f>SUM(H35:H42)</f>
        <v>1096</v>
      </c>
      <c r="I43" s="102">
        <f>SUM(I35:I42)</f>
        <v>-4975</v>
      </c>
      <c r="J43" s="114">
        <f>SUM(J35:J42)</f>
        <v>-2464</v>
      </c>
      <c r="K43" s="42"/>
    </row>
    <row r="44">
      <c r="A44" s="3"/>
      <c r="B44" s="3"/>
      <c r="C44" s="3"/>
      <c r="D44" s="3"/>
      <c r="E44" s="3"/>
      <c r="F44" s="3"/>
      <c r="G44" s="3"/>
      <c r="H44" s="3"/>
      <c r="I44" s="3"/>
      <c r="J44" s="50"/>
      <c r="K44" s="13"/>
    </row>
    <row r="45" ht="24.75">
      <c r="A45" s="3"/>
      <c r="B45" s="52" t="s">
        <v>490</v>
      </c>
      <c r="C45" s="17">
        <f>C87</f>
        <v>335</v>
      </c>
      <c r="D45" s="17">
        <f>D87-C87</f>
        <v>165</v>
      </c>
      <c r="E45" s="17">
        <f>E87-D87</f>
        <v>-127</v>
      </c>
      <c r="F45" s="17">
        <f>F87-E87</f>
        <v>131</v>
      </c>
      <c r="G45" s="17">
        <f>SUM(C45:F45)</f>
        <v>504</v>
      </c>
      <c r="H45" s="17">
        <f>H87</f>
        <v>-116</v>
      </c>
      <c r="I45" s="17">
        <f>I87-H87</f>
        <v>11</v>
      </c>
      <c r="J45" s="92">
        <v>0</v>
      </c>
      <c r="K45" s="42"/>
    </row>
    <row r="46" ht="24.75">
      <c r="A46" s="3"/>
      <c r="B46" s="4" t="s">
        <v>491</v>
      </c>
      <c r="C46" s="102">
        <f>C23+C32+C43+C45</f>
        <v>222</v>
      </c>
      <c r="D46" s="102">
        <f>D23+D32+D43+D45</f>
        <v>-300</v>
      </c>
      <c r="E46" s="102">
        <f>E23+E32+E43+E45</f>
        <v>-115</v>
      </c>
      <c r="F46" s="102">
        <f>F23+F32+F43+F45</f>
        <v>831</v>
      </c>
      <c r="G46" s="102">
        <f>G23+G32+G43+G45</f>
        <v>638</v>
      </c>
      <c r="H46" s="102">
        <f>H23+H32+H43+H45</f>
        <v>578</v>
      </c>
      <c r="I46" s="102">
        <f>I23+I32+I43+I45</f>
        <v>554</v>
      </c>
      <c r="J46" s="114">
        <f>J23+J32+J43+J45</f>
        <v>1583.0643084791773</v>
      </c>
      <c r="K46" s="42"/>
    </row>
    <row r="47" ht="24.75">
      <c r="A47" s="3"/>
      <c r="B47" s="52" t="s">
        <v>492</v>
      </c>
      <c r="C47" s="19">
        <v>4254</v>
      </c>
      <c r="D47" s="17">
        <f>C48</f>
        <v>4476</v>
      </c>
      <c r="E47" s="17">
        <f>D48</f>
        <v>4176</v>
      </c>
      <c r="F47" s="17">
        <f>E48</f>
        <v>4061</v>
      </c>
      <c r="G47" s="17">
        <f>C47</f>
        <v>4254</v>
      </c>
      <c r="H47" s="17">
        <f>F48</f>
        <v>4892</v>
      </c>
      <c r="I47" s="17">
        <f>H48</f>
        <v>5470</v>
      </c>
      <c r="J47" s="1">
        <f>I48</f>
        <v>6024</v>
      </c>
      <c r="K47" s="42" t="s">
        <v>493</v>
      </c>
    </row>
    <row r="48" ht="24.75">
      <c r="A48" s="3"/>
      <c r="B48" s="4" t="s">
        <v>494</v>
      </c>
      <c r="C48" s="102">
        <f>C47+C46</f>
        <v>4476</v>
      </c>
      <c r="D48" s="102">
        <f>D47+D46</f>
        <v>4176</v>
      </c>
      <c r="E48" s="102">
        <f>E47+E46</f>
        <v>4061</v>
      </c>
      <c r="F48" s="102">
        <f>F47+F46</f>
        <v>4892</v>
      </c>
      <c r="G48" s="102">
        <f>G47+G46</f>
        <v>4892</v>
      </c>
      <c r="H48" s="102">
        <f>H47+H46</f>
        <v>5470</v>
      </c>
      <c r="I48" s="102">
        <f>I47+I46</f>
        <v>6024</v>
      </c>
      <c r="J48" s="114">
        <f>J47+J46</f>
        <v>7607.064308479177</v>
      </c>
      <c r="K48" s="42"/>
    </row>
    <row r="49" ht="24.75">
      <c r="A49" s="3"/>
      <c r="B49" s="122" t="s">
        <v>495</v>
      </c>
      <c r="C49" s="78">
        <f>C48-'Balance Sheet'!C58</f>
        <v>0</v>
      </c>
      <c r="D49" s="78">
        <f>D48-'Balance Sheet'!D58</f>
        <v>0</v>
      </c>
      <c r="E49" s="78">
        <f>E48-'Balance Sheet'!E58</f>
        <v>0</v>
      </c>
      <c r="F49" s="78">
        <f>F48-'Balance Sheet'!F58</f>
        <v>0</v>
      </c>
      <c r="G49" s="78">
        <f>G48-'Balance Sheet'!G58</f>
        <v>0</v>
      </c>
      <c r="H49" s="78">
        <f>H48-'Balance Sheet'!H58</f>
        <v>0</v>
      </c>
      <c r="I49" s="78">
        <f>I48-'Balance Sheet'!I58</f>
        <v>0</v>
      </c>
      <c r="J49" s="150">
        <f>J48-'Balance Sheet'!J58</f>
        <v>0</v>
      </c>
      <c r="K49" s="42" t="s">
        <v>496</v>
      </c>
    </row>
    <row r="50">
      <c r="A50" s="3"/>
      <c r="B50" s="3"/>
      <c r="C50" s="3"/>
      <c r="D50" s="3"/>
      <c r="E50" s="3"/>
      <c r="F50" s="3"/>
      <c r="G50" s="3"/>
      <c r="H50" s="3"/>
      <c r="I50" s="3"/>
      <c r="J50" s="50"/>
      <c r="K50" s="13"/>
    </row>
    <row r="51">
      <c r="A51" s="3"/>
      <c r="B51" s="70" t="s">
        <v>497</v>
      </c>
      <c r="C51" s="3"/>
      <c r="D51" s="3"/>
      <c r="E51" s="3"/>
      <c r="F51" s="3"/>
      <c r="G51" s="3"/>
      <c r="H51" s="3"/>
      <c r="I51" s="3"/>
      <c r="J51" s="50"/>
      <c r="K51" s="13"/>
    </row>
    <row r="52" ht="24.75">
      <c r="A52" s="3"/>
      <c r="B52" s="4" t="s">
        <v>498</v>
      </c>
      <c r="C52" s="9">
        <f>C23+C27</f>
        <v>-754</v>
      </c>
      <c r="D52" s="9">
        <f>D23+D27</f>
        <v>3056</v>
      </c>
      <c r="E52" s="9">
        <f>E23+E27</f>
        <v>4097</v>
      </c>
      <c r="F52" s="9">
        <f>F23+F27</f>
        <v>4265</v>
      </c>
      <c r="G52" s="9">
        <f>G23+G27</f>
        <v>10664</v>
      </c>
      <c r="H52" s="9">
        <f>H23+H27</f>
        <v>-752</v>
      </c>
      <c r="I52" s="9">
        <f>I23+I27</f>
        <v>5112</v>
      </c>
      <c r="J52" s="71">
        <f>J23+J27</f>
        <v>4047.0643084791773</v>
      </c>
      <c r="K52" s="42" t="s">
        <v>499</v>
      </c>
    </row>
    <row r="53">
      <c r="A53" s="3"/>
      <c r="B53" s="21" t="s">
        <v>500</v>
      </c>
      <c r="C53" s="123">
        <f>-C27/'Revenue summary'!C42</f>
        <v>0.04343618965702613</v>
      </c>
      <c r="D53" s="123">
        <f>-D27/'Revenue summary'!D42</f>
        <v>0.035108481262327414</v>
      </c>
      <c r="E53" s="123">
        <f>-E27/'Revenue summary'!E42</f>
        <v>0.033656062701705854</v>
      </c>
      <c r="F53" s="123">
        <f>-F27/'Revenue summary'!F42</f>
        <v>0.042848870874348584</v>
      </c>
      <c r="G53" s="123">
        <f>-G27/'Revenue summary'!G42</f>
        <v>0.038599685101358</v>
      </c>
      <c r="H53" s="123">
        <f>-H27/'Revenue summary'!H42</f>
        <v>0.03479203627045141</v>
      </c>
      <c r="I53" s="123">
        <f>-I27/'Revenue summary'!I42</f>
        <v>0.03395282344531808</v>
      </c>
      <c r="J53" s="127">
        <f>-J27/'Revenue summary'!J42</f>
        <v>0.03368526745476206</v>
      </c>
      <c r="K53" s="13"/>
    </row>
    <row r="54">
      <c r="A54" s="3"/>
      <c r="B54" s="8" t="s">
        <v>139</v>
      </c>
      <c r="C54" s="90"/>
      <c r="D54" s="90"/>
      <c r="E54" s="90"/>
      <c r="F54" s="90"/>
      <c r="G54" s="90"/>
      <c r="H54" s="90">
        <f>(H53-C53)*10000</f>
        <v>-86.44153386574719</v>
      </c>
      <c r="I54" s="90">
        <f>(I53-D53)*10000</f>
        <v>-11.556578170093326</v>
      </c>
      <c r="J54" s="104">
        <f>(J53-E53)*10000</f>
        <v>0.29204753056205623</v>
      </c>
      <c r="K54" s="13"/>
    </row>
    <row r="55">
      <c r="A55" s="3"/>
      <c r="B55" s="67" t="s">
        <v>501</v>
      </c>
      <c r="C55" s="5"/>
      <c r="D55" s="5"/>
      <c r="E55" s="5"/>
      <c r="F55" s="5"/>
      <c r="G55" s="5"/>
      <c r="H55" s="5"/>
      <c r="I55" s="5"/>
      <c r="J55" s="20">
        <v>263</v>
      </c>
      <c r="K55" s="13" t="s">
        <v>502</v>
      </c>
    </row>
    <row r="56" ht="24.75">
      <c r="A56" s="3"/>
      <c r="B56" s="52" t="s">
        <v>503</v>
      </c>
      <c r="C56" s="17"/>
      <c r="D56" s="17"/>
      <c r="E56" s="17"/>
      <c r="F56" s="17"/>
      <c r="G56" s="17"/>
      <c r="H56" s="17"/>
      <c r="I56" s="17"/>
      <c r="J56" s="92">
        <v>300</v>
      </c>
      <c r="K56" s="42" t="s">
        <v>504</v>
      </c>
    </row>
    <row r="57">
      <c r="A57" s="3"/>
      <c r="B57" s="3"/>
      <c r="C57" s="3"/>
      <c r="D57" s="3"/>
      <c r="E57" s="3"/>
      <c r="F57" s="3"/>
      <c r="G57" s="3"/>
      <c r="H57" s="3"/>
      <c r="I57" s="3"/>
      <c r="J57" s="50"/>
      <c r="K57" s="13"/>
    </row>
    <row r="58">
      <c r="A58" s="3"/>
      <c r="B58" s="70" t="s">
        <v>505</v>
      </c>
      <c r="C58" s="3"/>
      <c r="D58" s="3"/>
      <c r="E58" s="3"/>
      <c r="F58" s="3"/>
      <c r="G58" s="3"/>
      <c r="H58" s="3"/>
      <c r="I58" s="3"/>
      <c r="J58" s="50"/>
      <c r="K58" s="13"/>
    </row>
    <row r="59">
      <c r="A59" s="3"/>
      <c r="B59" s="38" t="s">
        <v>506</v>
      </c>
      <c r="C59" s="3"/>
      <c r="D59" s="3"/>
      <c r="E59" s="3"/>
      <c r="F59" s="3"/>
      <c r="G59" s="3"/>
      <c r="H59" s="3"/>
      <c r="I59" s="3"/>
      <c r="J59" s="50"/>
      <c r="K59" s="13"/>
    </row>
    <row r="60">
      <c r="A60" s="3"/>
      <c r="B60" s="67" t="s">
        <v>507</v>
      </c>
      <c r="C60" s="6">
        <v>2837</v>
      </c>
      <c r="D60" s="6">
        <v>5985</v>
      </c>
      <c r="E60" s="6">
        <v>9598</v>
      </c>
      <c r="F60" s="6">
        <v>11848</v>
      </c>
      <c r="G60" s="5">
        <f>F60</f>
        <v>11848</v>
      </c>
      <c r="H60" s="6">
        <v>2582</v>
      </c>
      <c r="I60" s="6">
        <v>5567</v>
      </c>
      <c r="J60" s="31"/>
      <c r="K60" s="13" t="s">
        <v>508</v>
      </c>
    </row>
    <row r="61">
      <c r="A61" s="3"/>
      <c r="B61" s="67" t="s">
        <v>509</v>
      </c>
      <c r="C61" s="6">
        <v>480</v>
      </c>
      <c r="D61" s="6">
        <v>970</v>
      </c>
      <c r="E61" s="6">
        <v>1475</v>
      </c>
      <c r="F61" s="6">
        <v>1996</v>
      </c>
      <c r="G61" s="5">
        <f>F61</f>
        <v>1996</v>
      </c>
      <c r="H61" s="6">
        <v>510</v>
      </c>
      <c r="I61" s="6">
        <v>1023</v>
      </c>
      <c r="J61" s="31"/>
      <c r="K61" s="13"/>
    </row>
    <row r="62" ht="24.75">
      <c r="A62" s="3"/>
      <c r="B62" s="52" t="s">
        <v>510</v>
      </c>
      <c r="C62" s="19">
        <v>0</v>
      </c>
      <c r="D62" s="19">
        <v>41</v>
      </c>
      <c r="E62" s="19">
        <v>41</v>
      </c>
      <c r="F62" s="19">
        <v>41</v>
      </c>
      <c r="G62" s="17">
        <f>F62</f>
        <v>41</v>
      </c>
      <c r="H62" s="19">
        <v>0</v>
      </c>
      <c r="I62" s="19">
        <v>0</v>
      </c>
      <c r="J62" s="1"/>
      <c r="K62" s="42"/>
    </row>
    <row r="63" ht="24.75">
      <c r="A63" s="3"/>
      <c r="B63" s="52" t="s">
        <v>511</v>
      </c>
      <c r="C63" s="19">
        <v>0</v>
      </c>
      <c r="D63" s="19">
        <v>0</v>
      </c>
      <c r="E63" s="19">
        <v>0</v>
      </c>
      <c r="F63" s="19">
        <v>0</v>
      </c>
      <c r="G63" s="17">
        <f>F63</f>
        <v>0</v>
      </c>
      <c r="H63" s="19">
        <v>0</v>
      </c>
      <c r="I63" s="19">
        <v>511</v>
      </c>
      <c r="J63" s="1"/>
      <c r="K63" s="42"/>
    </row>
    <row r="64">
      <c r="A64" s="3"/>
      <c r="B64" s="67" t="s">
        <v>512</v>
      </c>
      <c r="C64" s="6">
        <v>0</v>
      </c>
      <c r="D64" s="6">
        <v>0</v>
      </c>
      <c r="E64" s="6">
        <v>0</v>
      </c>
      <c r="F64" s="6">
        <v>94</v>
      </c>
      <c r="G64" s="5">
        <f>F64</f>
        <v>94</v>
      </c>
      <c r="H64" s="6">
        <v>0</v>
      </c>
      <c r="I64" s="6">
        <v>0</v>
      </c>
      <c r="J64" s="31"/>
      <c r="K64" s="13"/>
    </row>
    <row r="65" ht="24.75">
      <c r="A65" s="3"/>
      <c r="B65" s="52" t="s">
        <v>513</v>
      </c>
      <c r="C65" s="19">
        <v>-67</v>
      </c>
      <c r="D65" s="19">
        <v>-274</v>
      </c>
      <c r="E65" s="19">
        <v>-433</v>
      </c>
      <c r="F65" s="19">
        <v>-847</v>
      </c>
      <c r="G65" s="17">
        <f>F65</f>
        <v>-847</v>
      </c>
      <c r="H65" s="19">
        <v>-67</v>
      </c>
      <c r="I65" s="19">
        <v>-10</v>
      </c>
      <c r="J65" s="1"/>
      <c r="K65" s="42"/>
    </row>
    <row r="66" ht="24.75">
      <c r="A66" s="3"/>
      <c r="B66" s="52" t="s">
        <v>514</v>
      </c>
      <c r="C66" s="19">
        <v>-1</v>
      </c>
      <c r="D66" s="19">
        <v>239</v>
      </c>
      <c r="E66" s="19">
        <v>216</v>
      </c>
      <c r="F66" s="19">
        <v>206</v>
      </c>
      <c r="G66" s="17">
        <f>F66</f>
        <v>206</v>
      </c>
      <c r="H66" s="19">
        <v>-3</v>
      </c>
      <c r="I66" s="19">
        <v>-15</v>
      </c>
      <c r="J66" s="1"/>
      <c r="K66" s="42"/>
    </row>
    <row r="67">
      <c r="A67" s="3"/>
      <c r="B67" s="67" t="s">
        <v>515</v>
      </c>
      <c r="C67" s="6">
        <v>-882</v>
      </c>
      <c r="D67" s="6">
        <v>-780</v>
      </c>
      <c r="E67" s="6">
        <v>-709</v>
      </c>
      <c r="F67" s="6">
        <v>-448</v>
      </c>
      <c r="G67" s="5">
        <f>F67</f>
        <v>-448</v>
      </c>
      <c r="H67" s="6">
        <v>-640</v>
      </c>
      <c r="I67" s="6">
        <v>-690</v>
      </c>
      <c r="J67" s="31"/>
      <c r="K67" s="13"/>
    </row>
    <row r="68">
      <c r="A68" s="3"/>
      <c r="B68" s="67" t="s">
        <v>516</v>
      </c>
      <c r="C68" s="6">
        <v>-325</v>
      </c>
      <c r="D68" s="6">
        <v>-419</v>
      </c>
      <c r="E68" s="6">
        <v>-48</v>
      </c>
      <c r="F68" s="6">
        <v>-1201</v>
      </c>
      <c r="G68" s="5">
        <f>F68</f>
        <v>-1201</v>
      </c>
      <c r="H68" s="6">
        <v>-11</v>
      </c>
      <c r="I68" s="6">
        <v>-80</v>
      </c>
      <c r="J68" s="31"/>
      <c r="K68" s="13"/>
    </row>
    <row r="69">
      <c r="A69" s="3"/>
      <c r="B69" s="67" t="s">
        <v>517</v>
      </c>
      <c r="C69" s="6">
        <v>-127</v>
      </c>
      <c r="D69" s="6">
        <v>-161</v>
      </c>
      <c r="E69" s="6">
        <v>-28</v>
      </c>
      <c r="F69" s="6">
        <v>258</v>
      </c>
      <c r="G69" s="5">
        <f>F69</f>
        <v>258</v>
      </c>
      <c r="H69" s="6">
        <v>-317</v>
      </c>
      <c r="I69" s="6">
        <v>-284</v>
      </c>
      <c r="J69" s="31"/>
      <c r="K69" s="13"/>
    </row>
    <row r="70" ht="24.75">
      <c r="A70" s="3"/>
      <c r="B70" s="52" t="s">
        <v>518</v>
      </c>
      <c r="C70" s="19">
        <v>-2437</v>
      </c>
      <c r="D70" s="19">
        <v>-1972</v>
      </c>
      <c r="E70" s="19">
        <v>-2479</v>
      </c>
      <c r="F70" s="19">
        <v>-151</v>
      </c>
      <c r="G70" s="17">
        <f>F70</f>
        <v>-151</v>
      </c>
      <c r="H70" s="19">
        <v>-2734</v>
      </c>
      <c r="I70" s="19">
        <v>-1081</v>
      </c>
      <c r="J70" s="1"/>
      <c r="K70" s="42"/>
    </row>
    <row r="71">
      <c r="A71" s="3"/>
      <c r="B71" s="67" t="s">
        <v>519</v>
      </c>
      <c r="C71" s="6">
        <v>-20</v>
      </c>
      <c r="D71" s="6">
        <v>-611</v>
      </c>
      <c r="E71" s="6">
        <v>-564</v>
      </c>
      <c r="F71" s="6">
        <v>-266</v>
      </c>
      <c r="G71" s="5">
        <f>F71</f>
        <v>-266</v>
      </c>
      <c r="H71" s="6">
        <v>-171</v>
      </c>
      <c r="I71" s="6">
        <v>-200</v>
      </c>
      <c r="J71" s="31"/>
      <c r="K71" s="13"/>
    </row>
    <row r="72">
      <c r="A72" s="3"/>
      <c r="B72" s="67" t="s">
        <v>520</v>
      </c>
      <c r="C72" s="6">
        <v>-37</v>
      </c>
      <c r="D72" s="6">
        <v>-62</v>
      </c>
      <c r="E72" s="6">
        <v>-91</v>
      </c>
      <c r="F72" s="6">
        <v>-139</v>
      </c>
      <c r="G72" s="5">
        <f>F72</f>
        <v>-139</v>
      </c>
      <c r="H72" s="6">
        <v>-30</v>
      </c>
      <c r="I72" s="6">
        <v>-67</v>
      </c>
      <c r="J72" s="31"/>
      <c r="K72" s="13"/>
    </row>
    <row r="73">
      <c r="A73" s="3"/>
      <c r="B73" s="67" t="s">
        <v>521</v>
      </c>
      <c r="C73" s="6">
        <v>229</v>
      </c>
      <c r="D73" s="6">
        <v>106</v>
      </c>
      <c r="E73" s="6">
        <v>546</v>
      </c>
      <c r="F73" s="6">
        <v>842</v>
      </c>
      <c r="G73" s="5">
        <f>F73</f>
        <v>842</v>
      </c>
      <c r="H73" s="6">
        <v>482</v>
      </c>
      <c r="I73" s="6">
        <v>419</v>
      </c>
      <c r="J73" s="31"/>
      <c r="K73" s="13"/>
    </row>
    <row r="74">
      <c r="A74" s="3"/>
      <c r="B74" s="67" t="s">
        <v>522</v>
      </c>
      <c r="C74" s="6">
        <v>-404</v>
      </c>
      <c r="D74" s="6">
        <v>-760</v>
      </c>
      <c r="E74" s="6">
        <v>-1125</v>
      </c>
      <c r="F74" s="6">
        <v>-1569</v>
      </c>
      <c r="G74" s="5">
        <f>F74</f>
        <v>-1569</v>
      </c>
      <c r="H74" s="6">
        <v>-353</v>
      </c>
      <c r="I74" s="6">
        <v>-733</v>
      </c>
      <c r="J74" s="31"/>
      <c r="K74" s="13"/>
    </row>
    <row r="75" ht="24.75">
      <c r="A75" s="3"/>
      <c r="B75" s="52" t="s">
        <v>523</v>
      </c>
      <c r="C75" s="19">
        <v>0</v>
      </c>
      <c r="D75" s="19">
        <v>32</v>
      </c>
      <c r="E75" s="19">
        <v>32</v>
      </c>
      <c r="F75" s="19">
        <v>30</v>
      </c>
      <c r="G75" s="17">
        <f>F75</f>
        <v>30</v>
      </c>
      <c r="H75" s="19">
        <v>0</v>
      </c>
      <c r="I75" s="19">
        <v>87</v>
      </c>
      <c r="J75" s="1"/>
      <c r="K75" s="42"/>
    </row>
    <row r="76" ht="24.75">
      <c r="A76" s="3"/>
      <c r="B76" s="52" t="s">
        <v>524</v>
      </c>
      <c r="C76" s="19">
        <v>-26</v>
      </c>
      <c r="D76" s="19">
        <v>-34</v>
      </c>
      <c r="E76" s="19">
        <v>-80</v>
      </c>
      <c r="F76" s="19">
        <v>-91</v>
      </c>
      <c r="G76" s="17">
        <f>F76</f>
        <v>-91</v>
      </c>
      <c r="H76" s="19">
        <v>71</v>
      </c>
      <c r="I76" s="19">
        <v>171</v>
      </c>
      <c r="J76" s="1"/>
      <c r="K76" s="42"/>
    </row>
    <row r="77">
      <c r="A77" s="3"/>
      <c r="B77" s="67" t="s">
        <v>525</v>
      </c>
      <c r="C77" s="6">
        <v>-10</v>
      </c>
      <c r="D77" s="6">
        <v>-35</v>
      </c>
      <c r="E77" s="6">
        <v>-48</v>
      </c>
      <c r="F77" s="6">
        <v>-63</v>
      </c>
      <c r="G77" s="5">
        <f>F77</f>
        <v>-63</v>
      </c>
      <c r="H77" s="6">
        <v>-35</v>
      </c>
      <c r="I77" s="6">
        <v>-45</v>
      </c>
      <c r="J77" s="31"/>
      <c r="K77" s="13"/>
    </row>
    <row r="78" ht="24.75">
      <c r="A78" s="3"/>
      <c r="B78" s="52" t="s">
        <v>526</v>
      </c>
      <c r="C78" s="19">
        <v>6</v>
      </c>
      <c r="D78" s="19">
        <v>-1953</v>
      </c>
      <c r="E78" s="19">
        <v>-2318</v>
      </c>
      <c r="F78" s="19">
        <v>-2274</v>
      </c>
      <c r="G78" s="17">
        <f>F78</f>
        <v>-2274</v>
      </c>
      <c r="H78" s="19">
        <v>314</v>
      </c>
      <c r="I78" s="19">
        <v>543</v>
      </c>
      <c r="J78" s="1"/>
      <c r="K78" s="42"/>
    </row>
    <row r="79" ht="24.75">
      <c r="A79" s="3"/>
      <c r="B79" s="52" t="s">
        <v>527</v>
      </c>
      <c r="C79" s="19">
        <v>4231</v>
      </c>
      <c r="D79" s="19">
        <v>2294</v>
      </c>
      <c r="E79" s="19">
        <v>1733</v>
      </c>
      <c r="F79" s="19">
        <v>19</v>
      </c>
      <c r="G79" s="17">
        <f>F79</f>
        <v>19</v>
      </c>
      <c r="H79" s="19">
        <v>4530</v>
      </c>
      <c r="I79" s="19">
        <v>2525</v>
      </c>
      <c r="J79" s="1"/>
      <c r="K79" s="42"/>
    </row>
    <row r="80" ht="24.75">
      <c r="A80" s="3"/>
      <c r="B80" s="52" t="s">
        <v>528</v>
      </c>
      <c r="C80" s="19">
        <v>70</v>
      </c>
      <c r="D80" s="19">
        <v>170</v>
      </c>
      <c r="E80" s="19">
        <v>170</v>
      </c>
      <c r="F80" s="19">
        <v>170</v>
      </c>
      <c r="G80" s="17">
        <f>F80</f>
        <v>170</v>
      </c>
      <c r="H80" s="19">
        <v>993</v>
      </c>
      <c r="I80" s="19">
        <v>1659</v>
      </c>
      <c r="J80" s="1"/>
      <c r="K80" s="42"/>
    </row>
    <row r="81" ht="24.75">
      <c r="A81" s="3"/>
      <c r="B81" s="52" t="s">
        <v>529</v>
      </c>
      <c r="C81" s="19">
        <v>0</v>
      </c>
      <c r="D81" s="19">
        <v>-70</v>
      </c>
      <c r="E81" s="19">
        <v>-170</v>
      </c>
      <c r="F81" s="19">
        <v>-170</v>
      </c>
      <c r="G81" s="17">
        <f>F81</f>
        <v>-170</v>
      </c>
      <c r="H81" s="19">
        <v>0</v>
      </c>
      <c r="I81" s="19">
        <v>-994</v>
      </c>
      <c r="J81" s="1"/>
      <c r="K81" s="42"/>
    </row>
    <row r="82">
      <c r="A82" s="3"/>
      <c r="B82" s="67" t="s">
        <v>530</v>
      </c>
      <c r="C82" s="6">
        <v>0</v>
      </c>
      <c r="D82" s="6">
        <v>3596</v>
      </c>
      <c r="E82" s="6">
        <v>3596</v>
      </c>
      <c r="F82" s="6">
        <v>7055</v>
      </c>
      <c r="G82" s="5">
        <f>F82</f>
        <v>7055</v>
      </c>
      <c r="H82" s="6">
        <v>0</v>
      </c>
      <c r="I82" s="6">
        <v>1478</v>
      </c>
      <c r="J82" s="31"/>
      <c r="K82" s="13"/>
    </row>
    <row r="83">
      <c r="A83" s="3"/>
      <c r="B83" s="67" t="s">
        <v>531</v>
      </c>
      <c r="C83" s="6">
        <v>-822</v>
      </c>
      <c r="D83" s="6">
        <v>-1566</v>
      </c>
      <c r="E83" s="6">
        <v>-2316</v>
      </c>
      <c r="F83" s="6">
        <v>-5368</v>
      </c>
      <c r="G83" s="5">
        <f>F83</f>
        <v>-5368</v>
      </c>
      <c r="H83" s="6">
        <v>-2142</v>
      </c>
      <c r="I83" s="6">
        <v>-4021</v>
      </c>
      <c r="J83" s="31"/>
      <c r="K83" s="13"/>
    </row>
    <row r="84">
      <c r="A84" s="3"/>
      <c r="B84" s="67" t="s">
        <v>532</v>
      </c>
      <c r="C84" s="6">
        <v>-2116</v>
      </c>
      <c r="D84" s="6">
        <v>-4222</v>
      </c>
      <c r="E84" s="6">
        <v>-6329</v>
      </c>
      <c r="F84" s="6">
        <v>-8624</v>
      </c>
      <c r="G84" s="5">
        <f>F84</f>
        <v>-8624</v>
      </c>
      <c r="H84" s="6">
        <v>-2307</v>
      </c>
      <c r="I84" s="6">
        <v>-4604</v>
      </c>
      <c r="J84" s="31"/>
      <c r="K84" s="13"/>
    </row>
    <row r="85" ht="24.75">
      <c r="A85" s="3"/>
      <c r="B85" s="52" t="s">
        <v>533</v>
      </c>
      <c r="C85" s="19">
        <v>-606</v>
      </c>
      <c r="D85" s="19">
        <v>-824</v>
      </c>
      <c r="E85" s="19">
        <v>-815</v>
      </c>
      <c r="F85" s="19">
        <v>-693</v>
      </c>
      <c r="G85" s="17">
        <f>F85</f>
        <v>-693</v>
      </c>
      <c r="H85" s="19">
        <v>138</v>
      </c>
      <c r="I85" s="19">
        <v>404</v>
      </c>
      <c r="J85" s="1"/>
      <c r="K85" s="42"/>
    </row>
    <row r="86" ht="24.75">
      <c r="A86" s="3"/>
      <c r="B86" s="52" t="s">
        <v>534</v>
      </c>
      <c r="C86" s="19">
        <v>-86</v>
      </c>
      <c r="D86" s="19">
        <v>-268</v>
      </c>
      <c r="E86" s="19">
        <v>-420</v>
      </c>
      <c r="F86" s="19">
        <v>-521</v>
      </c>
      <c r="G86" s="17">
        <f>F86</f>
        <v>-521</v>
      </c>
      <c r="H86" s="19">
        <v>-116</v>
      </c>
      <c r="I86" s="19">
        <v>-326</v>
      </c>
      <c r="J86" s="1"/>
      <c r="K86" s="42"/>
    </row>
    <row r="87" ht="24.75">
      <c r="A87" s="3"/>
      <c r="B87" s="52" t="s">
        <v>535</v>
      </c>
      <c r="C87" s="19">
        <v>335</v>
      </c>
      <c r="D87" s="19">
        <v>500</v>
      </c>
      <c r="E87" s="19">
        <v>373</v>
      </c>
      <c r="F87" s="19">
        <v>504</v>
      </c>
      <c r="G87" s="17">
        <f>F87</f>
        <v>504</v>
      </c>
      <c r="H87" s="19">
        <v>-116</v>
      </c>
      <c r="I87" s="19">
        <v>-105</v>
      </c>
      <c r="J87" s="1"/>
      <c r="K87" s="42"/>
    </row>
    <row r="88" ht="24.75">
      <c r="A88" s="3"/>
      <c r="B88" s="4" t="s">
        <v>536</v>
      </c>
      <c r="C88" s="102">
        <f>SUM(C60:C73)</f>
        <v>-350</v>
      </c>
      <c r="D88" s="102">
        <f>SUM(D60:D73)</f>
        <v>3062</v>
      </c>
      <c r="E88" s="102">
        <f>SUM(E60:E73)</f>
        <v>7524</v>
      </c>
      <c r="F88" s="102">
        <f>SUM(F60:F73)</f>
        <v>12233</v>
      </c>
      <c r="G88" s="102">
        <f>SUM(G60:G73)</f>
        <v>12233</v>
      </c>
      <c r="H88" s="102">
        <f>SUM(H60:H73)</f>
        <v>-399</v>
      </c>
      <c r="I88" s="102">
        <f>SUM(I60:I73)</f>
        <v>5093</v>
      </c>
      <c r="J88" s="114"/>
      <c r="K88" s="42"/>
    </row>
    <row r="89" ht="24.75">
      <c r="A89" s="3"/>
      <c r="B89" s="52" t="s">
        <v>537</v>
      </c>
      <c r="C89" s="19">
        <v>-350</v>
      </c>
      <c r="D89" s="19">
        <v>3062</v>
      </c>
      <c r="E89" s="19">
        <v>7524</v>
      </c>
      <c r="F89" s="19">
        <v>12233</v>
      </c>
      <c r="G89" s="17">
        <f>F89</f>
        <v>12233</v>
      </c>
      <c r="H89" s="19">
        <v>-399</v>
      </c>
      <c r="I89" s="19">
        <v>5093</v>
      </c>
      <c r="J89" s="1"/>
      <c r="K89" s="42"/>
    </row>
    <row r="90" ht="24.75">
      <c r="A90" s="3"/>
      <c r="B90" s="122" t="s">
        <v>538</v>
      </c>
      <c r="C90" s="17">
        <f>C88-C89</f>
        <v>0</v>
      </c>
      <c r="D90" s="17">
        <f>D88-D89</f>
        <v>0</v>
      </c>
      <c r="E90" s="17">
        <f>E88-E89</f>
        <v>0</v>
      </c>
      <c r="F90" s="17">
        <f>F88-F89</f>
        <v>0</v>
      </c>
      <c r="G90" s="17">
        <f>G88-G89</f>
        <v>0</v>
      </c>
      <c r="H90" s="17">
        <f>H88-H89</f>
        <v>0</v>
      </c>
      <c r="I90" s="17">
        <f>I88-I89</f>
        <v>0</v>
      </c>
      <c r="J90" s="1"/>
      <c r="K90" s="42"/>
    </row>
    <row r="91">
      <c r="A91" s="3"/>
      <c r="B91" s="3"/>
      <c r="C91" s="3"/>
      <c r="D91" s="3"/>
      <c r="E91" s="3"/>
      <c r="F91" s="3"/>
      <c r="G91" s="3"/>
      <c r="H91" s="3"/>
      <c r="I91" s="3"/>
      <c r="J91" s="50"/>
      <c r="K91" s="13"/>
    </row>
    <row r="92">
      <c r="A92" s="3"/>
      <c r="B92" s="3"/>
      <c r="C92" s="3"/>
      <c r="D92" s="3"/>
      <c r="E92" s="3"/>
      <c r="F92" s="3"/>
      <c r="G92" s="3"/>
      <c r="H92" s="3"/>
      <c r="I92" s="3"/>
      <c r="J92" s="50"/>
      <c r="K92" s="13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539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540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541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16" t="s">
        <v>542</v>
      </c>
      <c r="C9" s="6">
        <v>2109.316331</v>
      </c>
      <c r="D9" s="5">
        <f>C9</f>
        <v>2109.316331</v>
      </c>
      <c r="E9" s="5">
        <f>D9</f>
        <v>2109.316331</v>
      </c>
      <c r="F9" s="5">
        <f>E9</f>
        <v>2109.316331</v>
      </c>
      <c r="G9" s="5">
        <f>F9</f>
        <v>2109.316331</v>
      </c>
      <c r="H9" s="5">
        <f>F9</f>
        <v>2109.316331</v>
      </c>
      <c r="I9" s="5">
        <f>H9</f>
        <v>2109.316331</v>
      </c>
      <c r="J9" s="31">
        <f>I9</f>
        <v>2109.316331</v>
      </c>
      <c r="K9" s="13" t="s">
        <v>543</v>
      </c>
    </row>
    <row r="10">
      <c r="A10" s="3"/>
      <c r="B10" s="16" t="s">
        <v>544</v>
      </c>
      <c r="C10" s="6">
        <v>552.827233</v>
      </c>
      <c r="D10" s="6">
        <v>552.739414</v>
      </c>
      <c r="E10" s="6">
        <v>552.694135</v>
      </c>
      <c r="F10" s="6">
        <v>552.659642</v>
      </c>
      <c r="G10" s="5">
        <f>F10</f>
        <v>552.659642</v>
      </c>
      <c r="H10" s="6">
        <v>550.785817</v>
      </c>
      <c r="I10" s="6">
        <v>550.71345</v>
      </c>
      <c r="J10" s="31">
        <f>I10-J14</f>
        <v>550.71345</v>
      </c>
      <c r="K10" s="13" t="s">
        <v>545</v>
      </c>
    </row>
    <row r="11">
      <c r="A11" s="3"/>
      <c r="B11" s="2" t="s">
        <v>546</v>
      </c>
      <c r="C11" s="14">
        <f>C9-C10</f>
        <v>1556.489098</v>
      </c>
      <c r="D11" s="14">
        <f>D9-D10</f>
        <v>1556.5769169999999</v>
      </c>
      <c r="E11" s="14">
        <f>E9-E10</f>
        <v>1556.622196</v>
      </c>
      <c r="F11" s="14">
        <f>F9-F10</f>
        <v>1556.656689</v>
      </c>
      <c r="G11" s="14">
        <f>G9-G10</f>
        <v>1556.656689</v>
      </c>
      <c r="H11" s="14">
        <f>H9-H10</f>
        <v>1558.530514</v>
      </c>
      <c r="I11" s="14">
        <f>I9-I10</f>
        <v>1558.602881</v>
      </c>
      <c r="J11" s="72">
        <f>J9-J10</f>
        <v>1558.602881</v>
      </c>
      <c r="K11" s="13"/>
    </row>
    <row r="12" ht="24.75">
      <c r="A12" s="3"/>
      <c r="B12" s="52" t="s">
        <v>547</v>
      </c>
      <c r="C12" s="17"/>
      <c r="D12" s="17">
        <f>D11-C11</f>
        <v>0.08781899999985399</v>
      </c>
      <c r="E12" s="17">
        <f>E11-D11</f>
        <v>0.04527900000016416</v>
      </c>
      <c r="F12" s="17">
        <f>F11-E11</f>
        <v>0.03449299999988398</v>
      </c>
      <c r="G12" s="17"/>
      <c r="H12" s="17">
        <f>H11-F11</f>
        <v>1.8738250000001244</v>
      </c>
      <c r="I12" s="17">
        <f>I11-H11</f>
        <v>0.07236699999998564</v>
      </c>
      <c r="J12" s="1">
        <f>J11-I11</f>
        <v>0</v>
      </c>
      <c r="K12" s="42"/>
    </row>
    <row r="13">
      <c r="A13" s="3"/>
      <c r="B13" s="67" t="s">
        <v>548</v>
      </c>
      <c r="C13" s="6">
        <v>0</v>
      </c>
      <c r="D13" s="6">
        <v>0</v>
      </c>
      <c r="E13" s="6">
        <v>0</v>
      </c>
      <c r="F13" s="6">
        <v>0</v>
      </c>
      <c r="G13" s="5">
        <f>SUM(C13:F13)</f>
        <v>0</v>
      </c>
      <c r="H13" s="6">
        <v>0</v>
      </c>
      <c r="I13" s="6">
        <v>0</v>
      </c>
      <c r="J13" s="20">
        <v>0</v>
      </c>
      <c r="K13" s="13" t="s">
        <v>549</v>
      </c>
    </row>
    <row r="14" ht="24.75">
      <c r="A14" s="3"/>
      <c r="B14" s="52" t="s">
        <v>550</v>
      </c>
      <c r="C14" s="17"/>
      <c r="D14" s="17"/>
      <c r="E14" s="17"/>
      <c r="F14" s="17"/>
      <c r="G14" s="17"/>
      <c r="H14" s="17"/>
      <c r="I14" s="17"/>
      <c r="J14" s="92">
        <v>0</v>
      </c>
      <c r="K14" s="42" t="s">
        <v>551</v>
      </c>
    </row>
    <row r="15" ht="24.75">
      <c r="A15" s="3"/>
      <c r="B15" s="52" t="s">
        <v>552</v>
      </c>
      <c r="C15" s="17"/>
      <c r="D15" s="17"/>
      <c r="E15" s="17"/>
      <c r="F15" s="17"/>
      <c r="G15" s="17"/>
      <c r="H15" s="17"/>
      <c r="I15" s="19">
        <v>1558.613439</v>
      </c>
      <c r="J15" s="1"/>
      <c r="K15" s="42" t="s">
        <v>553</v>
      </c>
    </row>
    <row r="16">
      <c r="A16" s="3"/>
      <c r="B16" s="3"/>
      <c r="C16" s="3"/>
      <c r="D16" s="3"/>
      <c r="E16" s="3"/>
      <c r="F16" s="3"/>
      <c r="G16" s="3"/>
      <c r="H16" s="3"/>
      <c r="I16" s="3"/>
      <c r="J16" s="50"/>
      <c r="K16" s="13"/>
    </row>
    <row r="17">
      <c r="A17" s="3"/>
      <c r="B17" s="70" t="s">
        <v>554</v>
      </c>
      <c r="C17" s="3"/>
      <c r="D17" s="3"/>
      <c r="E17" s="3"/>
      <c r="F17" s="3"/>
      <c r="G17" s="3"/>
      <c r="H17" s="3"/>
      <c r="I17" s="3"/>
      <c r="J17" s="50"/>
      <c r="K17" s="13"/>
    </row>
    <row r="18">
      <c r="A18" s="3"/>
      <c r="B18" s="16" t="s">
        <v>555</v>
      </c>
      <c r="C18" s="6">
        <v>1556</v>
      </c>
      <c r="D18" s="6">
        <v>1557</v>
      </c>
      <c r="E18" s="6">
        <v>1557</v>
      </c>
      <c r="F18" s="6">
        <v>1557</v>
      </c>
      <c r="G18" s="6">
        <v>1556</v>
      </c>
      <c r="H18" s="6">
        <v>1558</v>
      </c>
      <c r="I18" s="6">
        <v>1559</v>
      </c>
      <c r="J18" s="31">
        <f>AVERAGE(I11,J11)</f>
        <v>1558.602881</v>
      </c>
      <c r="K18" s="13" t="s">
        <v>556</v>
      </c>
    </row>
    <row r="19">
      <c r="A19" s="3"/>
      <c r="B19" s="67" t="s">
        <v>557</v>
      </c>
      <c r="C19" s="5">
        <f>C20-C18</f>
        <v>1</v>
      </c>
      <c r="D19" s="5">
        <f>D20-D18</f>
        <v>1</v>
      </c>
      <c r="E19" s="5">
        <f>E20-E18</f>
        <v>1</v>
      </c>
      <c r="F19" s="5">
        <f>F20-F18</f>
        <v>1</v>
      </c>
      <c r="G19" s="5">
        <f>G20-G18</f>
        <v>2</v>
      </c>
      <c r="H19" s="5">
        <f>H20-H18</f>
        <v>1</v>
      </c>
      <c r="I19" s="5">
        <f>I20-I18</f>
        <v>1</v>
      </c>
      <c r="J19" s="20">
        <v>1</v>
      </c>
      <c r="K19" s="13" t="s">
        <v>558</v>
      </c>
    </row>
    <row r="20">
      <c r="A20" s="3"/>
      <c r="B20" s="2" t="s">
        <v>559</v>
      </c>
      <c r="C20" s="10">
        <v>1557</v>
      </c>
      <c r="D20" s="10">
        <v>1558</v>
      </c>
      <c r="E20" s="10">
        <v>1558</v>
      </c>
      <c r="F20" s="10">
        <v>1558</v>
      </c>
      <c r="G20" s="10">
        <v>1558</v>
      </c>
      <c r="H20" s="10">
        <v>1559</v>
      </c>
      <c r="I20" s="10">
        <v>1560</v>
      </c>
      <c r="J20" s="72">
        <f>J18+J19</f>
        <v>1559.602881</v>
      </c>
      <c r="K20" s="13" t="s">
        <v>560</v>
      </c>
    </row>
    <row r="21">
      <c r="A21" s="3"/>
      <c r="B21" s="67" t="s">
        <v>561</v>
      </c>
      <c r="C21" s="5"/>
      <c r="D21" s="5">
        <f>D20-C20</f>
        <v>1</v>
      </c>
      <c r="E21" s="5">
        <f>E20-D20</f>
        <v>0</v>
      </c>
      <c r="F21" s="5">
        <f>F20-E20</f>
        <v>0</v>
      </c>
      <c r="G21" s="5"/>
      <c r="H21" s="5">
        <f>H20-F20</f>
        <v>1</v>
      </c>
      <c r="I21" s="5">
        <f>I20-H20</f>
        <v>1</v>
      </c>
      <c r="J21" s="31">
        <f>J20-I20</f>
        <v>-0.39711899999997513</v>
      </c>
      <c r="K21" s="13"/>
    </row>
    <row r="22">
      <c r="A22" s="3"/>
      <c r="B22" s="8" t="s">
        <v>66</v>
      </c>
      <c r="C22" s="29"/>
      <c r="D22" s="29"/>
      <c r="E22" s="29"/>
      <c r="F22" s="29"/>
      <c r="G22" s="29"/>
      <c r="H22" s="29">
        <f>H20/C20-1</f>
        <v>0.0012845215157353262</v>
      </c>
      <c r="I22" s="29">
        <f>I20/D20-1</f>
        <v>0.0012836970474967568</v>
      </c>
      <c r="J22" s="68">
        <f>J20/E20-1</f>
        <v>0.0010288068035944065</v>
      </c>
      <c r="K22" s="13"/>
    </row>
    <row r="23" ht="24.75">
      <c r="A23" s="3"/>
      <c r="B23" s="4" t="s">
        <v>562</v>
      </c>
      <c r="C23" s="9"/>
      <c r="D23" s="9"/>
      <c r="E23" s="9"/>
      <c r="F23" s="9"/>
      <c r="G23" s="9"/>
      <c r="H23" s="9"/>
      <c r="I23" s="9"/>
      <c r="J23" s="71">
        <f>J20</f>
        <v>1559.602881</v>
      </c>
      <c r="K23" s="42"/>
    </row>
    <row r="24">
      <c r="A24" s="3"/>
      <c r="B24" s="3"/>
      <c r="C24" s="3"/>
      <c r="D24" s="3"/>
      <c r="E24" s="3"/>
      <c r="F24" s="3"/>
      <c r="G24" s="3"/>
      <c r="H24" s="3"/>
      <c r="I24" s="3"/>
      <c r="J24" s="50"/>
      <c r="K24" s="13"/>
    </row>
    <row r="25">
      <c r="A25" s="3"/>
      <c r="B25" s="70" t="s">
        <v>563</v>
      </c>
      <c r="C25" s="3"/>
      <c r="D25" s="3"/>
      <c r="E25" s="3"/>
      <c r="F25" s="3"/>
      <c r="G25" s="3"/>
      <c r="H25" s="3"/>
      <c r="I25" s="3"/>
      <c r="J25" s="50"/>
      <c r="K25" s="13"/>
    </row>
    <row r="26">
      <c r="A26" s="3"/>
      <c r="B26" s="16" t="s">
        <v>564</v>
      </c>
      <c r="C26" s="45">
        <v>1.35</v>
      </c>
      <c r="D26" s="45">
        <v>1.35</v>
      </c>
      <c r="E26" s="45">
        <v>1.47</v>
      </c>
      <c r="F26" s="45">
        <v>1.47</v>
      </c>
      <c r="G26" s="26">
        <f>SUM(C26:F26)</f>
        <v>5.640000000000001</v>
      </c>
      <c r="H26" s="45">
        <v>1.47</v>
      </c>
      <c r="I26" s="45">
        <v>1.47</v>
      </c>
      <c r="J26" s="30">
        <v>1.6</v>
      </c>
      <c r="K26" s="13" t="s">
        <v>565</v>
      </c>
    </row>
    <row r="27">
      <c r="A27" s="3"/>
      <c r="B27" s="8" t="s">
        <v>66</v>
      </c>
      <c r="C27" s="29"/>
      <c r="D27" s="29"/>
      <c r="E27" s="29"/>
      <c r="F27" s="29"/>
      <c r="G27" s="29"/>
      <c r="H27" s="29">
        <f>H26/C26-1</f>
        <v>0.0888888888888888</v>
      </c>
      <c r="I27" s="29">
        <f>I26/D26-1</f>
        <v>0.0888888888888888</v>
      </c>
      <c r="J27" s="68">
        <f>J26/E26-1</f>
        <v>0.08843537414965996</v>
      </c>
      <c r="K27" s="13"/>
    </row>
    <row r="28" ht="24.75">
      <c r="A28" s="3"/>
      <c r="B28" s="53" t="s">
        <v>566</v>
      </c>
      <c r="C28" s="17"/>
      <c r="D28" s="17"/>
      <c r="E28" s="17"/>
      <c r="F28" s="17"/>
      <c r="G28" s="17"/>
      <c r="H28" s="17"/>
      <c r="I28" s="17"/>
      <c r="J28" s="1">
        <f>J26*J11</f>
        <v>2493.7646096000003</v>
      </c>
      <c r="K28" s="42"/>
    </row>
    <row r="29">
      <c r="A29" s="3"/>
      <c r="B29" s="3"/>
      <c r="C29" s="3"/>
      <c r="D29" s="3"/>
      <c r="E29" s="3"/>
      <c r="F29" s="3"/>
      <c r="G29" s="3"/>
      <c r="H29" s="3"/>
      <c r="I29" s="3"/>
      <c r="J29" s="50"/>
      <c r="K29" s="13"/>
    </row>
    <row r="30">
      <c r="A30" s="3"/>
      <c r="B30" s="3"/>
      <c r="C30" s="3"/>
      <c r="D30" s="3"/>
      <c r="E30" s="3"/>
      <c r="F30" s="3"/>
      <c r="G30" s="3"/>
      <c r="H30" s="3"/>
      <c r="I30" s="3"/>
      <c r="J30" s="50"/>
      <c r="K30" s="13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567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568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/>
      <c r="C4" s="7"/>
      <c r="D4" s="7"/>
      <c r="E4" s="7"/>
      <c r="F4" s="7"/>
      <c r="G4" s="7"/>
      <c r="H4" s="7"/>
      <c r="I4" s="7"/>
      <c r="J4" s="193"/>
      <c r="K4" s="41" t="s">
        <v>3</v>
      </c>
    </row>
    <row r="5">
      <c r="A5" s="3"/>
      <c r="B5" s="54"/>
      <c r="C5" s="34"/>
      <c r="D5" s="34"/>
      <c r="E5" s="34"/>
      <c r="F5" s="34"/>
      <c r="G5" s="34"/>
      <c r="H5" s="34"/>
      <c r="I5" s="34"/>
      <c r="J5" s="191"/>
      <c r="K5" s="54"/>
    </row>
    <row r="6">
      <c r="A6" s="3"/>
      <c r="B6" s="44"/>
      <c r="C6" s="33"/>
      <c r="D6" s="33"/>
      <c r="E6" s="33"/>
      <c r="F6" s="33"/>
      <c r="G6" s="33"/>
      <c r="H6" s="33"/>
      <c r="I6" s="33"/>
      <c r="J6" s="188"/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182"/>
      <c r="K7" s="3"/>
    </row>
    <row r="8">
      <c r="A8" s="3"/>
      <c r="B8" s="88" t="s">
        <v>569</v>
      </c>
      <c r="C8" s="36" t="s">
        <v>570</v>
      </c>
      <c r="D8" s="36" t="s">
        <v>53</v>
      </c>
      <c r="E8" s="36" t="s">
        <v>571</v>
      </c>
      <c r="F8" s="36" t="s">
        <v>572</v>
      </c>
      <c r="G8" s="36" t="s">
        <v>573</v>
      </c>
      <c r="H8" s="36" t="s">
        <v>574</v>
      </c>
      <c r="I8" s="36" t="s">
        <v>575</v>
      </c>
      <c r="J8" s="36" t="s">
        <v>576</v>
      </c>
      <c r="K8" s="23" t="s">
        <v>577</v>
      </c>
    </row>
    <row r="9" ht="24.75">
      <c r="A9" s="3"/>
      <c r="B9" s="53" t="s">
        <v>578</v>
      </c>
      <c r="C9" s="43">
        <v>45951</v>
      </c>
      <c r="D9" s="47" t="s">
        <v>579</v>
      </c>
      <c r="E9" s="18"/>
      <c r="F9" s="18"/>
      <c r="G9" s="18"/>
      <c r="H9" s="35">
        <v>5.83</v>
      </c>
      <c r="I9" s="18"/>
      <c r="J9" s="201"/>
      <c r="K9" s="42" t="s">
        <v>580</v>
      </c>
    </row>
    <row r="10">
      <c r="A10" s="3"/>
      <c r="B10" s="16" t="s">
        <v>581</v>
      </c>
      <c r="C10" s="12">
        <v>45694</v>
      </c>
      <c r="D10" s="27" t="s">
        <v>582</v>
      </c>
      <c r="E10" s="45">
        <v>1.58</v>
      </c>
      <c r="F10" s="45">
        <v>1.63</v>
      </c>
      <c r="G10" s="26">
        <f>AVERAGE(E10:F10)</f>
        <v>1.605</v>
      </c>
      <c r="H10" s="28">
        <f>Inputs!C12</f>
        <v>1.69</v>
      </c>
      <c r="I10" s="26">
        <f>H10-G10</f>
        <v>0.08499999999999996</v>
      </c>
      <c r="J10" s="198" t="str">
        <f>IF(H10&gt;F10,"Beat &gt;range",IF(H10&gt;=E10,"Within range","Miss"))</f>
        <v>Beat &gt;range</v>
      </c>
      <c r="K10" s="13" t="s">
        <v>583</v>
      </c>
    </row>
    <row r="11">
      <c r="A11" s="3"/>
      <c r="B11" s="16" t="s">
        <v>584</v>
      </c>
      <c r="C11" s="12">
        <v>45770</v>
      </c>
      <c r="D11" s="27" t="s">
        <v>585</v>
      </c>
      <c r="E11" s="45">
        <v>1.8</v>
      </c>
      <c r="F11" s="45">
        <v>1.85</v>
      </c>
      <c r="G11" s="26">
        <f>AVERAGE(E11:F11)</f>
        <v>1.8250000000000002</v>
      </c>
      <c r="H11" s="28">
        <f>Inputs!D12</f>
        <v>1.91</v>
      </c>
      <c r="I11" s="26">
        <f>H11-G11</f>
        <v>0.08499999999999974</v>
      </c>
      <c r="J11" s="198" t="str">
        <f>IF(H11&gt;F11,"Beat &gt;range",IF(H11&gt;=E11,"Within range","Miss"))</f>
        <v>Beat &gt;range</v>
      </c>
      <c r="K11" s="13" t="s">
        <v>586</v>
      </c>
    </row>
    <row r="12">
      <c r="A12" s="3"/>
      <c r="B12" s="16" t="s">
        <v>587</v>
      </c>
      <c r="C12" s="12">
        <v>45860</v>
      </c>
      <c r="D12" s="27" t="s">
        <v>588</v>
      </c>
      <c r="E12" s="45">
        <v>2.08</v>
      </c>
      <c r="F12" s="45">
        <v>2.13</v>
      </c>
      <c r="G12" s="26">
        <f>AVERAGE(E12:F12)</f>
        <v>2.105</v>
      </c>
      <c r="H12" s="28">
        <f>Inputs!E12</f>
        <v>2.24</v>
      </c>
      <c r="I12" s="26">
        <f>H12-G12</f>
        <v>0.13500000000000023</v>
      </c>
      <c r="J12" s="198" t="str">
        <f>IF(H12&gt;F12,"Beat &gt;range",IF(H12&gt;=E12,"Within range","Miss"))</f>
        <v>Beat &gt;range</v>
      </c>
      <c r="K12" s="13" t="s">
        <v>589</v>
      </c>
    </row>
    <row r="13">
      <c r="A13" s="3"/>
      <c r="B13" s="16" t="s">
        <v>590</v>
      </c>
      <c r="C13" s="12">
        <v>45951</v>
      </c>
      <c r="D13" s="27" t="s">
        <v>591</v>
      </c>
      <c r="E13" s="45">
        <v>7.46</v>
      </c>
      <c r="F13" s="45">
        <v>7.56</v>
      </c>
      <c r="G13" s="26">
        <f>AVERAGE(E13:F13)</f>
        <v>7.51</v>
      </c>
      <c r="H13" s="28">
        <f>'Income Statement'!G75</f>
        <v>7.543157894736843</v>
      </c>
      <c r="I13" s="26">
        <f>H13-G13</f>
        <v>0.03315789473684294</v>
      </c>
      <c r="J13" s="198" t="str">
        <f>IF(H13&gt;F13,"Beat &gt;range",IF(H13&gt;=E13,"Within range","Miss"))</f>
        <v>Within range</v>
      </c>
      <c r="K13" s="13" t="s">
        <v>592</v>
      </c>
    </row>
    <row r="14" ht="24.75">
      <c r="A14" s="3"/>
      <c r="B14" s="53" t="s">
        <v>593</v>
      </c>
      <c r="C14" s="43">
        <v>45951</v>
      </c>
      <c r="D14" s="47" t="s">
        <v>594</v>
      </c>
      <c r="E14" s="18">
        <f>E13-H9</f>
        <v>1.63</v>
      </c>
      <c r="F14" s="18">
        <f>F13-H9</f>
        <v>1.7299999999999995</v>
      </c>
      <c r="G14" s="18">
        <f>AVERAGE(E14:F14)</f>
        <v>1.6799999999999997</v>
      </c>
      <c r="H14" s="89">
        <f>Inputs!F12</f>
        <v>1.7</v>
      </c>
      <c r="I14" s="18">
        <f>H14-G14</f>
        <v>0.02000000000000024</v>
      </c>
      <c r="J14" s="202" t="str">
        <f>IF(H14&gt;F14,"Beat &gt;range",IF(H14&gt;=E14,"Within range","Miss"))</f>
        <v>Within range</v>
      </c>
      <c r="K14" s="42" t="s">
        <v>595</v>
      </c>
    </row>
    <row r="15">
      <c r="A15" s="3"/>
      <c r="B15" s="16" t="s">
        <v>596</v>
      </c>
      <c r="C15" s="12">
        <v>46059</v>
      </c>
      <c r="D15" s="27" t="s">
        <v>597</v>
      </c>
      <c r="E15" s="45">
        <v>1.8</v>
      </c>
      <c r="F15" s="45">
        <v>1.85</v>
      </c>
      <c r="G15" s="26">
        <f>AVERAGE(E15:F15)</f>
        <v>1.8250000000000002</v>
      </c>
      <c r="H15" s="28">
        <f>Inputs!H12</f>
        <v>1.96</v>
      </c>
      <c r="I15" s="26">
        <f>H15-G15</f>
        <v>0.1349999999999998</v>
      </c>
      <c r="J15" s="198" t="str">
        <f>IF(H15&gt;F15,"Beat &gt;range",IF(H15&gt;=E15,"Within range","Miss"))</f>
        <v>Beat &gt;range</v>
      </c>
      <c r="K15" s="13" t="s">
        <v>598</v>
      </c>
    </row>
    <row r="16">
      <c r="A16" s="3"/>
      <c r="B16" s="16" t="s">
        <v>599</v>
      </c>
      <c r="C16" s="12">
        <v>46059</v>
      </c>
      <c r="D16" s="27" t="s">
        <v>600</v>
      </c>
      <c r="E16" s="45">
        <v>8.38</v>
      </c>
      <c r="F16" s="45">
        <v>8.53</v>
      </c>
      <c r="G16" s="26">
        <f>AVERAGE(E16:F16)</f>
        <v>8.455</v>
      </c>
      <c r="H16" s="26"/>
      <c r="I16" s="26"/>
      <c r="J16" s="198"/>
      <c r="K16" s="13" t="s">
        <v>598</v>
      </c>
    </row>
    <row r="17">
      <c r="A17" s="3"/>
      <c r="B17" s="16" t="s">
        <v>601</v>
      </c>
      <c r="C17" s="12">
        <v>46134</v>
      </c>
      <c r="D17" s="27" t="s">
        <v>602</v>
      </c>
      <c r="E17" s="45">
        <v>2.02</v>
      </c>
      <c r="F17" s="45">
        <v>2.07</v>
      </c>
      <c r="G17" s="26">
        <f>AVERAGE(E17:F17)</f>
        <v>2.045</v>
      </c>
      <c r="H17" s="28">
        <f>Inputs!I12</f>
        <v>2.2</v>
      </c>
      <c r="I17" s="26">
        <f>H17-G17</f>
        <v>0.15500000000000025</v>
      </c>
      <c r="J17" s="198" t="str">
        <f>IF(H17&gt;F17,"Beat &gt;range",IF(H17&gt;=E17,"Within range","Miss"))</f>
        <v>Beat &gt;range</v>
      </c>
      <c r="K17" s="13" t="s">
        <v>603</v>
      </c>
    </row>
    <row r="18">
      <c r="A18" s="3"/>
      <c r="B18" s="16" t="s">
        <v>604</v>
      </c>
      <c r="C18" s="12">
        <v>46134</v>
      </c>
      <c r="D18" s="27" t="s">
        <v>600</v>
      </c>
      <c r="E18" s="45">
        <v>8.36</v>
      </c>
      <c r="F18" s="45">
        <v>8.51</v>
      </c>
      <c r="G18" s="26">
        <f>AVERAGE(E18:F18)</f>
        <v>8.434999999999999</v>
      </c>
      <c r="H18" s="26"/>
      <c r="I18" s="26"/>
      <c r="J18" s="198"/>
      <c r="K18" s="13" t="s">
        <v>603</v>
      </c>
    </row>
    <row r="19" ht="24.75">
      <c r="A19" s="3"/>
      <c r="B19" s="53" t="s">
        <v>605</v>
      </c>
      <c r="C19" s="43">
        <v>46175</v>
      </c>
      <c r="D19" s="47" t="s">
        <v>602</v>
      </c>
      <c r="E19" s="35">
        <v>1.97</v>
      </c>
      <c r="F19" s="35">
        <v>2.02</v>
      </c>
      <c r="G19" s="18">
        <f>AVERAGE(E19:F19)</f>
        <v>1.995</v>
      </c>
      <c r="H19" s="89">
        <f>Inputs!I12</f>
        <v>2.2</v>
      </c>
      <c r="I19" s="18">
        <f>H19-G19</f>
        <v>0.20500000000000007</v>
      </c>
      <c r="J19" s="202" t="str">
        <f>IF(H19&gt;F19,"Beat &gt;range",IF(H19&gt;=E19,"Within range","Miss"))</f>
        <v>Beat &gt;range</v>
      </c>
      <c r="K19" s="42" t="s">
        <v>606</v>
      </c>
    </row>
    <row r="20">
      <c r="A20" s="3"/>
      <c r="B20" s="16" t="s">
        <v>604</v>
      </c>
      <c r="C20" s="12">
        <v>46175</v>
      </c>
      <c r="D20" s="27" t="s">
        <v>600</v>
      </c>
      <c r="E20" s="45">
        <v>8.31</v>
      </c>
      <c r="F20" s="45">
        <v>8.46</v>
      </c>
      <c r="G20" s="26">
        <f>AVERAGE(E20:F20)</f>
        <v>8.385000000000002</v>
      </c>
      <c r="H20" s="26"/>
      <c r="I20" s="26"/>
      <c r="J20" s="200"/>
      <c r="K20" s="13" t="s">
        <v>606</v>
      </c>
    </row>
    <row r="21">
      <c r="A21" s="3"/>
      <c r="B21" s="16" t="s">
        <v>607</v>
      </c>
      <c r="C21" s="12">
        <v>46225</v>
      </c>
      <c r="D21" s="27" t="s">
        <v>608</v>
      </c>
      <c r="E21" s="45">
        <v>2.2</v>
      </c>
      <c r="F21" s="45">
        <v>2.25</v>
      </c>
      <c r="G21" s="26">
        <f>AVERAGE(E21:F21)</f>
        <v>2.225</v>
      </c>
      <c r="H21" s="28">
        <f>'Income Statement'!J75</f>
        <v>2.344740672788727</v>
      </c>
      <c r="I21" s="26">
        <f>H21-G21</f>
        <v>0.11974067278872713</v>
      </c>
      <c r="J21" s="200" t="str">
        <f>"Estimate (E)"</f>
        <v>Estimate (E)</v>
      </c>
      <c r="K21" s="13" t="s">
        <v>609</v>
      </c>
    </row>
    <row r="22">
      <c r="A22" s="3"/>
      <c r="B22" s="16" t="s">
        <v>604</v>
      </c>
      <c r="C22" s="12">
        <v>46225</v>
      </c>
      <c r="D22" s="27" t="s">
        <v>600</v>
      </c>
      <c r="E22" s="45">
        <v>8.26</v>
      </c>
      <c r="F22" s="45">
        <v>8.41</v>
      </c>
      <c r="G22" s="26">
        <f>AVERAGE(E22:F22)</f>
        <v>8.335</v>
      </c>
      <c r="H22" s="26"/>
      <c r="I22" s="26"/>
      <c r="J22" s="200"/>
      <c r="K22" s="13" t="s">
        <v>609</v>
      </c>
    </row>
    <row r="23" ht="24.75">
      <c r="A23" s="3"/>
      <c r="B23" s="53" t="s">
        <v>610</v>
      </c>
      <c r="C23" s="43">
        <v>46273</v>
      </c>
      <c r="D23" s="47" t="s">
        <v>608</v>
      </c>
      <c r="E23" s="35">
        <v>2.29</v>
      </c>
      <c r="F23" s="35">
        <v>2.34</v>
      </c>
      <c r="G23" s="18">
        <f>AVERAGE(E23:F23)</f>
        <v>2.315</v>
      </c>
      <c r="H23" s="89">
        <f>'Income Statement'!J75</f>
        <v>2.344740672788727</v>
      </c>
      <c r="I23" s="18">
        <f>H23-G23</f>
        <v>0.029740672788727274</v>
      </c>
      <c r="J23" s="201" t="str">
        <f>"Estimate (E)"</f>
        <v>Estimate (E)</v>
      </c>
      <c r="K23" s="42" t="s">
        <v>611</v>
      </c>
    </row>
    <row r="24">
      <c r="A24" s="3"/>
      <c r="B24" s="16" t="s">
        <v>612</v>
      </c>
      <c r="C24" s="12">
        <v>46273</v>
      </c>
      <c r="D24" s="27" t="s">
        <v>600</v>
      </c>
      <c r="E24" s="45">
        <v>8.35</v>
      </c>
      <c r="F24" s="45">
        <v>8.5</v>
      </c>
      <c r="G24" s="26">
        <f>AVERAGE(E24:F24)</f>
        <v>8.425</v>
      </c>
      <c r="H24" s="26"/>
      <c r="I24" s="26"/>
      <c r="J24" s="200"/>
      <c r="K24" s="13" t="s">
        <v>611</v>
      </c>
    </row>
    <row r="25" ht="36">
      <c r="A25" s="3"/>
      <c r="B25" s="4" t="s">
        <v>613</v>
      </c>
      <c r="C25" s="87"/>
      <c r="D25" s="15"/>
      <c r="E25" s="77"/>
      <c r="F25" s="77"/>
      <c r="G25" s="77"/>
      <c r="H25" s="77"/>
      <c r="I25" s="77">
        <f>AVERAGE(I10,I11,I12,I15,I19)</f>
        <v>0.12899999999999995</v>
      </c>
      <c r="J25" s="199"/>
      <c r="K25" s="42" t="s">
        <v>614</v>
      </c>
    </row>
    <row r="26">
      <c r="A26" s="3"/>
      <c r="B26" s="3"/>
      <c r="C26" s="3"/>
      <c r="D26" s="3"/>
      <c r="E26" s="3"/>
      <c r="F26" s="3"/>
      <c r="G26" s="3"/>
      <c r="H26" s="3"/>
      <c r="I26" s="3"/>
      <c r="J26" s="182"/>
      <c r="K26" s="13"/>
    </row>
    <row r="27">
      <c r="A27" s="3"/>
      <c r="B27" s="88" t="s">
        <v>615</v>
      </c>
      <c r="C27" s="36" t="s">
        <v>570</v>
      </c>
      <c r="D27" s="36" t="s">
        <v>53</v>
      </c>
      <c r="E27" s="36" t="s">
        <v>571</v>
      </c>
      <c r="F27" s="36" t="s">
        <v>572</v>
      </c>
      <c r="G27" s="36" t="s">
        <v>573</v>
      </c>
      <c r="H27" s="36" t="s">
        <v>574</v>
      </c>
      <c r="I27" s="36" t="s">
        <v>575</v>
      </c>
      <c r="J27" s="36" t="s">
        <v>576</v>
      </c>
      <c r="K27" s="23" t="s">
        <v>577</v>
      </c>
    </row>
    <row r="28">
      <c r="A28" s="3"/>
      <c r="B28" s="21" t="s">
        <v>616</v>
      </c>
      <c r="C28" s="12">
        <v>46225</v>
      </c>
      <c r="D28" s="27" t="s">
        <v>600</v>
      </c>
      <c r="E28" s="60">
        <v>0.05</v>
      </c>
      <c r="F28" s="60">
        <v>0.07</v>
      </c>
      <c r="G28" s="29">
        <f>AVERAGE(E28:F28)</f>
        <v>0.060000000000000005</v>
      </c>
      <c r="H28" s="29"/>
      <c r="I28" s="29"/>
      <c r="J28" s="200"/>
      <c r="K28" s="13" t="s">
        <v>617</v>
      </c>
    </row>
    <row r="29">
      <c r="A29" s="3"/>
      <c r="B29" s="21" t="s">
        <v>618</v>
      </c>
      <c r="C29" s="12">
        <v>46225</v>
      </c>
      <c r="D29" s="27" t="s">
        <v>600</v>
      </c>
      <c r="E29" s="60">
        <v>0.07</v>
      </c>
      <c r="F29" s="60">
        <v>0.09</v>
      </c>
      <c r="G29" s="29">
        <f>AVERAGE(E29:F29)</f>
        <v>0.08</v>
      </c>
      <c r="H29" s="29"/>
      <c r="I29" s="29"/>
      <c r="J29" s="200"/>
      <c r="K29" s="13" t="s">
        <v>617</v>
      </c>
    </row>
    <row r="30">
      <c r="A30" s="3"/>
      <c r="B30" s="21" t="s">
        <v>619</v>
      </c>
      <c r="C30" s="12">
        <v>46225</v>
      </c>
      <c r="D30" s="27" t="s">
        <v>600</v>
      </c>
      <c r="E30" s="60">
        <v>-0.03</v>
      </c>
      <c r="F30" s="60">
        <v>-0.02</v>
      </c>
      <c r="G30" s="29">
        <f>AVERAGE(E30:F30)</f>
        <v>-0.025</v>
      </c>
      <c r="H30" s="29"/>
      <c r="I30" s="29"/>
      <c r="J30" s="200"/>
      <c r="K30" s="13" t="s">
        <v>617</v>
      </c>
    </row>
    <row r="31" ht="24.75">
      <c r="A31" s="3"/>
      <c r="B31" s="75" t="s">
        <v>620</v>
      </c>
      <c r="C31" s="43">
        <v>46225</v>
      </c>
      <c r="D31" s="47" t="s">
        <v>600</v>
      </c>
      <c r="E31" s="66">
        <v>0.215</v>
      </c>
      <c r="F31" s="62">
        <f>E31</f>
        <v>0.215</v>
      </c>
      <c r="G31" s="62">
        <f>AVERAGE(E31:F31)</f>
        <v>0.215</v>
      </c>
      <c r="H31" s="62"/>
      <c r="I31" s="62"/>
      <c r="J31" s="201"/>
      <c r="K31" s="42" t="s">
        <v>617</v>
      </c>
    </row>
    <row r="32">
      <c r="A32" s="3"/>
      <c r="B32" s="16" t="s">
        <v>621</v>
      </c>
      <c r="C32" s="12">
        <v>46225</v>
      </c>
      <c r="D32" s="27" t="s">
        <v>600</v>
      </c>
      <c r="E32" s="6">
        <v>13500</v>
      </c>
      <c r="F32" s="5">
        <f>E32</f>
        <v>13500</v>
      </c>
      <c r="G32" s="5">
        <f>AVERAGE(E32:F32)</f>
        <v>13500</v>
      </c>
      <c r="H32" s="5"/>
      <c r="I32" s="5"/>
      <c r="J32" s="200"/>
      <c r="K32" s="13" t="s">
        <v>617</v>
      </c>
    </row>
    <row r="33">
      <c r="A33" s="3"/>
      <c r="B33" s="16" t="s">
        <v>622</v>
      </c>
      <c r="C33" s="12">
        <v>46225</v>
      </c>
      <c r="D33" s="27" t="s">
        <v>600</v>
      </c>
      <c r="E33" s="6">
        <v>1400</v>
      </c>
      <c r="F33" s="6">
        <v>1600</v>
      </c>
      <c r="G33" s="5">
        <f>AVERAGE(E33:F33)</f>
        <v>1500</v>
      </c>
      <c r="H33" s="5"/>
      <c r="I33" s="5"/>
      <c r="J33" s="200"/>
      <c r="K33" s="13" t="s">
        <v>617</v>
      </c>
    </row>
    <row r="34" ht="24.75">
      <c r="A34" s="3"/>
      <c r="B34" s="53" t="s">
        <v>623</v>
      </c>
      <c r="C34" s="43">
        <v>46225</v>
      </c>
      <c r="D34" s="47" t="s">
        <v>608</v>
      </c>
      <c r="E34" s="82">
        <v>41000</v>
      </c>
      <c r="F34" s="39">
        <f>E34</f>
        <v>41000</v>
      </c>
      <c r="G34" s="39">
        <f>AVERAGE(E34:F34)</f>
        <v>41000</v>
      </c>
      <c r="H34" s="84">
        <f>'Segment - Intl Smoke-Free'!J9</f>
        <v>41000</v>
      </c>
      <c r="I34" s="39">
        <f>H34-G34</f>
        <v>0</v>
      </c>
      <c r="J34" s="201" t="str">
        <f>"Estimate (E)"</f>
        <v>Estimate (E)</v>
      </c>
      <c r="K34" s="42" t="s">
        <v>51</v>
      </c>
    </row>
    <row r="35">
      <c r="A35" s="3"/>
      <c r="B35" s="3"/>
      <c r="C35" s="3"/>
      <c r="D35" s="3"/>
      <c r="E35" s="3"/>
      <c r="F35" s="3"/>
      <c r="G35" s="3"/>
      <c r="H35" s="3"/>
      <c r="I35" s="3"/>
      <c r="J35" s="50"/>
      <c r="K35" s="13"/>
    </row>
    <row r="36">
      <c r="A36" s="3"/>
      <c r="B36" s="3"/>
      <c r="C36" s="3"/>
      <c r="D36" s="3"/>
      <c r="E36" s="3"/>
      <c r="F36" s="3"/>
      <c r="G36" s="3"/>
      <c r="H36" s="3"/>
      <c r="I36" s="3"/>
      <c r="J36" s="50"/>
      <c r="K36" s="1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K13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624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625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6" t="s">
        <v>61</v>
      </c>
      <c r="K4" s="41" t="s">
        <v>3</v>
      </c>
    </row>
    <row r="5">
      <c r="A5" s="3"/>
      <c r="B5" s="54" t="s">
        <v>62</v>
      </c>
      <c r="C5" s="34">
        <v>45747</v>
      </c>
      <c r="D5" s="34">
        <v>45838</v>
      </c>
      <c r="E5" s="34">
        <v>45930</v>
      </c>
      <c r="F5" s="34">
        <v>46022</v>
      </c>
      <c r="G5" s="34">
        <v>46022</v>
      </c>
      <c r="H5" s="34">
        <v>46112</v>
      </c>
      <c r="I5" s="34">
        <v>46203</v>
      </c>
      <c r="J5" s="65">
        <v>46295</v>
      </c>
      <c r="K5" s="54"/>
    </row>
    <row r="6">
      <c r="A6" s="3"/>
      <c r="B6" s="44" t="s">
        <v>63</v>
      </c>
      <c r="C6" s="33">
        <f>C5-DATE(2024,12,31)</f>
        <v>90</v>
      </c>
      <c r="D6" s="33">
        <f>D5-C5</f>
        <v>91</v>
      </c>
      <c r="E6" s="33">
        <f>E5-D5</f>
        <v>92</v>
      </c>
      <c r="F6" s="33">
        <f>F5-E5</f>
        <v>92</v>
      </c>
      <c r="G6" s="33">
        <f>G5-DATE(2024,12,31)</f>
        <v>365</v>
      </c>
      <c r="H6" s="33">
        <f>H5-F5</f>
        <v>90</v>
      </c>
      <c r="I6" s="33">
        <f>I5-H5</f>
        <v>91</v>
      </c>
      <c r="J6" s="11">
        <f>J5-I5</f>
        <v>92</v>
      </c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50"/>
      <c r="K7" s="3"/>
    </row>
    <row r="8">
      <c r="A8" s="3"/>
      <c r="B8" s="70" t="s">
        <v>626</v>
      </c>
      <c r="C8" s="3"/>
      <c r="D8" s="3"/>
      <c r="E8" s="3"/>
      <c r="F8" s="3"/>
      <c r="G8" s="3"/>
      <c r="H8" s="3"/>
      <c r="I8" s="3"/>
      <c r="J8" s="50"/>
      <c r="K8" s="13"/>
    </row>
    <row r="9">
      <c r="A9" s="3"/>
      <c r="B9" s="16" t="s">
        <v>627</v>
      </c>
      <c r="C9" s="12">
        <v>45747</v>
      </c>
      <c r="D9" s="12">
        <v>45838</v>
      </c>
      <c r="E9" s="12">
        <v>45930</v>
      </c>
      <c r="F9" s="12">
        <v>46022</v>
      </c>
      <c r="G9" s="137"/>
      <c r="H9" s="12">
        <v>46112</v>
      </c>
      <c r="I9" s="12">
        <v>46203</v>
      </c>
      <c r="J9" s="134"/>
      <c r="K9" s="13" t="s">
        <v>628</v>
      </c>
    </row>
    <row r="10">
      <c r="A10" s="3"/>
      <c r="B10" s="16" t="s">
        <v>629</v>
      </c>
      <c r="C10" s="12">
        <v>45770</v>
      </c>
      <c r="D10" s="12">
        <v>45860</v>
      </c>
      <c r="E10" s="12">
        <v>45951</v>
      </c>
      <c r="F10" s="12">
        <v>46059</v>
      </c>
      <c r="G10" s="137"/>
      <c r="H10" s="12">
        <v>46134</v>
      </c>
      <c r="I10" s="12">
        <v>46225</v>
      </c>
      <c r="J10" s="134"/>
      <c r="K10" s="13"/>
    </row>
    <row r="11">
      <c r="A11" s="3"/>
      <c r="B11" s="16" t="s">
        <v>630</v>
      </c>
      <c r="C11" s="45">
        <v>1.61</v>
      </c>
      <c r="D11" s="45">
        <v>1.86</v>
      </c>
      <c r="E11" s="45">
        <v>2.1</v>
      </c>
      <c r="F11" s="45">
        <v>1.7</v>
      </c>
      <c r="G11" s="26"/>
      <c r="H11" s="45">
        <v>1.83</v>
      </c>
      <c r="I11" s="45">
        <v>2.05</v>
      </c>
      <c r="J11" s="63"/>
      <c r="K11" s="13"/>
    </row>
    <row r="12">
      <c r="A12" s="3"/>
      <c r="B12" s="16" t="s">
        <v>631</v>
      </c>
      <c r="C12" s="45">
        <v>1.69</v>
      </c>
      <c r="D12" s="45">
        <v>1.91</v>
      </c>
      <c r="E12" s="45">
        <v>2.24</v>
      </c>
      <c r="F12" s="45">
        <v>1.7</v>
      </c>
      <c r="G12" s="26"/>
      <c r="H12" s="45">
        <v>1.96</v>
      </c>
      <c r="I12" s="45">
        <v>2.2</v>
      </c>
      <c r="J12" s="63"/>
      <c r="K12" s="13"/>
    </row>
    <row r="13">
      <c r="A13" s="3"/>
      <c r="B13" s="16" t="s">
        <v>632</v>
      </c>
      <c r="C13" s="45">
        <v>1.58</v>
      </c>
      <c r="D13" s="45">
        <v>1.79</v>
      </c>
      <c r="E13" s="45">
        <v>1.98</v>
      </c>
      <c r="F13" s="45">
        <v>1.51</v>
      </c>
      <c r="G13" s="26"/>
      <c r="H13" s="45">
        <v>1.74</v>
      </c>
      <c r="I13" s="45">
        <v>1.97</v>
      </c>
      <c r="J13" s="63"/>
      <c r="K13" s="13"/>
    </row>
    <row r="14">
      <c r="A14" s="3"/>
      <c r="B14" s="16" t="s">
        <v>633</v>
      </c>
      <c r="C14" s="45">
        <v>1.72</v>
      </c>
      <c r="D14" s="45">
        <v>1.95</v>
      </c>
      <c r="E14" s="45">
        <v>2.23</v>
      </c>
      <c r="F14" s="45">
        <v>1.37</v>
      </c>
      <c r="G14" s="26"/>
      <c r="H14" s="45">
        <v>1.56</v>
      </c>
      <c r="I14" s="45">
        <v>1.8</v>
      </c>
      <c r="J14" s="63"/>
      <c r="K14" s="13"/>
    </row>
    <row r="15">
      <c r="A15" s="3"/>
      <c r="B15" s="16" t="s">
        <v>634</v>
      </c>
      <c r="C15" s="6">
        <v>9144.78</v>
      </c>
      <c r="D15" s="6">
        <v>10332.85</v>
      </c>
      <c r="E15" s="6">
        <v>10659.32</v>
      </c>
      <c r="F15" s="6">
        <v>10402.75</v>
      </c>
      <c r="G15" s="5"/>
      <c r="H15" s="6">
        <v>9907.19</v>
      </c>
      <c r="I15" s="6">
        <v>10632.23</v>
      </c>
      <c r="J15" s="31"/>
      <c r="K15" s="13"/>
    </row>
    <row r="16">
      <c r="A16" s="3"/>
      <c r="B16" s="16" t="s">
        <v>635</v>
      </c>
      <c r="C16" s="6">
        <v>9301</v>
      </c>
      <c r="D16" s="6">
        <v>10140</v>
      </c>
      <c r="E16" s="6">
        <v>10845</v>
      </c>
      <c r="F16" s="6">
        <v>10362</v>
      </c>
      <c r="G16" s="5"/>
      <c r="H16" s="6">
        <v>10146</v>
      </c>
      <c r="I16" s="6">
        <v>11192</v>
      </c>
      <c r="J16" s="31"/>
      <c r="K16" s="13"/>
    </row>
    <row r="17" ht="24.75">
      <c r="A17" s="3"/>
      <c r="B17" s="75" t="s">
        <v>636</v>
      </c>
      <c r="C17" s="133">
        <f>C12-C11</f>
        <v>0.07999999999999985</v>
      </c>
      <c r="D17" s="133">
        <f>D12-D11</f>
        <v>0.04999999999999982</v>
      </c>
      <c r="E17" s="133">
        <f>E12-E11</f>
        <v>0.14000000000000012</v>
      </c>
      <c r="F17" s="133">
        <f>F12-F11</f>
        <v>0</v>
      </c>
      <c r="G17" s="133"/>
      <c r="H17" s="133">
        <f>H12-H11</f>
        <v>0.1299999999999999</v>
      </c>
      <c r="I17" s="133">
        <f>I12-I11</f>
        <v>0.15000000000000036</v>
      </c>
      <c r="J17" s="161"/>
      <c r="K17" s="42"/>
    </row>
    <row r="18">
      <c r="A18" s="3"/>
      <c r="B18" s="16" t="s">
        <v>637</v>
      </c>
      <c r="C18" s="136">
        <f>IF(C12&gt;C11,1,0)</f>
        <v>1</v>
      </c>
      <c r="D18" s="136">
        <f>IF(D12&gt;D11,1,0)</f>
        <v>1</v>
      </c>
      <c r="E18" s="136">
        <f>IF(E12&gt;E11,1,0)</f>
        <v>1</v>
      </c>
      <c r="F18" s="136">
        <f>IF(F12&gt;F11,1,0)</f>
        <v>0</v>
      </c>
      <c r="G18" s="136"/>
      <c r="H18" s="136">
        <f>IF(H12&gt;H11,1,0)</f>
        <v>1</v>
      </c>
      <c r="I18" s="136">
        <f>IF(I12&gt;I11,1,0)</f>
        <v>1</v>
      </c>
      <c r="J18" s="145"/>
      <c r="K18" s="13"/>
    </row>
    <row r="19">
      <c r="A19" s="3"/>
      <c r="B19" s="21" t="s">
        <v>638</v>
      </c>
      <c r="C19" s="29">
        <f>C16/C15-1</f>
        <v>0.01708296973792689</v>
      </c>
      <c r="D19" s="29">
        <f>D16/D15-1</f>
        <v>-0.01866377620888726</v>
      </c>
      <c r="E19" s="29">
        <f>E16/E15-1</f>
        <v>0.017419497679026508</v>
      </c>
      <c r="F19" s="29">
        <f>F16/F15-1</f>
        <v>-0.003917233423854305</v>
      </c>
      <c r="G19" s="29"/>
      <c r="H19" s="29">
        <f>H16/H15-1</f>
        <v>0.024104715867970583</v>
      </c>
      <c r="I19" s="29">
        <f>I16/I15-1</f>
        <v>0.05264840959986761</v>
      </c>
      <c r="J19" s="68"/>
      <c r="K19" s="13"/>
    </row>
    <row r="20">
      <c r="A20" s="3"/>
      <c r="B20" s="3"/>
      <c r="C20" s="3"/>
      <c r="D20" s="3"/>
      <c r="E20" s="3"/>
      <c r="F20" s="3"/>
      <c r="G20" s="3"/>
      <c r="H20" s="3"/>
      <c r="I20" s="3"/>
      <c r="J20" s="50"/>
      <c r="K20" s="13"/>
    </row>
    <row r="21">
      <c r="A21" s="3"/>
      <c r="B21" s="70" t="s">
        <v>639</v>
      </c>
      <c r="C21" s="203" t="s">
        <v>640</v>
      </c>
      <c r="D21" s="3"/>
      <c r="E21" s="3"/>
      <c r="F21" s="3"/>
      <c r="G21" s="3"/>
      <c r="H21" s="3"/>
      <c r="I21" s="3"/>
      <c r="J21" s="50"/>
      <c r="K21" s="13"/>
    </row>
    <row r="22">
      <c r="A22" s="3"/>
      <c r="B22" s="16" t="s">
        <v>641</v>
      </c>
      <c r="C22" s="22" t="s">
        <v>642</v>
      </c>
      <c r="D22" s="22"/>
      <c r="E22" s="22"/>
      <c r="F22" s="22"/>
      <c r="G22" s="22"/>
      <c r="H22" s="22"/>
      <c r="I22" s="22"/>
      <c r="J22" s="46"/>
      <c r="K22" s="13"/>
    </row>
    <row r="23">
      <c r="A23" s="3"/>
      <c r="B23" s="16" t="s">
        <v>643</v>
      </c>
      <c r="C23" s="22" t="s">
        <v>644</v>
      </c>
      <c r="D23" s="22"/>
      <c r="E23" s="22"/>
      <c r="F23" s="22"/>
      <c r="G23" s="22"/>
      <c r="H23" s="22"/>
      <c r="I23" s="22"/>
      <c r="J23" s="46"/>
      <c r="K23" s="13"/>
    </row>
    <row r="24">
      <c r="A24" s="3"/>
      <c r="B24" s="16" t="s">
        <v>645</v>
      </c>
      <c r="C24" s="22" t="s">
        <v>5</v>
      </c>
      <c r="D24" s="22"/>
      <c r="E24" s="22"/>
      <c r="F24" s="22"/>
      <c r="G24" s="22"/>
      <c r="H24" s="22"/>
      <c r="I24" s="22"/>
      <c r="J24" s="46"/>
      <c r="K24" s="13"/>
    </row>
    <row r="25">
      <c r="A25" s="3"/>
      <c r="B25" s="16" t="s">
        <v>646</v>
      </c>
      <c r="C25" s="22" t="s">
        <v>647</v>
      </c>
      <c r="D25" s="22"/>
      <c r="E25" s="22"/>
      <c r="F25" s="22"/>
      <c r="G25" s="22"/>
      <c r="H25" s="22"/>
      <c r="I25" s="22"/>
      <c r="J25" s="46"/>
      <c r="K25" s="13"/>
    </row>
    <row r="26">
      <c r="A26" s="3"/>
      <c r="B26" s="16" t="s">
        <v>627</v>
      </c>
      <c r="C26" s="12">
        <v>46295</v>
      </c>
      <c r="D26" s="137"/>
      <c r="E26" s="137"/>
      <c r="F26" s="137"/>
      <c r="G26" s="137"/>
      <c r="H26" s="137"/>
      <c r="I26" s="137"/>
      <c r="J26" s="134"/>
      <c r="K26" s="13"/>
    </row>
    <row r="27">
      <c r="A27" s="3"/>
      <c r="B27" s="16" t="s">
        <v>648</v>
      </c>
      <c r="C27" s="12">
        <v>46313</v>
      </c>
      <c r="D27" s="137"/>
      <c r="E27" s="137"/>
      <c r="F27" s="137"/>
      <c r="G27" s="137"/>
      <c r="H27" s="137"/>
      <c r="I27" s="137"/>
      <c r="J27" s="134"/>
      <c r="K27" s="13"/>
    </row>
    <row r="28">
      <c r="A28" s="3"/>
      <c r="B28" s="16" t="s">
        <v>649</v>
      </c>
      <c r="C28" s="143">
        <v>8</v>
      </c>
      <c r="D28" s="136"/>
      <c r="E28" s="136"/>
      <c r="F28" s="136"/>
      <c r="G28" s="136"/>
      <c r="H28" s="136"/>
      <c r="I28" s="136"/>
      <c r="J28" s="145"/>
      <c r="K28" s="13"/>
    </row>
    <row r="29">
      <c r="A29" s="3"/>
      <c r="B29" s="16" t="s">
        <v>650</v>
      </c>
      <c r="C29" s="45">
        <v>2.32</v>
      </c>
      <c r="D29" s="26"/>
      <c r="E29" s="26"/>
      <c r="F29" s="26"/>
      <c r="G29" s="26"/>
      <c r="H29" s="26"/>
      <c r="I29" s="26"/>
      <c r="J29" s="63"/>
      <c r="K29" s="13"/>
    </row>
    <row r="30">
      <c r="A30" s="3"/>
      <c r="B30" s="16" t="s">
        <v>651</v>
      </c>
      <c r="C30" s="22" t="s">
        <v>652</v>
      </c>
      <c r="D30" s="22"/>
      <c r="E30" s="22"/>
      <c r="F30" s="22"/>
      <c r="G30" s="22"/>
      <c r="H30" s="22"/>
      <c r="I30" s="22"/>
      <c r="J30" s="46"/>
      <c r="K30" s="13"/>
    </row>
    <row r="31">
      <c r="A31" s="3"/>
      <c r="B31" s="16" t="s">
        <v>653</v>
      </c>
      <c r="C31" s="6">
        <v>11368.95</v>
      </c>
      <c r="D31" s="5"/>
      <c r="E31" s="5"/>
      <c r="F31" s="5"/>
      <c r="G31" s="5"/>
      <c r="H31" s="5"/>
      <c r="I31" s="5"/>
      <c r="J31" s="31"/>
      <c r="K31" s="13"/>
    </row>
    <row r="32">
      <c r="A32" s="3"/>
      <c r="B32" s="16" t="s">
        <v>654</v>
      </c>
      <c r="C32" s="22" t="s">
        <v>655</v>
      </c>
      <c r="D32" s="22"/>
      <c r="E32" s="22"/>
      <c r="F32" s="22"/>
      <c r="G32" s="22"/>
      <c r="H32" s="22"/>
      <c r="I32" s="22"/>
      <c r="J32" s="46"/>
      <c r="K32" s="13"/>
    </row>
    <row r="33">
      <c r="A33" s="3"/>
      <c r="B33" s="16" t="s">
        <v>656</v>
      </c>
      <c r="C33" s="22" t="s">
        <v>657</v>
      </c>
      <c r="D33" s="22"/>
      <c r="E33" s="22"/>
      <c r="F33" s="22"/>
      <c r="G33" s="22"/>
      <c r="H33" s="22"/>
      <c r="I33" s="22"/>
      <c r="J33" s="46"/>
      <c r="K33" s="13"/>
    </row>
    <row r="34">
      <c r="A34" s="3"/>
      <c r="B34" s="16" t="s">
        <v>658</v>
      </c>
      <c r="C34" s="22" t="s">
        <v>659</v>
      </c>
      <c r="D34" s="22"/>
      <c r="E34" s="22"/>
      <c r="F34" s="22"/>
      <c r="G34" s="22"/>
      <c r="H34" s="22"/>
      <c r="I34" s="22"/>
      <c r="J34" s="46"/>
      <c r="K34" s="13"/>
    </row>
    <row r="35">
      <c r="A35" s="3"/>
      <c r="B35" s="16" t="s">
        <v>660</v>
      </c>
      <c r="C35" s="22" t="s">
        <v>655</v>
      </c>
      <c r="D35" s="22"/>
      <c r="E35" s="22"/>
      <c r="F35" s="22"/>
      <c r="G35" s="22"/>
      <c r="H35" s="22"/>
      <c r="I35" s="22"/>
      <c r="J35" s="46"/>
      <c r="K35" s="13"/>
    </row>
    <row r="36">
      <c r="A36" s="3"/>
      <c r="B36" s="16" t="s">
        <v>661</v>
      </c>
      <c r="C36" s="22" t="s">
        <v>655</v>
      </c>
      <c r="D36" s="22"/>
      <c r="E36" s="22"/>
      <c r="F36" s="22"/>
      <c r="G36" s="22"/>
      <c r="H36" s="22"/>
      <c r="I36" s="22"/>
      <c r="J36" s="46"/>
      <c r="K36" s="13"/>
    </row>
    <row r="37">
      <c r="A37" s="3"/>
      <c r="B37" s="16" t="s">
        <v>662</v>
      </c>
      <c r="C37" s="22" t="s">
        <v>663</v>
      </c>
      <c r="D37" s="22"/>
      <c r="E37" s="22"/>
      <c r="F37" s="22"/>
      <c r="G37" s="22"/>
      <c r="H37" s="22"/>
      <c r="I37" s="22"/>
      <c r="J37" s="46"/>
      <c r="K37" s="13"/>
    </row>
    <row r="38">
      <c r="A38" s="3"/>
      <c r="B38" s="16" t="s">
        <v>664</v>
      </c>
      <c r="C38" s="22" t="s">
        <v>655</v>
      </c>
      <c r="D38" s="22"/>
      <c r="E38" s="22"/>
      <c r="F38" s="22"/>
      <c r="G38" s="22"/>
      <c r="H38" s="22"/>
      <c r="I38" s="22"/>
      <c r="J38" s="46"/>
      <c r="K38" s="13"/>
    </row>
    <row r="39">
      <c r="A39" s="3"/>
      <c r="B39" s="16" t="s">
        <v>665</v>
      </c>
      <c r="C39" s="22" t="s">
        <v>666</v>
      </c>
      <c r="D39" s="22"/>
      <c r="E39" s="22"/>
      <c r="F39" s="22"/>
      <c r="G39" s="22"/>
      <c r="H39" s="22"/>
      <c r="I39" s="22"/>
      <c r="J39" s="46"/>
      <c r="K39" s="13"/>
    </row>
    <row r="40">
      <c r="A40" s="3"/>
      <c r="B40" s="16" t="s">
        <v>667</v>
      </c>
      <c r="C40" s="22" t="s">
        <v>668</v>
      </c>
      <c r="D40" s="22"/>
      <c r="E40" s="22"/>
      <c r="F40" s="22"/>
      <c r="G40" s="22"/>
      <c r="H40" s="22"/>
      <c r="I40" s="22"/>
      <c r="J40" s="46"/>
      <c r="K40" s="13"/>
    </row>
    <row r="41">
      <c r="A41" s="3"/>
      <c r="B41" s="3"/>
      <c r="C41" s="3"/>
      <c r="D41" s="3"/>
      <c r="E41" s="3"/>
      <c r="F41" s="3"/>
      <c r="G41" s="3"/>
      <c r="H41" s="3"/>
      <c r="I41" s="3"/>
      <c r="J41" s="50"/>
      <c r="K41" s="13"/>
    </row>
    <row r="42">
      <c r="A42" s="3"/>
      <c r="B42" s="70" t="s">
        <v>669</v>
      </c>
      <c r="C42" s="203" t="s">
        <v>640</v>
      </c>
      <c r="D42" s="3"/>
      <c r="E42" s="3"/>
      <c r="F42" s="3"/>
      <c r="G42" s="3"/>
      <c r="H42" s="3"/>
      <c r="I42" s="3"/>
      <c r="J42" s="50"/>
      <c r="K42" s="13"/>
    </row>
    <row r="43">
      <c r="A43" s="3"/>
      <c r="B43" s="16" t="s">
        <v>643</v>
      </c>
      <c r="C43" s="22" t="s">
        <v>644</v>
      </c>
      <c r="D43" s="22"/>
      <c r="E43" s="22"/>
      <c r="F43" s="22"/>
      <c r="G43" s="22"/>
      <c r="H43" s="22"/>
      <c r="I43" s="22"/>
      <c r="J43" s="46"/>
      <c r="K43" s="13"/>
    </row>
    <row r="44">
      <c r="A44" s="3"/>
      <c r="B44" s="16" t="s">
        <v>670</v>
      </c>
      <c r="C44" s="22" t="s">
        <v>5</v>
      </c>
      <c r="D44" s="22"/>
      <c r="E44" s="22"/>
      <c r="F44" s="22"/>
      <c r="G44" s="22"/>
      <c r="H44" s="22"/>
      <c r="I44" s="22"/>
      <c r="J44" s="46"/>
      <c r="K44" s="13"/>
    </row>
    <row r="45">
      <c r="A45" s="3"/>
      <c r="B45" s="16" t="s">
        <v>671</v>
      </c>
      <c r="C45" s="22" t="s">
        <v>672</v>
      </c>
      <c r="D45" s="22"/>
      <c r="E45" s="22"/>
      <c r="F45" s="22"/>
      <c r="G45" s="22"/>
      <c r="H45" s="22"/>
      <c r="I45" s="22"/>
      <c r="J45" s="46"/>
      <c r="K45" s="13"/>
    </row>
    <row r="46">
      <c r="A46" s="3"/>
      <c r="B46" s="16" t="s">
        <v>673</v>
      </c>
      <c r="C46" s="155">
        <v>6569181</v>
      </c>
      <c r="D46" s="22"/>
      <c r="E46" s="22"/>
      <c r="F46" s="22"/>
      <c r="G46" s="22"/>
      <c r="H46" s="22"/>
      <c r="I46" s="22"/>
      <c r="J46" s="46"/>
      <c r="K46" s="13"/>
    </row>
    <row r="47">
      <c r="A47" s="3"/>
      <c r="B47" s="16" t="s">
        <v>674</v>
      </c>
      <c r="C47" s="22" t="s">
        <v>655</v>
      </c>
      <c r="D47" s="22"/>
      <c r="E47" s="22"/>
      <c r="F47" s="22"/>
      <c r="G47" s="22"/>
      <c r="H47" s="22"/>
      <c r="I47" s="22"/>
      <c r="J47" s="46"/>
      <c r="K47" s="13"/>
    </row>
    <row r="48">
      <c r="A48" s="3"/>
      <c r="B48" s="16" t="s">
        <v>675</v>
      </c>
      <c r="C48" s="22" t="s">
        <v>676</v>
      </c>
      <c r="D48" s="22"/>
      <c r="E48" s="22"/>
      <c r="F48" s="22"/>
      <c r="G48" s="22"/>
      <c r="H48" s="22"/>
      <c r="I48" s="22"/>
      <c r="J48" s="46"/>
      <c r="K48" s="13"/>
    </row>
    <row r="49">
      <c r="A49" s="3"/>
      <c r="B49" s="16" t="s">
        <v>677</v>
      </c>
      <c r="C49" s="22" t="s">
        <v>647</v>
      </c>
      <c r="D49" s="22"/>
      <c r="E49" s="22"/>
      <c r="F49" s="22"/>
      <c r="G49" s="22"/>
      <c r="H49" s="22"/>
      <c r="I49" s="22"/>
      <c r="J49" s="46"/>
      <c r="K49" s="13"/>
    </row>
    <row r="50">
      <c r="A50" s="3"/>
      <c r="B50" s="16" t="s">
        <v>678</v>
      </c>
      <c r="C50" s="12">
        <v>46295</v>
      </c>
      <c r="D50" s="137"/>
      <c r="E50" s="137"/>
      <c r="F50" s="137"/>
      <c r="G50" s="137"/>
      <c r="H50" s="137"/>
      <c r="I50" s="137"/>
      <c r="J50" s="134"/>
      <c r="K50" s="13"/>
    </row>
    <row r="51">
      <c r="A51" s="3"/>
      <c r="B51" s="16" t="s">
        <v>679</v>
      </c>
      <c r="C51" s="12">
        <v>46316</v>
      </c>
      <c r="D51" s="137"/>
      <c r="E51" s="137"/>
      <c r="F51" s="137"/>
      <c r="G51" s="137"/>
      <c r="H51" s="137"/>
      <c r="I51" s="137"/>
      <c r="J51" s="134"/>
      <c r="K51" s="13"/>
    </row>
    <row r="52">
      <c r="A52" s="3"/>
      <c r="B52" s="16" t="s">
        <v>651</v>
      </c>
      <c r="C52" s="22" t="s">
        <v>680</v>
      </c>
      <c r="D52" s="22"/>
      <c r="E52" s="22"/>
      <c r="F52" s="22"/>
      <c r="G52" s="22"/>
      <c r="H52" s="22"/>
      <c r="I52" s="22"/>
      <c r="J52" s="46"/>
      <c r="K52" s="13"/>
    </row>
    <row r="53">
      <c r="A53" s="3"/>
      <c r="B53" s="16" t="s">
        <v>681</v>
      </c>
      <c r="C53" s="143">
        <v>8</v>
      </c>
      <c r="D53" s="136"/>
      <c r="E53" s="136"/>
      <c r="F53" s="136"/>
      <c r="G53" s="136"/>
      <c r="H53" s="136"/>
      <c r="I53" s="136"/>
      <c r="J53" s="145"/>
      <c r="K53" s="13"/>
    </row>
    <row r="54">
      <c r="A54" s="3"/>
      <c r="B54" s="16" t="s">
        <v>682</v>
      </c>
      <c r="C54" s="143">
        <v>12</v>
      </c>
      <c r="D54" s="136"/>
      <c r="E54" s="136"/>
      <c r="F54" s="136"/>
      <c r="G54" s="136"/>
      <c r="H54" s="136"/>
      <c r="I54" s="136"/>
      <c r="J54" s="145"/>
      <c r="K54" s="13"/>
    </row>
    <row r="55">
      <c r="A55" s="3"/>
      <c r="B55" s="16" t="s">
        <v>683</v>
      </c>
      <c r="C55" s="135"/>
      <c r="D55" s="135"/>
      <c r="E55" s="135"/>
      <c r="F55" s="135"/>
      <c r="G55" s="135"/>
      <c r="H55" s="135"/>
      <c r="I55" s="135"/>
      <c r="J55" s="138"/>
      <c r="K55" s="13" t="s">
        <v>684</v>
      </c>
    </row>
    <row r="56">
      <c r="A56" s="3"/>
      <c r="B56" s="16" t="s">
        <v>685</v>
      </c>
      <c r="C56" s="45">
        <v>2.32</v>
      </c>
      <c r="D56" s="26"/>
      <c r="E56" s="26"/>
      <c r="F56" s="26"/>
      <c r="G56" s="26"/>
      <c r="H56" s="26"/>
      <c r="I56" s="26"/>
      <c r="J56" s="63"/>
      <c r="K56" s="13"/>
    </row>
    <row r="57">
      <c r="A57" s="3"/>
      <c r="B57" s="16" t="s">
        <v>686</v>
      </c>
      <c r="C57" s="45">
        <v>2.32</v>
      </c>
      <c r="D57" s="26"/>
      <c r="E57" s="26"/>
      <c r="F57" s="26"/>
      <c r="G57" s="26"/>
      <c r="H57" s="26"/>
      <c r="I57" s="26"/>
      <c r="J57" s="63"/>
      <c r="K57" s="13"/>
    </row>
    <row r="58">
      <c r="A58" s="3"/>
      <c r="B58" s="16" t="s">
        <v>687</v>
      </c>
      <c r="C58" s="45">
        <v>2.39</v>
      </c>
      <c r="D58" s="26"/>
      <c r="E58" s="26"/>
      <c r="F58" s="26"/>
      <c r="G58" s="26"/>
      <c r="H58" s="26"/>
      <c r="I58" s="26"/>
      <c r="J58" s="63"/>
      <c r="K58" s="13"/>
    </row>
    <row r="59">
      <c r="A59" s="3"/>
      <c r="B59" s="16" t="s">
        <v>688</v>
      </c>
      <c r="C59" s="45">
        <v>2.27</v>
      </c>
      <c r="D59" s="26"/>
      <c r="E59" s="26"/>
      <c r="F59" s="26"/>
      <c r="G59" s="26"/>
      <c r="H59" s="26"/>
      <c r="I59" s="26"/>
      <c r="J59" s="63"/>
      <c r="K59" s="13"/>
    </row>
    <row r="60">
      <c r="A60" s="3"/>
      <c r="B60" s="16" t="s">
        <v>689</v>
      </c>
      <c r="C60" s="45">
        <v>0.03</v>
      </c>
      <c r="D60" s="26"/>
      <c r="E60" s="26"/>
      <c r="F60" s="26"/>
      <c r="G60" s="26"/>
      <c r="H60" s="26"/>
      <c r="I60" s="26"/>
      <c r="J60" s="63"/>
      <c r="K60" s="13"/>
    </row>
    <row r="61">
      <c r="A61" s="3"/>
      <c r="B61" s="16" t="s">
        <v>690</v>
      </c>
      <c r="C61" s="143">
        <v>8</v>
      </c>
      <c r="D61" s="136"/>
      <c r="E61" s="136"/>
      <c r="F61" s="136"/>
      <c r="G61" s="136"/>
      <c r="H61" s="136"/>
      <c r="I61" s="136"/>
      <c r="J61" s="145"/>
      <c r="K61" s="13"/>
    </row>
    <row r="62">
      <c r="A62" s="3"/>
      <c r="B62" s="16" t="s">
        <v>691</v>
      </c>
      <c r="C62" s="135"/>
      <c r="D62" s="135"/>
      <c r="E62" s="135"/>
      <c r="F62" s="135"/>
      <c r="G62" s="135"/>
      <c r="H62" s="135"/>
      <c r="I62" s="135"/>
      <c r="J62" s="138"/>
      <c r="K62" s="13" t="s">
        <v>684</v>
      </c>
    </row>
    <row r="63">
      <c r="A63" s="3"/>
      <c r="B63" s="16" t="s">
        <v>692</v>
      </c>
      <c r="C63" s="45">
        <v>2.29</v>
      </c>
      <c r="D63" s="26"/>
      <c r="E63" s="26"/>
      <c r="F63" s="26"/>
      <c r="G63" s="26"/>
      <c r="H63" s="26"/>
      <c r="I63" s="26"/>
      <c r="J63" s="63"/>
      <c r="K63" s="13"/>
    </row>
    <row r="64">
      <c r="A64" s="3"/>
      <c r="B64" s="16" t="s">
        <v>693</v>
      </c>
      <c r="C64" s="45">
        <v>2.34</v>
      </c>
      <c r="D64" s="26"/>
      <c r="E64" s="26"/>
      <c r="F64" s="26"/>
      <c r="G64" s="26"/>
      <c r="H64" s="26"/>
      <c r="I64" s="26"/>
      <c r="J64" s="63"/>
      <c r="K64" s="13"/>
    </row>
    <row r="65">
      <c r="A65" s="3"/>
      <c r="B65" s="16" t="s">
        <v>694</v>
      </c>
      <c r="C65" s="45">
        <v>2.27</v>
      </c>
      <c r="D65" s="26"/>
      <c r="E65" s="26"/>
      <c r="F65" s="26"/>
      <c r="G65" s="26"/>
      <c r="H65" s="26"/>
      <c r="I65" s="26"/>
      <c r="J65" s="63"/>
      <c r="K65" s="13"/>
    </row>
    <row r="66">
      <c r="A66" s="3"/>
      <c r="B66" s="16" t="s">
        <v>695</v>
      </c>
      <c r="C66" s="45">
        <v>2.21</v>
      </c>
      <c r="D66" s="26"/>
      <c r="E66" s="26"/>
      <c r="F66" s="26"/>
      <c r="G66" s="26"/>
      <c r="H66" s="26"/>
      <c r="I66" s="26"/>
      <c r="J66" s="63"/>
      <c r="K66" s="13"/>
    </row>
    <row r="67">
      <c r="A67" s="3"/>
      <c r="B67" s="16" t="s">
        <v>696</v>
      </c>
      <c r="C67" s="45">
        <v>2.46</v>
      </c>
      <c r="D67" s="26"/>
      <c r="E67" s="26"/>
      <c r="F67" s="26"/>
      <c r="G67" s="26"/>
      <c r="H67" s="26"/>
      <c r="I67" s="26"/>
      <c r="J67" s="63"/>
      <c r="K67" s="13"/>
    </row>
    <row r="68">
      <c r="A68" s="3"/>
      <c r="B68" s="16" t="s">
        <v>697</v>
      </c>
      <c r="C68" s="45">
        <v>2.12</v>
      </c>
      <c r="D68" s="26"/>
      <c r="E68" s="26"/>
      <c r="F68" s="26"/>
      <c r="G68" s="26"/>
      <c r="H68" s="26"/>
      <c r="I68" s="26"/>
      <c r="J68" s="63"/>
      <c r="K68" s="13"/>
    </row>
    <row r="69">
      <c r="A69" s="3"/>
      <c r="B69" s="16" t="s">
        <v>698</v>
      </c>
      <c r="C69" s="45">
        <v>0.14</v>
      </c>
      <c r="D69" s="26"/>
      <c r="E69" s="26"/>
      <c r="F69" s="26"/>
      <c r="G69" s="26"/>
      <c r="H69" s="26"/>
      <c r="I69" s="26"/>
      <c r="J69" s="63"/>
      <c r="K69" s="13"/>
    </row>
    <row r="70">
      <c r="A70" s="3"/>
      <c r="B70" s="16" t="s">
        <v>699</v>
      </c>
      <c r="C70" s="143">
        <v>3</v>
      </c>
      <c r="D70" s="136"/>
      <c r="E70" s="136"/>
      <c r="F70" s="136"/>
      <c r="G70" s="136"/>
      <c r="H70" s="136"/>
      <c r="I70" s="136"/>
      <c r="J70" s="145"/>
      <c r="K70" s="13"/>
    </row>
    <row r="71">
      <c r="A71" s="3"/>
      <c r="B71" s="16" t="s">
        <v>700</v>
      </c>
      <c r="C71" s="135"/>
      <c r="D71" s="135"/>
      <c r="E71" s="135"/>
      <c r="F71" s="135"/>
      <c r="G71" s="135"/>
      <c r="H71" s="135"/>
      <c r="I71" s="135"/>
      <c r="J71" s="138"/>
      <c r="K71" s="13" t="s">
        <v>684</v>
      </c>
    </row>
    <row r="72">
      <c r="A72" s="3"/>
      <c r="B72" s="16" t="s">
        <v>701</v>
      </c>
      <c r="C72" s="135"/>
      <c r="D72" s="135"/>
      <c r="E72" s="135"/>
      <c r="F72" s="135"/>
      <c r="G72" s="135"/>
      <c r="H72" s="135"/>
      <c r="I72" s="135"/>
      <c r="J72" s="138"/>
      <c r="K72" s="13" t="s">
        <v>684</v>
      </c>
    </row>
    <row r="73">
      <c r="A73" s="3"/>
      <c r="B73" s="16" t="s">
        <v>702</v>
      </c>
      <c r="C73" s="135"/>
      <c r="D73" s="135"/>
      <c r="E73" s="135"/>
      <c r="F73" s="135"/>
      <c r="G73" s="135"/>
      <c r="H73" s="135"/>
      <c r="I73" s="135"/>
      <c r="J73" s="138"/>
      <c r="K73" s="13" t="s">
        <v>684</v>
      </c>
    </row>
    <row r="74">
      <c r="A74" s="3"/>
      <c r="B74" s="16" t="s">
        <v>703</v>
      </c>
      <c r="C74" s="6">
        <v>11368.95</v>
      </c>
      <c r="D74" s="5"/>
      <c r="E74" s="5"/>
      <c r="F74" s="5"/>
      <c r="G74" s="5"/>
      <c r="H74" s="5"/>
      <c r="I74" s="5"/>
      <c r="J74" s="31"/>
      <c r="K74" s="13"/>
    </row>
    <row r="75">
      <c r="A75" s="3"/>
      <c r="B75" s="16" t="s">
        <v>704</v>
      </c>
      <c r="C75" s="6">
        <v>11332.18</v>
      </c>
      <c r="D75" s="5"/>
      <c r="E75" s="5"/>
      <c r="F75" s="5"/>
      <c r="G75" s="5"/>
      <c r="H75" s="5"/>
      <c r="I75" s="5"/>
      <c r="J75" s="31"/>
      <c r="K75" s="13"/>
    </row>
    <row r="76">
      <c r="A76" s="3"/>
      <c r="B76" s="16" t="s">
        <v>705</v>
      </c>
      <c r="C76" s="6">
        <v>11796</v>
      </c>
      <c r="D76" s="5"/>
      <c r="E76" s="5"/>
      <c r="F76" s="5"/>
      <c r="G76" s="5"/>
      <c r="H76" s="5"/>
      <c r="I76" s="5"/>
      <c r="J76" s="31"/>
      <c r="K76" s="13"/>
    </row>
    <row r="77">
      <c r="A77" s="3"/>
      <c r="B77" s="16" t="s">
        <v>706</v>
      </c>
      <c r="C77" s="6">
        <v>11207</v>
      </c>
      <c r="D77" s="5"/>
      <c r="E77" s="5"/>
      <c r="F77" s="5"/>
      <c r="G77" s="5"/>
      <c r="H77" s="5"/>
      <c r="I77" s="5"/>
      <c r="J77" s="31"/>
      <c r="K77" s="13"/>
    </row>
    <row r="78">
      <c r="A78" s="3"/>
      <c r="B78" s="16" t="s">
        <v>707</v>
      </c>
      <c r="C78" s="6">
        <v>180.94</v>
      </c>
      <c r="D78" s="5"/>
      <c r="E78" s="5"/>
      <c r="F78" s="5"/>
      <c r="G78" s="5"/>
      <c r="H78" s="5"/>
      <c r="I78" s="5"/>
      <c r="J78" s="31"/>
      <c r="K78" s="13"/>
    </row>
    <row r="79">
      <c r="A79" s="3"/>
      <c r="B79" s="16" t="s">
        <v>708</v>
      </c>
      <c r="C79" s="143">
        <v>9</v>
      </c>
      <c r="D79" s="136"/>
      <c r="E79" s="136"/>
      <c r="F79" s="136"/>
      <c r="G79" s="136"/>
      <c r="H79" s="136"/>
      <c r="I79" s="136"/>
      <c r="J79" s="145"/>
      <c r="K79" s="13"/>
    </row>
    <row r="80">
      <c r="A80" s="3"/>
      <c r="B80" s="16" t="s">
        <v>709</v>
      </c>
      <c r="C80" s="135"/>
      <c r="D80" s="135"/>
      <c r="E80" s="135"/>
      <c r="F80" s="135"/>
      <c r="G80" s="135"/>
      <c r="H80" s="135"/>
      <c r="I80" s="135"/>
      <c r="J80" s="138"/>
      <c r="K80" s="13" t="s">
        <v>684</v>
      </c>
    </row>
    <row r="81">
      <c r="A81" s="3"/>
      <c r="B81" s="16" t="s">
        <v>710</v>
      </c>
      <c r="C81" s="135"/>
      <c r="D81" s="135"/>
      <c r="E81" s="135"/>
      <c r="F81" s="135"/>
      <c r="G81" s="135"/>
      <c r="H81" s="135"/>
      <c r="I81" s="135"/>
      <c r="J81" s="138"/>
      <c r="K81" s="13" t="s">
        <v>684</v>
      </c>
    </row>
    <row r="82">
      <c r="A82" s="3"/>
      <c r="B82" s="16" t="s">
        <v>711</v>
      </c>
      <c r="C82" s="135"/>
      <c r="D82" s="135"/>
      <c r="E82" s="135"/>
      <c r="F82" s="135"/>
      <c r="G82" s="135"/>
      <c r="H82" s="135"/>
      <c r="I82" s="135"/>
      <c r="J82" s="138"/>
      <c r="K82" s="13" t="s">
        <v>684</v>
      </c>
    </row>
    <row r="83">
      <c r="A83" s="3"/>
      <c r="B83" s="16" t="s">
        <v>712</v>
      </c>
      <c r="C83" s="6">
        <v>5209.1</v>
      </c>
      <c r="D83" s="5"/>
      <c r="E83" s="5"/>
      <c r="F83" s="5"/>
      <c r="G83" s="5"/>
      <c r="H83" s="5"/>
      <c r="I83" s="5"/>
      <c r="J83" s="31"/>
      <c r="K83" s="13"/>
    </row>
    <row r="84">
      <c r="A84" s="3"/>
      <c r="B84" s="16" t="s">
        <v>713</v>
      </c>
      <c r="C84" s="6">
        <v>4925.02</v>
      </c>
      <c r="D84" s="5"/>
      <c r="E84" s="5"/>
      <c r="F84" s="5"/>
      <c r="G84" s="5"/>
      <c r="H84" s="5"/>
      <c r="I84" s="5"/>
      <c r="J84" s="31"/>
      <c r="K84" s="13"/>
    </row>
    <row r="85">
      <c r="A85" s="3"/>
      <c r="B85" s="16" t="s">
        <v>714</v>
      </c>
      <c r="C85" s="6">
        <v>4654</v>
      </c>
      <c r="D85" s="5"/>
      <c r="E85" s="5"/>
      <c r="F85" s="5"/>
      <c r="G85" s="5"/>
      <c r="H85" s="5"/>
      <c r="I85" s="5"/>
      <c r="J85" s="31"/>
      <c r="K85" s="13"/>
    </row>
    <row r="86">
      <c r="A86" s="3"/>
      <c r="B86" s="16" t="s">
        <v>715</v>
      </c>
      <c r="C86" s="6">
        <v>4528.71</v>
      </c>
      <c r="D86" s="5"/>
      <c r="E86" s="5"/>
      <c r="F86" s="5"/>
      <c r="G86" s="5"/>
      <c r="H86" s="5"/>
      <c r="I86" s="5"/>
      <c r="J86" s="31"/>
      <c r="K86" s="13"/>
    </row>
    <row r="87">
      <c r="A87" s="3"/>
      <c r="B87" s="16" t="s">
        <v>716</v>
      </c>
      <c r="C87" s="6">
        <v>3652.77</v>
      </c>
      <c r="D87" s="5"/>
      <c r="E87" s="5"/>
      <c r="F87" s="5"/>
      <c r="G87" s="5"/>
      <c r="H87" s="5"/>
      <c r="I87" s="5"/>
      <c r="J87" s="31"/>
      <c r="K87" s="13"/>
    </row>
    <row r="88">
      <c r="A88" s="3"/>
      <c r="B88" s="16" t="s">
        <v>717</v>
      </c>
      <c r="C88" s="6">
        <v>3539.32</v>
      </c>
      <c r="D88" s="5"/>
      <c r="E88" s="5"/>
      <c r="F88" s="5"/>
      <c r="G88" s="5"/>
      <c r="H88" s="5"/>
      <c r="I88" s="5"/>
      <c r="J88" s="31"/>
      <c r="K88" s="13"/>
    </row>
    <row r="89">
      <c r="A89" s="3"/>
      <c r="B89" s="16" t="s">
        <v>718</v>
      </c>
      <c r="C89" s="135"/>
      <c r="D89" s="135"/>
      <c r="E89" s="135"/>
      <c r="F89" s="135"/>
      <c r="G89" s="135"/>
      <c r="H89" s="135"/>
      <c r="I89" s="135"/>
      <c r="J89" s="138"/>
      <c r="K89" s="13" t="s">
        <v>684</v>
      </c>
    </row>
    <row r="90">
      <c r="A90" s="3"/>
      <c r="B90" s="16" t="s">
        <v>719</v>
      </c>
      <c r="C90" s="135"/>
      <c r="D90" s="135"/>
      <c r="E90" s="135"/>
      <c r="F90" s="135"/>
      <c r="G90" s="135"/>
      <c r="H90" s="135"/>
      <c r="I90" s="135"/>
      <c r="J90" s="138"/>
      <c r="K90" s="13" t="s">
        <v>684</v>
      </c>
    </row>
    <row r="91">
      <c r="A91" s="3"/>
      <c r="B91" s="16" t="s">
        <v>720</v>
      </c>
      <c r="C91" s="135"/>
      <c r="D91" s="135"/>
      <c r="E91" s="135"/>
      <c r="F91" s="135"/>
      <c r="G91" s="135"/>
      <c r="H91" s="135"/>
      <c r="I91" s="135"/>
      <c r="J91" s="138"/>
      <c r="K91" s="13" t="s">
        <v>684</v>
      </c>
    </row>
    <row r="92">
      <c r="A92" s="3"/>
      <c r="B92" s="16" t="s">
        <v>721</v>
      </c>
      <c r="C92" s="135"/>
      <c r="D92" s="135"/>
      <c r="E92" s="135"/>
      <c r="F92" s="135"/>
      <c r="G92" s="135"/>
      <c r="H92" s="135"/>
      <c r="I92" s="135"/>
      <c r="J92" s="138"/>
      <c r="K92" s="13" t="s">
        <v>684</v>
      </c>
    </row>
    <row r="93">
      <c r="A93" s="3"/>
      <c r="B93" s="16" t="s">
        <v>722</v>
      </c>
      <c r="C93" s="135"/>
      <c r="D93" s="135"/>
      <c r="E93" s="135"/>
      <c r="F93" s="135"/>
      <c r="G93" s="135"/>
      <c r="H93" s="135"/>
      <c r="I93" s="135"/>
      <c r="J93" s="138"/>
      <c r="K93" s="13" t="s">
        <v>684</v>
      </c>
    </row>
    <row r="94">
      <c r="A94" s="3"/>
      <c r="B94" s="16" t="s">
        <v>723</v>
      </c>
      <c r="C94" s="135"/>
      <c r="D94" s="135"/>
      <c r="E94" s="135"/>
      <c r="F94" s="135"/>
      <c r="G94" s="135"/>
      <c r="H94" s="135"/>
      <c r="I94" s="135"/>
      <c r="J94" s="138"/>
      <c r="K94" s="13" t="s">
        <v>684</v>
      </c>
    </row>
    <row r="95">
      <c r="A95" s="3"/>
      <c r="B95" s="16" t="s">
        <v>724</v>
      </c>
      <c r="C95" s="6">
        <v>-239.67</v>
      </c>
      <c r="D95" s="5"/>
      <c r="E95" s="5"/>
      <c r="F95" s="5"/>
      <c r="G95" s="5"/>
      <c r="H95" s="5"/>
      <c r="I95" s="5"/>
      <c r="J95" s="31"/>
      <c r="K95" s="13"/>
    </row>
    <row r="96">
      <c r="A96" s="3"/>
      <c r="B96" s="16" t="s">
        <v>725</v>
      </c>
      <c r="C96" s="135"/>
      <c r="D96" s="135"/>
      <c r="E96" s="135"/>
      <c r="F96" s="135"/>
      <c r="G96" s="135"/>
      <c r="H96" s="135"/>
      <c r="I96" s="135"/>
      <c r="J96" s="138"/>
      <c r="K96" s="13" t="s">
        <v>684</v>
      </c>
    </row>
    <row r="97">
      <c r="A97" s="3"/>
      <c r="B97" s="16" t="s">
        <v>726</v>
      </c>
      <c r="C97" s="135"/>
      <c r="D97" s="135"/>
      <c r="E97" s="135"/>
      <c r="F97" s="135"/>
      <c r="G97" s="135"/>
      <c r="H97" s="135"/>
      <c r="I97" s="135"/>
      <c r="J97" s="138"/>
      <c r="K97" s="13" t="s">
        <v>684</v>
      </c>
    </row>
    <row r="98">
      <c r="A98" s="3"/>
      <c r="B98" s="16" t="s">
        <v>727</v>
      </c>
      <c r="C98" s="135"/>
      <c r="D98" s="135"/>
      <c r="E98" s="135"/>
      <c r="F98" s="135"/>
      <c r="G98" s="135"/>
      <c r="H98" s="135"/>
      <c r="I98" s="135"/>
      <c r="J98" s="138"/>
      <c r="K98" s="13" t="s">
        <v>684</v>
      </c>
    </row>
    <row r="99">
      <c r="A99" s="3"/>
      <c r="B99" s="16" t="s">
        <v>728</v>
      </c>
      <c r="C99" s="132">
        <v>208.8</v>
      </c>
      <c r="D99" s="100"/>
      <c r="E99" s="100"/>
      <c r="F99" s="100"/>
      <c r="G99" s="100"/>
      <c r="H99" s="100"/>
      <c r="I99" s="100"/>
      <c r="J99" s="117"/>
      <c r="K99" s="13"/>
    </row>
    <row r="100">
      <c r="A100" s="3"/>
      <c r="B100" s="16" t="s">
        <v>729</v>
      </c>
      <c r="C100" s="132">
        <v>211</v>
      </c>
      <c r="D100" s="100"/>
      <c r="E100" s="100"/>
      <c r="F100" s="100"/>
      <c r="G100" s="100"/>
      <c r="H100" s="100"/>
      <c r="I100" s="100"/>
      <c r="J100" s="117"/>
      <c r="K100" s="13"/>
    </row>
    <row r="101">
      <c r="A101" s="3"/>
      <c r="B101" s="16" t="s">
        <v>730</v>
      </c>
      <c r="C101" s="132">
        <v>230</v>
      </c>
      <c r="D101" s="100"/>
      <c r="E101" s="100"/>
      <c r="F101" s="100"/>
      <c r="G101" s="100"/>
      <c r="H101" s="100"/>
      <c r="I101" s="100"/>
      <c r="J101" s="117"/>
      <c r="K101" s="13"/>
    </row>
    <row r="102">
      <c r="A102" s="3"/>
      <c r="B102" s="16" t="s">
        <v>731</v>
      </c>
      <c r="C102" s="132">
        <v>175</v>
      </c>
      <c r="D102" s="100"/>
      <c r="E102" s="100"/>
      <c r="F102" s="100"/>
      <c r="G102" s="100"/>
      <c r="H102" s="100"/>
      <c r="I102" s="100"/>
      <c r="J102" s="117"/>
      <c r="K102" s="13"/>
    </row>
    <row r="103">
      <c r="A103" s="3"/>
      <c r="B103" s="16" t="s">
        <v>732</v>
      </c>
      <c r="C103" s="132">
        <v>15.72</v>
      </c>
      <c r="D103" s="100"/>
      <c r="E103" s="100"/>
      <c r="F103" s="100"/>
      <c r="G103" s="100"/>
      <c r="H103" s="100"/>
      <c r="I103" s="100"/>
      <c r="J103" s="117"/>
      <c r="K103" s="13"/>
    </row>
    <row r="104">
      <c r="A104" s="3"/>
      <c r="B104" s="16" t="s">
        <v>733</v>
      </c>
      <c r="C104" s="143">
        <v>15</v>
      </c>
      <c r="D104" s="136"/>
      <c r="E104" s="136"/>
      <c r="F104" s="136"/>
      <c r="G104" s="136"/>
      <c r="H104" s="136"/>
      <c r="I104" s="136"/>
      <c r="J104" s="145"/>
      <c r="K104" s="13"/>
    </row>
    <row r="105">
      <c r="A105" s="3"/>
      <c r="B105" s="16" t="s">
        <v>734</v>
      </c>
      <c r="C105" s="22" t="s">
        <v>735</v>
      </c>
      <c r="D105" s="22"/>
      <c r="E105" s="22"/>
      <c r="F105" s="22"/>
      <c r="G105" s="22"/>
      <c r="H105" s="22"/>
      <c r="I105" s="22"/>
      <c r="J105" s="46"/>
      <c r="K105" s="13"/>
    </row>
    <row r="106">
      <c r="A106" s="3"/>
      <c r="B106" s="16" t="s">
        <v>736</v>
      </c>
      <c r="C106" s="132">
        <v>1.69</v>
      </c>
      <c r="D106" s="100"/>
      <c r="E106" s="100"/>
      <c r="F106" s="100"/>
      <c r="G106" s="100"/>
      <c r="H106" s="100"/>
      <c r="I106" s="100"/>
      <c r="J106" s="117"/>
      <c r="K106" s="13"/>
    </row>
    <row r="107">
      <c r="A107" s="3"/>
      <c r="B107" s="16" t="s">
        <v>737</v>
      </c>
      <c r="C107" s="132">
        <v>205.2</v>
      </c>
      <c r="D107" s="100"/>
      <c r="E107" s="100"/>
      <c r="F107" s="100"/>
      <c r="G107" s="100"/>
      <c r="H107" s="100"/>
      <c r="I107" s="100"/>
      <c r="J107" s="117"/>
      <c r="K107" s="13"/>
    </row>
    <row r="108">
      <c r="A108" s="3"/>
      <c r="B108" s="16" t="s">
        <v>738</v>
      </c>
      <c r="C108" s="22" t="s">
        <v>739</v>
      </c>
      <c r="D108" s="22"/>
      <c r="E108" s="22"/>
      <c r="F108" s="22"/>
      <c r="G108" s="22"/>
      <c r="H108" s="22"/>
      <c r="I108" s="22"/>
      <c r="J108" s="46"/>
      <c r="K108" s="13"/>
    </row>
    <row r="109">
      <c r="A109" s="3"/>
      <c r="B109" s="16" t="s">
        <v>740</v>
      </c>
      <c r="C109" s="12">
        <v>46313</v>
      </c>
      <c r="D109" s="137"/>
      <c r="E109" s="137"/>
      <c r="F109" s="137"/>
      <c r="G109" s="137"/>
      <c r="H109" s="137"/>
      <c r="I109" s="137"/>
      <c r="J109" s="134"/>
      <c r="K109" s="13"/>
    </row>
    <row r="110">
      <c r="A110" s="3"/>
      <c r="B110" s="16" t="s">
        <v>741</v>
      </c>
      <c r="C110" s="22" t="s">
        <v>742</v>
      </c>
      <c r="D110" s="22"/>
      <c r="E110" s="22"/>
      <c r="F110" s="22"/>
      <c r="G110" s="22"/>
      <c r="H110" s="22"/>
      <c r="I110" s="22"/>
      <c r="J110" s="46"/>
      <c r="K110" s="1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50"/>
      <c r="K111" s="13"/>
    </row>
    <row r="112">
      <c r="A112" s="3"/>
      <c r="B112" s="70" t="s">
        <v>743</v>
      </c>
      <c r="C112" s="203" t="s">
        <v>640</v>
      </c>
      <c r="D112" s="3"/>
      <c r="E112" s="3"/>
      <c r="F112" s="3"/>
      <c r="G112" s="3"/>
      <c r="H112" s="3"/>
      <c r="I112" s="3"/>
      <c r="J112" s="50"/>
      <c r="K112" s="13"/>
    </row>
    <row r="113" ht="24.75">
      <c r="A113" s="3"/>
      <c r="B113" s="53" t="s">
        <v>744</v>
      </c>
      <c r="C113" s="93">
        <f>C107</f>
        <v>205.2</v>
      </c>
      <c r="D113" s="93"/>
      <c r="E113" s="93"/>
      <c r="F113" s="93"/>
      <c r="G113" s="93"/>
      <c r="H113" s="93"/>
      <c r="I113" s="93"/>
      <c r="J113" s="121"/>
      <c r="K113" s="42"/>
    </row>
    <row r="114" ht="24.75">
      <c r="A114" s="3"/>
      <c r="B114" s="53" t="s">
        <v>745</v>
      </c>
      <c r="C114" s="78">
        <f>'Share Count'!I15</f>
        <v>1558.613439</v>
      </c>
      <c r="D114" s="17"/>
      <c r="E114" s="17"/>
      <c r="F114" s="17"/>
      <c r="G114" s="17"/>
      <c r="H114" s="17"/>
      <c r="I114" s="17"/>
      <c r="J114" s="1"/>
      <c r="K114" s="42"/>
    </row>
    <row r="115" ht="24.75">
      <c r="A115" s="3"/>
      <c r="B115" s="53" t="s">
        <v>746</v>
      </c>
      <c r="C115" s="17">
        <f>C113*C114/1000</f>
        <v>319.82747768279995</v>
      </c>
      <c r="D115" s="17"/>
      <c r="E115" s="17"/>
      <c r="F115" s="17"/>
      <c r="G115" s="17"/>
      <c r="H115" s="17"/>
      <c r="I115" s="17"/>
      <c r="J115" s="1"/>
      <c r="K115" s="42" t="s">
        <v>747</v>
      </c>
    </row>
    <row r="116" ht="24.75">
      <c r="A116" s="3"/>
      <c r="B116" s="53" t="s">
        <v>748</v>
      </c>
      <c r="C116" s="19">
        <v>10</v>
      </c>
      <c r="D116" s="17"/>
      <c r="E116" s="17"/>
      <c r="F116" s="17"/>
      <c r="G116" s="17"/>
      <c r="H116" s="17"/>
      <c r="I116" s="17"/>
      <c r="J116" s="1"/>
      <c r="K116" s="42"/>
    </row>
    <row r="117" ht="24.75">
      <c r="A117" s="3"/>
      <c r="B117" s="53" t="s">
        <v>749</v>
      </c>
      <c r="C117" s="19">
        <v>2</v>
      </c>
      <c r="D117" s="17"/>
      <c r="E117" s="17"/>
      <c r="F117" s="17"/>
      <c r="G117" s="17"/>
      <c r="H117" s="17"/>
      <c r="I117" s="17"/>
      <c r="J117" s="1"/>
      <c r="K117" s="42"/>
    </row>
    <row r="118" ht="24.75">
      <c r="A118" s="3"/>
      <c r="B118" s="75" t="s">
        <v>750</v>
      </c>
      <c r="C118" s="66">
        <v>0.78</v>
      </c>
      <c r="D118" s="62"/>
      <c r="E118" s="62"/>
      <c r="F118" s="62"/>
      <c r="G118" s="62"/>
      <c r="H118" s="62"/>
      <c r="I118" s="62"/>
      <c r="J118" s="103"/>
      <c r="K118" s="42"/>
    </row>
    <row r="119">
      <c r="A119" s="3"/>
      <c r="B119" s="21" t="s">
        <v>751</v>
      </c>
      <c r="C119" s="60">
        <v>0.7</v>
      </c>
      <c r="D119" s="29"/>
      <c r="E119" s="29"/>
      <c r="F119" s="29"/>
      <c r="G119" s="29"/>
      <c r="H119" s="29"/>
      <c r="I119" s="29"/>
      <c r="J119" s="68"/>
      <c r="K119" s="13"/>
    </row>
    <row r="120">
      <c r="A120" s="3"/>
      <c r="B120" s="21" t="s">
        <v>752</v>
      </c>
      <c r="C120" s="60">
        <v>0.6</v>
      </c>
      <c r="D120" s="29"/>
      <c r="E120" s="29"/>
      <c r="F120" s="29"/>
      <c r="G120" s="29"/>
      <c r="H120" s="29"/>
      <c r="I120" s="29"/>
      <c r="J120" s="68"/>
      <c r="K120" s="13"/>
    </row>
    <row r="121">
      <c r="A121" s="3"/>
      <c r="B121" s="16" t="s">
        <v>753</v>
      </c>
      <c r="C121" s="22" t="str">
        <f>IF(C115&gt;C116,"Large",IF(C115&gt;=C117,"Mid","Small"))</f>
        <v>Large</v>
      </c>
      <c r="D121" s="22"/>
      <c r="E121" s="22"/>
      <c r="F121" s="22"/>
      <c r="G121" s="22"/>
      <c r="H121" s="22"/>
      <c r="I121" s="22"/>
      <c r="J121" s="46"/>
      <c r="K121" s="13"/>
    </row>
    <row r="122">
      <c r="A122" s="3"/>
      <c r="B122" s="16" t="s">
        <v>754</v>
      </c>
      <c r="C122" s="22" t="s">
        <v>755</v>
      </c>
      <c r="D122" s="22"/>
      <c r="E122" s="22"/>
      <c r="F122" s="22"/>
      <c r="G122" s="22"/>
      <c r="H122" s="22"/>
      <c r="I122" s="22"/>
      <c r="J122" s="46"/>
      <c r="K122" s="13" t="s">
        <v>756</v>
      </c>
    </row>
    <row r="123">
      <c r="A123" s="3"/>
      <c r="B123" s="21" t="s">
        <v>757</v>
      </c>
      <c r="C123" s="29">
        <f>IF(OR(C121="Large",C122="Yes"),C118,IF(C121="Mid",C119,C120))</f>
        <v>0.78</v>
      </c>
      <c r="D123" s="29"/>
      <c r="E123" s="29"/>
      <c r="F123" s="29"/>
      <c r="G123" s="29"/>
      <c r="H123" s="29"/>
      <c r="I123" s="29"/>
      <c r="J123" s="68"/>
      <c r="K123" s="13"/>
    </row>
    <row r="124">
      <c r="A124" s="3"/>
      <c r="B124" s="16" t="s">
        <v>758</v>
      </c>
      <c r="C124" s="136">
        <f>SUM(C18:I18)</f>
        <v>5</v>
      </c>
      <c r="D124" s="136"/>
      <c r="E124" s="136"/>
      <c r="F124" s="136"/>
      <c r="G124" s="136"/>
      <c r="H124" s="136"/>
      <c r="I124" s="136"/>
      <c r="J124" s="145"/>
      <c r="K124" s="13"/>
    </row>
    <row r="125">
      <c r="A125" s="3"/>
      <c r="B125" s="16" t="s">
        <v>759</v>
      </c>
      <c r="C125" s="136">
        <f>COUNT(C12:I12)</f>
        <v>6</v>
      </c>
      <c r="D125" s="136"/>
      <c r="E125" s="136"/>
      <c r="F125" s="136"/>
      <c r="G125" s="136"/>
      <c r="H125" s="136"/>
      <c r="I125" s="136"/>
      <c r="J125" s="145"/>
      <c r="K125" s="13"/>
    </row>
    <row r="126">
      <c r="A126" s="3"/>
      <c r="B126" s="16" t="s">
        <v>760</v>
      </c>
      <c r="C126" s="143">
        <v>8</v>
      </c>
      <c r="D126" s="136"/>
      <c r="E126" s="136"/>
      <c r="F126" s="136"/>
      <c r="G126" s="136"/>
      <c r="H126" s="136"/>
      <c r="I126" s="136"/>
      <c r="J126" s="145"/>
      <c r="K126" s="13"/>
    </row>
    <row r="127" ht="24.75">
      <c r="A127" s="3"/>
      <c r="B127" s="75" t="s">
        <v>761</v>
      </c>
      <c r="C127" s="62">
        <f>(C126*C123+C124)/(C126+C125)</f>
        <v>0.8028571428571428</v>
      </c>
      <c r="D127" s="62"/>
      <c r="E127" s="62"/>
      <c r="F127" s="62"/>
      <c r="G127" s="62"/>
      <c r="H127" s="62"/>
      <c r="I127" s="62"/>
      <c r="J127" s="103"/>
      <c r="K127" s="42"/>
    </row>
    <row r="128">
      <c r="A128" s="3"/>
      <c r="B128" s="16" t="s">
        <v>762</v>
      </c>
      <c r="C128" s="26">
        <f>AVERAGE(C17:I17)</f>
        <v>0.09166666666666667</v>
      </c>
      <c r="D128" s="26"/>
      <c r="E128" s="26"/>
      <c r="F128" s="26"/>
      <c r="G128" s="26"/>
      <c r="H128" s="26"/>
      <c r="I128" s="26"/>
      <c r="J128" s="63"/>
      <c r="K128" s="13"/>
    </row>
    <row r="129" ht="24.75">
      <c r="A129" s="3"/>
      <c r="B129" s="75" t="s">
        <v>763</v>
      </c>
      <c r="C129" s="62">
        <f>C130-C127</f>
        <v>-0.06285714285714283</v>
      </c>
      <c r="D129" s="62"/>
      <c r="E129" s="62"/>
      <c r="F129" s="62"/>
      <c r="G129" s="62"/>
      <c r="H129" s="62"/>
      <c r="I129" s="62"/>
      <c r="J129" s="103"/>
      <c r="K129" s="42"/>
    </row>
    <row r="130">
      <c r="A130" s="3"/>
      <c r="B130" s="80" t="s">
        <v>764</v>
      </c>
      <c r="C130" s="153">
        <v>0.74</v>
      </c>
      <c r="D130" s="48"/>
      <c r="E130" s="48"/>
      <c r="F130" s="48"/>
      <c r="G130" s="48"/>
      <c r="H130" s="48"/>
      <c r="I130" s="48"/>
      <c r="J130" s="157"/>
      <c r="K130" s="13" t="s">
        <v>765</v>
      </c>
    </row>
    <row r="131">
      <c r="A131" s="3"/>
      <c r="B131" s="2" t="s">
        <v>38</v>
      </c>
      <c r="C131" s="73" t="s">
        <v>766</v>
      </c>
      <c r="D131" s="73"/>
      <c r="E131" s="73"/>
      <c r="F131" s="73"/>
      <c r="G131" s="73"/>
      <c r="H131" s="73"/>
      <c r="I131" s="73"/>
      <c r="J131" s="105"/>
      <c r="K131" s="1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50"/>
      <c r="K132" s="1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50"/>
      <c r="K133" s="13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5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2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7" t="s">
        <v>767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8" t="s">
        <v>768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41"/>
      <c r="C4" s="7"/>
      <c r="D4" s="7"/>
      <c r="E4" s="7"/>
      <c r="F4" s="7"/>
      <c r="G4" s="7"/>
      <c r="H4" s="7"/>
      <c r="I4" s="7"/>
      <c r="J4" s="193"/>
      <c r="K4" s="41" t="s">
        <v>3</v>
      </c>
    </row>
    <row r="5">
      <c r="A5" s="3"/>
      <c r="B5" s="54"/>
      <c r="C5" s="34"/>
      <c r="D5" s="34"/>
      <c r="E5" s="34"/>
      <c r="F5" s="34"/>
      <c r="G5" s="34"/>
      <c r="H5" s="34"/>
      <c r="I5" s="34"/>
      <c r="J5" s="191"/>
      <c r="K5" s="54"/>
    </row>
    <row r="6">
      <c r="A6" s="3"/>
      <c r="B6" s="44"/>
      <c r="C6" s="33"/>
      <c r="D6" s="33"/>
      <c r="E6" s="33"/>
      <c r="F6" s="33"/>
      <c r="G6" s="33"/>
      <c r="H6" s="33"/>
      <c r="I6" s="33"/>
      <c r="J6" s="188"/>
      <c r="K6" s="44"/>
    </row>
    <row r="7">
      <c r="A7" s="3"/>
      <c r="B7" s="3"/>
      <c r="C7" s="3"/>
      <c r="D7" s="3"/>
      <c r="E7" s="3"/>
      <c r="F7" s="3"/>
      <c r="G7" s="3"/>
      <c r="H7" s="3"/>
      <c r="I7" s="3"/>
      <c r="J7" s="182"/>
      <c r="K7" s="3"/>
    </row>
    <row r="8">
      <c r="A8" s="3"/>
      <c r="B8" s="88" t="s">
        <v>769</v>
      </c>
      <c r="C8" s="88" t="s">
        <v>770</v>
      </c>
      <c r="D8" s="165" t="s">
        <v>771</v>
      </c>
      <c r="E8" s="88" t="s">
        <v>772</v>
      </c>
      <c r="F8" s="88" t="s">
        <v>773</v>
      </c>
      <c r="G8" s="88"/>
      <c r="H8" s="88"/>
      <c r="I8" s="88"/>
      <c r="J8" s="88"/>
      <c r="K8" s="23" t="s">
        <v>774</v>
      </c>
    </row>
    <row r="9" ht="24.75">
      <c r="A9" s="3"/>
      <c r="B9" s="53" t="s">
        <v>775</v>
      </c>
      <c r="C9" s="81" t="s">
        <v>776</v>
      </c>
      <c r="D9" s="164">
        <v>46313</v>
      </c>
      <c r="E9" s="86" t="s">
        <v>642</v>
      </c>
      <c r="F9" s="81" t="s">
        <v>777</v>
      </c>
      <c r="G9" s="81"/>
      <c r="H9" s="81"/>
      <c r="I9" s="81"/>
      <c r="J9" s="197"/>
      <c r="K9" s="94" t="s">
        <v>778</v>
      </c>
    </row>
    <row r="10" ht="24.75">
      <c r="A10" s="3"/>
      <c r="B10" s="53" t="s">
        <v>779</v>
      </c>
      <c r="C10" s="81" t="s">
        <v>780</v>
      </c>
      <c r="D10" s="164">
        <v>46313</v>
      </c>
      <c r="E10" s="86" t="s">
        <v>642</v>
      </c>
      <c r="F10" s="81" t="s">
        <v>781</v>
      </c>
      <c r="G10" s="81"/>
      <c r="H10" s="81"/>
      <c r="I10" s="81"/>
      <c r="J10" s="197"/>
      <c r="K10" s="94" t="s">
        <v>782</v>
      </c>
    </row>
    <row r="11" ht="24.75">
      <c r="A11" s="3"/>
      <c r="B11" s="53" t="s">
        <v>783</v>
      </c>
      <c r="C11" s="81" t="s">
        <v>784</v>
      </c>
      <c r="D11" s="164">
        <v>46097</v>
      </c>
      <c r="E11" s="86" t="s">
        <v>785</v>
      </c>
      <c r="F11" s="81" t="s">
        <v>786</v>
      </c>
      <c r="G11" s="81"/>
      <c r="H11" s="81"/>
      <c r="I11" s="81"/>
      <c r="J11" s="197"/>
      <c r="K11" s="94" t="s">
        <v>787</v>
      </c>
    </row>
    <row r="12" ht="24.75">
      <c r="A12" s="3"/>
      <c r="B12" s="53" t="s">
        <v>788</v>
      </c>
      <c r="C12" s="81" t="s">
        <v>603</v>
      </c>
      <c r="D12" s="164">
        <v>46134</v>
      </c>
      <c r="E12" s="86" t="s">
        <v>785</v>
      </c>
      <c r="F12" s="81" t="s">
        <v>789</v>
      </c>
      <c r="G12" s="81"/>
      <c r="H12" s="81"/>
      <c r="I12" s="81"/>
      <c r="J12" s="197"/>
      <c r="K12" s="94" t="s">
        <v>790</v>
      </c>
    </row>
    <row r="13" ht="24.75">
      <c r="A13" s="3"/>
      <c r="B13" s="53" t="s">
        <v>791</v>
      </c>
      <c r="C13" s="81" t="s">
        <v>792</v>
      </c>
      <c r="D13" s="164">
        <v>46134</v>
      </c>
      <c r="E13" s="86" t="s">
        <v>793</v>
      </c>
      <c r="F13" s="81" t="s">
        <v>794</v>
      </c>
      <c r="G13" s="81"/>
      <c r="H13" s="81"/>
      <c r="I13" s="81"/>
      <c r="J13" s="197"/>
      <c r="K13" s="94" t="s">
        <v>795</v>
      </c>
    </row>
    <row r="14" ht="24.75">
      <c r="A14" s="3"/>
      <c r="B14" s="53" t="s">
        <v>796</v>
      </c>
      <c r="C14" s="81" t="s">
        <v>609</v>
      </c>
      <c r="D14" s="164">
        <v>46225</v>
      </c>
      <c r="E14" s="86" t="s">
        <v>785</v>
      </c>
      <c r="F14" s="81" t="s">
        <v>797</v>
      </c>
      <c r="G14" s="81"/>
      <c r="H14" s="81"/>
      <c r="I14" s="81"/>
      <c r="J14" s="197"/>
      <c r="K14" s="94" t="s">
        <v>798</v>
      </c>
    </row>
    <row r="15" ht="24.75">
      <c r="A15" s="3"/>
      <c r="B15" s="53" t="s">
        <v>799</v>
      </c>
      <c r="C15" s="81" t="s">
        <v>800</v>
      </c>
      <c r="D15" s="164">
        <v>46225</v>
      </c>
      <c r="E15" s="86" t="s">
        <v>793</v>
      </c>
      <c r="F15" s="81" t="s">
        <v>801</v>
      </c>
      <c r="G15" s="81"/>
      <c r="H15" s="81"/>
      <c r="I15" s="81"/>
      <c r="J15" s="197"/>
      <c r="K15" s="94" t="s">
        <v>802</v>
      </c>
    </row>
    <row r="16" ht="24.75">
      <c r="A16" s="3"/>
      <c r="B16" s="53" t="s">
        <v>803</v>
      </c>
      <c r="C16" s="81" t="s">
        <v>804</v>
      </c>
      <c r="D16" s="164">
        <v>45951</v>
      </c>
      <c r="E16" s="86" t="s">
        <v>793</v>
      </c>
      <c r="F16" s="81" t="s">
        <v>805</v>
      </c>
      <c r="G16" s="81"/>
      <c r="H16" s="81"/>
      <c r="I16" s="81"/>
      <c r="J16" s="197"/>
      <c r="K16" s="94" t="s">
        <v>806</v>
      </c>
    </row>
    <row r="17" ht="24.75">
      <c r="A17" s="3"/>
      <c r="B17" s="53" t="s">
        <v>807</v>
      </c>
      <c r="C17" s="81" t="s">
        <v>808</v>
      </c>
      <c r="D17" s="164">
        <v>46059</v>
      </c>
      <c r="E17" s="86" t="s">
        <v>793</v>
      </c>
      <c r="F17" s="81" t="s">
        <v>809</v>
      </c>
      <c r="G17" s="81"/>
      <c r="H17" s="81"/>
      <c r="I17" s="81"/>
      <c r="J17" s="197"/>
      <c r="K17" s="94" t="s">
        <v>810</v>
      </c>
    </row>
    <row r="18" ht="14.624267578125">
      <c r="A18" s="3"/>
      <c r="B18" s="53" t="s">
        <v>811</v>
      </c>
      <c r="C18" s="81" t="s">
        <v>812</v>
      </c>
      <c r="D18" s="164">
        <v>45771</v>
      </c>
      <c r="E18" s="86" t="s">
        <v>813</v>
      </c>
      <c r="F18" s="81" t="s">
        <v>814</v>
      </c>
      <c r="G18" s="81"/>
      <c r="H18" s="81"/>
      <c r="I18" s="81"/>
      <c r="J18" s="197"/>
      <c r="K18" s="94" t="s">
        <v>815</v>
      </c>
    </row>
    <row r="19" ht="14.624267578125">
      <c r="A19" s="3"/>
      <c r="B19" s="53" t="s">
        <v>816</v>
      </c>
      <c r="C19" s="81" t="s">
        <v>817</v>
      </c>
      <c r="D19" s="164">
        <v>45863</v>
      </c>
      <c r="E19" s="86" t="s">
        <v>813</v>
      </c>
      <c r="F19" s="81" t="s">
        <v>818</v>
      </c>
      <c r="G19" s="81"/>
      <c r="H19" s="81"/>
      <c r="I19" s="81"/>
      <c r="J19" s="197"/>
      <c r="K19" s="94" t="s">
        <v>819</v>
      </c>
    </row>
    <row r="20" ht="14.624267578125">
      <c r="A20" s="3"/>
      <c r="B20" s="53" t="s">
        <v>820</v>
      </c>
      <c r="C20" s="81" t="s">
        <v>821</v>
      </c>
      <c r="D20" s="164">
        <v>45954</v>
      </c>
      <c r="E20" s="86" t="s">
        <v>813</v>
      </c>
      <c r="F20" s="81" t="s">
        <v>822</v>
      </c>
      <c r="G20" s="81"/>
      <c r="H20" s="81"/>
      <c r="I20" s="81"/>
      <c r="J20" s="197"/>
      <c r="K20" s="94" t="s">
        <v>823</v>
      </c>
    </row>
    <row r="21" ht="24.75">
      <c r="A21" s="3"/>
      <c r="B21" s="53" t="s">
        <v>824</v>
      </c>
      <c r="C21" s="81" t="s">
        <v>825</v>
      </c>
      <c r="D21" s="164">
        <v>46059</v>
      </c>
      <c r="E21" s="86" t="s">
        <v>826</v>
      </c>
      <c r="F21" s="81" t="s">
        <v>827</v>
      </c>
      <c r="G21" s="81"/>
      <c r="H21" s="81"/>
      <c r="I21" s="81"/>
      <c r="J21" s="197"/>
      <c r="K21" s="94" t="s">
        <v>828</v>
      </c>
    </row>
    <row r="22" ht="14.624267578125">
      <c r="A22" s="3"/>
      <c r="B22" s="53" t="s">
        <v>829</v>
      </c>
      <c r="C22" s="81" t="s">
        <v>830</v>
      </c>
      <c r="D22" s="164">
        <v>46136</v>
      </c>
      <c r="E22" s="86" t="s">
        <v>813</v>
      </c>
      <c r="F22" s="81" t="s">
        <v>831</v>
      </c>
      <c r="G22" s="81"/>
      <c r="H22" s="81"/>
      <c r="I22" s="81"/>
      <c r="J22" s="197"/>
      <c r="K22" s="94" t="s">
        <v>832</v>
      </c>
    </row>
    <row r="23" ht="14.624267578125">
      <c r="A23" s="3"/>
      <c r="B23" s="53" t="s">
        <v>833</v>
      </c>
      <c r="C23" s="81" t="s">
        <v>834</v>
      </c>
      <c r="D23" s="164">
        <v>46227</v>
      </c>
      <c r="E23" s="86" t="s">
        <v>813</v>
      </c>
      <c r="F23" s="81" t="s">
        <v>835</v>
      </c>
      <c r="G23" s="81"/>
      <c r="H23" s="81"/>
      <c r="I23" s="81"/>
      <c r="J23" s="197"/>
      <c r="K23" s="94" t="s">
        <v>836</v>
      </c>
    </row>
    <row r="24" ht="36">
      <c r="A24" s="3"/>
      <c r="B24" s="53" t="s">
        <v>837</v>
      </c>
      <c r="C24" s="81" t="s">
        <v>51</v>
      </c>
      <c r="D24" s="164">
        <v>46225</v>
      </c>
      <c r="E24" s="86" t="s">
        <v>838</v>
      </c>
      <c r="F24" s="81" t="s">
        <v>839</v>
      </c>
      <c r="G24" s="81"/>
      <c r="H24" s="81"/>
      <c r="I24" s="81"/>
      <c r="J24" s="197"/>
      <c r="K24" s="94" t="s">
        <v>840</v>
      </c>
    </row>
    <row r="25" ht="36">
      <c r="A25" s="3"/>
      <c r="B25" s="53" t="s">
        <v>841</v>
      </c>
      <c r="C25" s="81" t="s">
        <v>611</v>
      </c>
      <c r="D25" s="164">
        <v>46273</v>
      </c>
      <c r="E25" s="86" t="s">
        <v>842</v>
      </c>
      <c r="F25" s="81" t="s">
        <v>843</v>
      </c>
      <c r="G25" s="81"/>
      <c r="H25" s="81"/>
      <c r="I25" s="81"/>
      <c r="J25" s="197"/>
      <c r="K25" s="94" t="s">
        <v>844</v>
      </c>
    </row>
    <row r="26" ht="24.75">
      <c r="A26" s="3"/>
      <c r="B26" s="53" t="s">
        <v>845</v>
      </c>
      <c r="C26" s="81" t="s">
        <v>598</v>
      </c>
      <c r="D26" s="164">
        <v>46059</v>
      </c>
      <c r="E26" s="86" t="s">
        <v>785</v>
      </c>
      <c r="F26" s="81" t="s">
        <v>846</v>
      </c>
      <c r="G26" s="81"/>
      <c r="H26" s="81"/>
      <c r="I26" s="81"/>
      <c r="J26" s="197"/>
      <c r="K26" s="94" t="s">
        <v>847</v>
      </c>
    </row>
    <row r="27" ht="14.624267578125">
      <c r="A27" s="3"/>
      <c r="B27" s="53" t="s">
        <v>848</v>
      </c>
      <c r="C27" s="81" t="s">
        <v>606</v>
      </c>
      <c r="D27" s="164">
        <v>46175</v>
      </c>
      <c r="E27" s="86" t="s">
        <v>849</v>
      </c>
      <c r="F27" s="81" t="s">
        <v>850</v>
      </c>
      <c r="G27" s="81"/>
      <c r="H27" s="81"/>
      <c r="I27" s="81"/>
      <c r="J27" s="197"/>
      <c r="K27" s="94" t="s">
        <v>851</v>
      </c>
    </row>
    <row r="28" ht="24.75">
      <c r="A28" s="3"/>
      <c r="B28" s="53" t="s">
        <v>852</v>
      </c>
      <c r="C28" s="81" t="s">
        <v>589</v>
      </c>
      <c r="D28" s="164">
        <v>45860</v>
      </c>
      <c r="E28" s="86" t="s">
        <v>785</v>
      </c>
      <c r="F28" s="81" t="s">
        <v>853</v>
      </c>
      <c r="G28" s="81"/>
      <c r="H28" s="81"/>
      <c r="I28" s="81"/>
      <c r="J28" s="197"/>
      <c r="K28" s="94" t="s">
        <v>854</v>
      </c>
    </row>
    <row r="29" ht="24.75">
      <c r="A29" s="3"/>
      <c r="B29" s="53" t="s">
        <v>855</v>
      </c>
      <c r="C29" s="81" t="s">
        <v>586</v>
      </c>
      <c r="D29" s="164">
        <v>45770</v>
      </c>
      <c r="E29" s="86" t="s">
        <v>842</v>
      </c>
      <c r="F29" s="81" t="s">
        <v>856</v>
      </c>
      <c r="G29" s="81"/>
      <c r="H29" s="81"/>
      <c r="I29" s="81"/>
      <c r="J29" s="197"/>
      <c r="K29" s="94" t="s">
        <v>857</v>
      </c>
    </row>
    <row r="30" ht="24.75">
      <c r="A30" s="3"/>
      <c r="B30" s="53" t="s">
        <v>858</v>
      </c>
      <c r="C30" s="81" t="s">
        <v>583</v>
      </c>
      <c r="D30" s="164">
        <v>45694</v>
      </c>
      <c r="E30" s="86" t="s">
        <v>785</v>
      </c>
      <c r="F30" s="81" t="s">
        <v>859</v>
      </c>
      <c r="G30" s="81"/>
      <c r="H30" s="81"/>
      <c r="I30" s="81"/>
      <c r="J30" s="197"/>
      <c r="K30" s="94" t="s">
        <v>860</v>
      </c>
    </row>
    <row r="31" ht="24.75">
      <c r="A31" s="3"/>
      <c r="B31" s="53" t="s">
        <v>861</v>
      </c>
      <c r="C31" s="81" t="s">
        <v>592</v>
      </c>
      <c r="D31" s="164">
        <v>45951</v>
      </c>
      <c r="E31" s="86" t="s">
        <v>785</v>
      </c>
      <c r="F31" s="81" t="s">
        <v>862</v>
      </c>
      <c r="G31" s="81"/>
      <c r="H31" s="81"/>
      <c r="I31" s="81"/>
      <c r="J31" s="197"/>
      <c r="K31" s="94" t="s">
        <v>863</v>
      </c>
    </row>
    <row r="32" ht="24.75">
      <c r="A32" s="3"/>
      <c r="B32" s="53" t="s">
        <v>864</v>
      </c>
      <c r="C32" s="81" t="s">
        <v>865</v>
      </c>
      <c r="D32" s="164">
        <v>46309</v>
      </c>
      <c r="E32" s="86" t="s">
        <v>866</v>
      </c>
      <c r="F32" s="81" t="s">
        <v>867</v>
      </c>
      <c r="G32" s="81"/>
      <c r="H32" s="81"/>
      <c r="I32" s="81"/>
      <c r="J32" s="197"/>
      <c r="K32" s="94" t="s">
        <v>868</v>
      </c>
    </row>
    <row r="33" ht="24.75">
      <c r="A33" s="3"/>
      <c r="B33" s="53" t="s">
        <v>869</v>
      </c>
      <c r="C33" s="81" t="s">
        <v>870</v>
      </c>
      <c r="D33" s="164">
        <v>46311</v>
      </c>
      <c r="E33" s="86" t="s">
        <v>871</v>
      </c>
      <c r="F33" s="81" t="s">
        <v>872</v>
      </c>
      <c r="G33" s="81"/>
      <c r="H33" s="81"/>
      <c r="I33" s="81"/>
      <c r="J33" s="197"/>
      <c r="K33" s="94" t="s">
        <v>873</v>
      </c>
    </row>
    <row r="34" ht="24.75">
      <c r="A34" s="3"/>
      <c r="B34" s="53" t="s">
        <v>874</v>
      </c>
      <c r="C34" s="81" t="s">
        <v>875</v>
      </c>
      <c r="D34" s="164">
        <v>46311</v>
      </c>
      <c r="E34" s="86" t="s">
        <v>876</v>
      </c>
      <c r="F34" s="81" t="s">
        <v>877</v>
      </c>
      <c r="G34" s="81"/>
      <c r="H34" s="81"/>
      <c r="I34" s="81"/>
      <c r="J34" s="197"/>
      <c r="K34" s="94" t="s">
        <v>878</v>
      </c>
    </row>
    <row r="35" ht="24.75">
      <c r="A35" s="3"/>
      <c r="B35" s="53" t="s">
        <v>879</v>
      </c>
      <c r="C35" s="81" t="s">
        <v>880</v>
      </c>
      <c r="D35" s="164">
        <v>46310</v>
      </c>
      <c r="E35" s="86" t="s">
        <v>881</v>
      </c>
      <c r="F35" s="81" t="s">
        <v>872</v>
      </c>
      <c r="G35" s="81"/>
      <c r="H35" s="81"/>
      <c r="I35" s="81"/>
      <c r="J35" s="197"/>
      <c r="K35" s="94" t="s">
        <v>882</v>
      </c>
    </row>
    <row r="36" ht="24.75">
      <c r="A36" s="3"/>
      <c r="B36" s="53" t="s">
        <v>883</v>
      </c>
      <c r="C36" s="81" t="s">
        <v>884</v>
      </c>
      <c r="D36" s="164">
        <v>46308</v>
      </c>
      <c r="E36" s="86" t="s">
        <v>885</v>
      </c>
      <c r="F36" s="81" t="s">
        <v>872</v>
      </c>
      <c r="G36" s="81"/>
      <c r="H36" s="81"/>
      <c r="I36" s="81"/>
      <c r="J36" s="197"/>
      <c r="K36" s="94" t="s">
        <v>886</v>
      </c>
    </row>
    <row r="37" ht="24.75">
      <c r="A37" s="3"/>
      <c r="B37" s="53" t="s">
        <v>887</v>
      </c>
      <c r="C37" s="81" t="s">
        <v>888</v>
      </c>
      <c r="D37" s="164">
        <v>46248</v>
      </c>
      <c r="E37" s="86" t="s">
        <v>889</v>
      </c>
      <c r="F37" s="81" t="s">
        <v>890</v>
      </c>
      <c r="G37" s="81"/>
      <c r="H37" s="81"/>
      <c r="I37" s="81"/>
      <c r="J37" s="197"/>
      <c r="K37" s="94" t="s">
        <v>891</v>
      </c>
    </row>
    <row r="38" ht="24.75">
      <c r="A38" s="3"/>
      <c r="B38" s="53" t="s">
        <v>892</v>
      </c>
      <c r="C38" s="81" t="s">
        <v>893</v>
      </c>
      <c r="D38" s="164">
        <v>46283</v>
      </c>
      <c r="E38" s="86" t="s">
        <v>894</v>
      </c>
      <c r="F38" s="81" t="s">
        <v>895</v>
      </c>
      <c r="G38" s="81"/>
      <c r="H38" s="81"/>
      <c r="I38" s="81"/>
      <c r="J38" s="197"/>
      <c r="K38" s="94" t="s">
        <v>896</v>
      </c>
    </row>
    <row r="39">
      <c r="A39" s="3"/>
      <c r="B39" s="3"/>
      <c r="C39" s="3"/>
      <c r="D39" s="3"/>
      <c r="E39" s="3"/>
      <c r="F39" s="3"/>
      <c r="G39" s="3"/>
      <c r="H39" s="3"/>
      <c r="I39" s="3"/>
      <c r="J39" s="182"/>
      <c r="K39" s="13"/>
    </row>
    <row r="40">
      <c r="A40" s="3"/>
      <c r="B40" s="70" t="s">
        <v>897</v>
      </c>
      <c r="C40" s="3"/>
      <c r="D40" s="3"/>
      <c r="E40" s="3"/>
      <c r="F40" s="3"/>
      <c r="G40" s="3"/>
      <c r="H40" s="3"/>
      <c r="I40" s="3"/>
      <c r="J40" s="182"/>
      <c r="K40" s="13"/>
    </row>
    <row r="41">
      <c r="A41" s="3"/>
      <c r="B41" s="38" t="s">
        <v>898</v>
      </c>
      <c r="C41" s="3"/>
      <c r="D41" s="3"/>
      <c r="E41" s="3"/>
      <c r="F41" s="3"/>
      <c r="G41" s="3"/>
      <c r="H41" s="3"/>
      <c r="I41" s="3"/>
      <c r="J41" s="182"/>
      <c r="K41" s="13"/>
    </row>
    <row r="42">
      <c r="A42" s="3"/>
      <c r="B42" s="38" t="s">
        <v>899</v>
      </c>
      <c r="C42" s="3"/>
      <c r="D42" s="3"/>
      <c r="E42" s="3"/>
      <c r="F42" s="3"/>
      <c r="G42" s="3"/>
      <c r="H42" s="3"/>
      <c r="I42" s="3"/>
      <c r="J42" s="182"/>
      <c r="K42" s="13"/>
    </row>
    <row r="43">
      <c r="A43" s="3"/>
      <c r="B43" s="38" t="s">
        <v>900</v>
      </c>
      <c r="C43" s="3"/>
      <c r="D43" s="3"/>
      <c r="E43" s="3"/>
      <c r="F43" s="3"/>
      <c r="G43" s="3"/>
      <c r="H43" s="3"/>
      <c r="I43" s="3"/>
      <c r="J43" s="182"/>
      <c r="K43" s="13"/>
    </row>
    <row r="44">
      <c r="A44" s="3"/>
      <c r="B44" s="3"/>
      <c r="C44" s="3"/>
      <c r="D44" s="3"/>
      <c r="E44" s="3"/>
      <c r="F44" s="3"/>
      <c r="G44" s="3"/>
      <c r="H44" s="3"/>
      <c r="I44" s="3"/>
      <c r="J44" s="182"/>
      <c r="K44" s="13"/>
    </row>
    <row r="45">
      <c r="A45" s="3"/>
      <c r="B45" s="167" t="s">
        <v>901</v>
      </c>
      <c r="C45" s="3"/>
      <c r="D45" s="3"/>
      <c r="E45" s="3"/>
      <c r="F45" s="3"/>
      <c r="G45" s="3"/>
      <c r="H45" s="3"/>
      <c r="I45" s="3"/>
      <c r="J45" s="182"/>
      <c r="K45" s="13"/>
    </row>
    <row r="46">
      <c r="B46" s="166" t="s">
        <v>902</v>
      </c>
    </row>
    <row r="47">
      <c r="B47" s="166" t="s">
        <v>903</v>
      </c>
    </row>
    <row r="48">
      <c r="B48" s="166" t="s">
        <v>904</v>
      </c>
    </row>
    <row r="49">
      <c r="B49" s="166" t="s">
        <v>905</v>
      </c>
    </row>
    <row r="50">
      <c r="B50" s="166" t="s">
        <v>906</v>
      </c>
    </row>
    <row r="51">
      <c r="B51" s="166" t="s">
        <v>907</v>
      </c>
    </row>
  </sheetData>
</worksheet>
</file>