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3"/>
    <sheet name="Segment - Beauty" sheetId="3" r:id="rId4"/>
    <sheet name="Segment - Grooming" sheetId="4" r:id="rId5"/>
    <sheet name="Segment - Health Care" sheetId="5" r:id="rId6"/>
    <sheet name="Segment - Fabric &amp; Home Care" sheetId="6" r:id="rId7"/>
    <sheet name="Segment - Baby Fem Family Care" sheetId="7" r:id="rId8"/>
    <sheet name="Income Statement" sheetId="8" r:id="rId9"/>
    <sheet name="Balance Sheet" sheetId="9" r:id="rId10"/>
    <sheet name="Cash Flow Statement" sheetId="10" r:id="rId11"/>
    <sheet name="Geo" sheetId="11" r:id="rId12"/>
    <sheet name="Share Count" sheetId="12" r:id="rId13"/>
    <sheet name="Guidance" sheetId="13" r:id="rId14"/>
    <sheet name="Sources" sheetId="14" r:id="rId15"/>
    <sheet name="Inputs" sheetId="15" r:id="rId16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A21" authorId="0">
      <text>
        <t>Guidance-implied = 1Q26A net sales × (1 + FY27 all-in sales growth midpoint 2%); P&amp;G gives no quarterly sales guidance.</t>
      </text>
    </comment>
    <comment ref="A23" authorId="0">
      <text>
        <t>Consensus = CapIQ net income excl. exceptional items. Guidance-implied = 1Q27 Core EPS upper bound × modelled diluted shares.</t>
      </text>
    </comment>
    <comment ref="A25" authorId="0">
      <text>
        <t>Guidance: management said 1Q27 EPS would be "down 5% or more" vs $1.99 (S9) → upper bound $1.89; no midpoint exists. Consensus = CapIQ normalized mean, 19 estimates, frozen 2026-10-18.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A8" authorId="0">
      <text>
        <t>P&amp;G reports five segments plus Corporate. Segment net sales link from each Segment tab; Corporate is entered here. Revenue is global (more than half outside the U.S.); see Geo tab for the U.S./International split.</t>
      </text>
    </comment>
    <comment ref="A34" authorId="0">
      <text>
        <t>Corporate net sales as reported. 1Q27E assumption $240m: between the last-four-quarter average ($230m) and the year-ago quarter ($242m).</t>
      </text>
    </comment>
    <comment ref="A38" authorId="0">
      <text>
        <t>Segment net sales are reported in rounded $m; this line reconciles their sum to reported total net sales (3Q26 +2, 4Q26 −1).</t>
      </text>
    </comment>
    <comment ref="A44" authorId="0">
      <text>
        <t>Year-ago quarter / prior fiscal year net sales. 3Q25 and 4Q25 link to the CapIQ revenue actuals on Inputs (identical to the releases); 1Q27E year-ago = 1Q26A (formula).</t>
      </text>
    </comment>
    <comment ref="A45" authorId="0">
      <text>
        <t>Used by the segment-sum and segment-EBT checks: P&amp;G reports segment and total figures rounded to $1m, so sums can differ by up to ~$2m.</t>
      </text>
    </comment>
    <comment ref="A47" authorId="0">
      <text>
        <t>Independent test: the sum of reported segment and Corporate net sales must be within $2m of reported total net sales (issuer rounding); 1Q27E: segments + Corporate must equal total.</t>
      </text>
    </comment>
    <comment ref="A50" authorId="0">
      <text>
        <t>Reported P&amp;G net sales drivers (approximations, rounded to whole %). 1Q27E = year-ago-sales-weighted average of the five segment drivers; Other absorbs Corporate and rounding.</t>
      </text>
    </comment>
    <comment ref="A72" authorId="0">
      <text>
        <t>1Q27E organic = weighted segment organic growth (organic volume + price + mix). Street ~2.0% (UBS, S14); UBS 2.6%, Evercore ~3% (S13).</t>
      </text>
    </comment>
    <comment ref="A78" authorId="0">
      <text>
        <t>Negative of the "Acquisition &amp; Divestiture Impact/Other" column in the organic sales reconciliation (Q4 FY26 total: (1)% → +1% contribution).</t>
      </text>
    </comment>
    <comment ref="A84" authorId="0">
      <text>
        <t>Segment EBT links from each Segment tab. Corporate EBT is reported for history; for 1Q27E it is the balancing item between consolidated EBT (Income Statement) and the five segment forecasts, so segments always reconcile to the consolidated forecast.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A8" authorId="0">
      <text>
        <t>P&amp;G discloses segment net sales drivers (volume, foreign exchange, price, mix, other) each quarter, rounded to whole %. P&amp;G does not report customers, subscribers, units or backlog, so a customer/unit ladder is not applicable; the volume/price/mix/FX ladder below is the full disclosed driver set. 1Q26: Hair Care +LSD, Personal Care +HSD, Skin Care +MSD organic; 2Q26: Hair +MSD, Personal +MSD, Skin +LSD; 3Q26: Hair +MSD, Personal +HSD, Skin +HSD; 4Q26: Hair +MSD, Personal +MSD, Skin flat (S3-S6). Sub-category $ not disclosed quarterly.</t>
      </text>
    </comment>
    <comment ref="A24" authorId="0">
      <text>
        <t>Reported organic growth by segment (quarterly releases). FY segment organic growth is not tabulated in the FY release (n/a); FY organic for Grooming (+1%) is cited in the 10-K. 1Q27E = organic volume + price + mix.</t>
      </text>
    </comment>
    <comment ref="A27" authorId="0">
      <text>
        <t>1Q27E FX: euro ~1.5% weaker and yen ~7% weaker y/y vs USD, offset by stronger CNY and MXN; broad dollar index roughly flat in the quarter (S20). Guidance assumed only a small FX headwind ($50m after tax for FY27, S6).</t>
      </text>
    </comment>
    <comment ref="A38" authorId="0">
      <text>
        <t>FY segment reconciliation is not disclosed (n/a).</t>
      </text>
    </comment>
    <comment ref="A53" authorId="0">
      <text>
        <t>The 10-K discloses each sub-category as a whole-% share of total company net sales for the fiscal year; quarterly sub-category $ are not disclosed (n/a). Quarterly qualitative organic trends are in the section note above.</t>
      </text>
    </comment>
    <comment ref="A70" authorId="0">
      <text>
        <t>1Q27E assumption: segment margin change y/y, larger (−220bp) for Fabric &amp; Home Care and Baby/Fem/Family Care, which carry the heaviest resin, pulp and transport exposure, smaller (−120 to −150bp) for Beauty, Grooming and Health Care. Reflects the front-half-weighted ~$1bn after-tax cost headwind (S6, S9) partly offset by productivity; consistent with core operating margin −180bp on the Income Statement.</t>
      </text>
    </comment>
    <comment ref="A78" authorId="0">
      <text>
        <t>1Q27E held at the year-ago quarter rate.</t>
      </text>
    </comment>
    <comment ref="B39" authorId="0">
      <text>
        <t>As reported in S3 (1Q26 organic sales reconciliation: net sales +6%, FX −1%, A&amp;D/other +1%, organic +6%). P&amp;G rounds each driver to whole % independently, so in some quarters organic ≠ organic volume + price + mix across the segment tabs. Issuer values kept as reported; additivity not forced.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A8" authorId="0">
      <text>
        <t>P&amp;G discloses segment net sales drivers (volume, foreign exchange, price, mix, other) each quarter, rounded to whole %. P&amp;G does not report customers, subscribers, units or backlog, so a customer/unit ladder is not applicable; the volume/price/mix/FX ladder below is the full disclosed driver set. Grooming is a single product category (Gillette, Venus, Braun). FY26 organic +1% per 10-K (S7).</t>
      </text>
    </comment>
    <comment ref="A24" authorId="0">
      <text>
        <t>Reported organic growth by segment (quarterly releases). FY segment organic growth is not tabulated in the FY release (n/a); FY organic for Grooming (+1%) is cited in the 10-K. 1Q27E = organic volume + price + mix.</t>
      </text>
    </comment>
    <comment ref="A27" authorId="0">
      <text>
        <t>1Q27E FX: euro ~1.5% weaker and yen ~7% weaker y/y vs USD, offset by stronger CNY and MXN; broad dollar index roughly flat in the quarter (S20). Guidance assumed only a small FX headwind ($50m after tax for FY27, S6).</t>
      </text>
    </comment>
    <comment ref="A38" authorId="0">
      <text>
        <t>FY segment reconciliation is not disclosed (n/a).</t>
      </text>
    </comment>
    <comment ref="A53" authorId="0">
      <text>
        <t>The 10-K discloses each sub-category as a whole-% share of total company net sales for the fiscal year; quarterly sub-category $ are not disclosed (n/a). Quarterly qualitative organic trends are in the section note above.</t>
      </text>
    </comment>
    <comment ref="A66" authorId="0">
      <text>
        <t>1Q27E assumption: segment margin change y/y, larger (−220bp) for Fabric &amp; Home Care and Baby/Fem/Family Care, which carry the heaviest resin, pulp and transport exposure, smaller (−120 to −150bp) for Beauty, Grooming and Health Care. Reflects the front-half-weighted ~$1bn after-tax cost headwind (S6, S9) partly offset by productivity; consistent with core operating margin −180bp on the Income Statement.</t>
      </text>
    </comment>
    <comment ref="A74" authorId="0">
      <text>
        <t>1Q27E held at the year-ago quarter rate.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A8" authorId="0">
      <text>
        <t>P&amp;G discloses segment net sales drivers (volume, foreign exchange, price, mix, other) each quarter, rounded to whole %. P&amp;G does not report customers, subscribers, units or backlog, so a customer/unit ladder is not applicable; the volume/price/mix/FX ladder below is the full disclosed driver set. 1Q26: Oral Care flat, PHC +LSD; 2Q26: Oral +LSD, PHC +LSD; 3Q26: Oral +LSD, PHC +LSD; 4Q26: Oral −MSD, PHC +MSD organic (S3-S6).</t>
      </text>
    </comment>
    <comment ref="A24" authorId="0">
      <text>
        <t>Reported organic growth by segment (quarterly releases). FY segment organic growth is not tabulated in the FY release (n/a); FY organic for Grooming (+1%) is cited in the 10-K. 1Q27E = organic volume + price + mix.</t>
      </text>
    </comment>
    <comment ref="A27" authorId="0">
      <text>
        <t>1Q27E FX: euro ~1.5% weaker and yen ~7% weaker y/y vs USD, offset by stronger CNY and MXN; broad dollar index roughly flat in the quarter (S20). Guidance assumed only a small FX headwind ($50m after tax for FY27, S6).</t>
      </text>
    </comment>
    <comment ref="A38" authorId="0">
      <text>
        <t>FY segment reconciliation is not disclosed (n/a).</t>
      </text>
    </comment>
    <comment ref="A53" authorId="0">
      <text>
        <t>The 10-K discloses each sub-category as a whole-% share of total company net sales for the fiscal year; quarterly sub-category $ are not disclosed (n/a). Quarterly qualitative organic trends are in the section note above.</t>
      </text>
    </comment>
    <comment ref="A68" authorId="0">
      <text>
        <t>1Q27E assumption: segment margin change y/y, larger (−220bp) for Fabric &amp; Home Care and Baby/Fem/Family Care, which carry the heaviest resin, pulp and transport exposure, smaller (−120 to −150bp) for Beauty, Grooming and Health Care. Reflects the front-half-weighted ~$1bn after-tax cost headwind (S6, S9) partly offset by productivity; consistent with core operating margin −180bp on the Income Statement.</t>
      </text>
    </comment>
    <comment ref="A76" authorId="0">
      <text>
        <t>1Q27E held at the year-ago quarter rate.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A8" authorId="0">
      <text>
        <t>P&amp;G discloses segment net sales drivers (volume, foreign exchange, price, mix, other) each quarter, rounded to whole %. P&amp;G does not report customers, subscribers, units or backlog, so a customer/unit ladder is not applicable; the volume/price/mix/FX ladder below is the full disclosed driver set. 1Q26: Fabric −LSD, Home +LSD; 2Q26: Fabric flat, Home +LSD; 3Q26: Fabric +LSD, Home +MSD; 4Q26: Fabric +LSD, Home −LSD organic (S3-S6). Tide relaunch cited as HSD growth on the Q4 call (S9).</t>
      </text>
    </comment>
    <comment ref="A24" authorId="0">
      <text>
        <t>Reported organic growth by segment (quarterly releases). FY segment organic growth is not tabulated in the FY release (n/a); FY organic for Grooming (+1%) is cited in the 10-K. 1Q27E = organic volume + price + mix.</t>
      </text>
    </comment>
    <comment ref="A27" authorId="0">
      <text>
        <t>1Q27E FX: euro ~1.5% weaker and yen ~7% weaker y/y vs USD, offset by stronger CNY and MXN; broad dollar index roughly flat in the quarter (S20). Guidance assumed only a small FX headwind ($50m after tax for FY27, S6).</t>
      </text>
    </comment>
    <comment ref="A38" authorId="0">
      <text>
        <t>FY segment reconciliation is not disclosed (n/a).</t>
      </text>
    </comment>
    <comment ref="A53" authorId="0">
      <text>
        <t>The 10-K discloses each sub-category as a whole-% share of total company net sales for the fiscal year; quarterly sub-category $ are not disclosed (n/a). Quarterly qualitative organic trends are in the section note above.</t>
      </text>
    </comment>
    <comment ref="A68" authorId="0">
      <text>
        <t>1Q27E assumption: segment margin change y/y, larger (−220bp) for Fabric &amp; Home Care and Baby/Fem/Family Care, which carry the heaviest resin, pulp and transport exposure, smaller (−120 to −150bp) for Beauty, Grooming and Health Care. Reflects the front-half-weighted ~$1bn after-tax cost headwind (S6, S9) partly offset by productivity; consistent with core operating margin −180bp on the Income Statement.</t>
      </text>
    </comment>
    <comment ref="A76" authorId="0">
      <text>
        <t>1Q27E held at the year-ago quarter rate.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A8" authorId="0">
      <text>
        <t>P&amp;G discloses segment net sales drivers (volume, foreign exchange, price, mix, other) each quarter, rounded to whole %. P&amp;G does not report customers, subscribers, units or backlog, so a customer/unit ladder is not applicable; the volume/price/mix/FX ladder below is the full disclosed driver set. 1Q26: Baby +LSD, Fem flat, Family −LSD; 2Q26: Baby −LSD, Fem −LSD, Family −DD; 3Q26: Baby +LSD, Fem +LSD, Family +MSD; 4Q26: Baby +LSD, Fem −LSD, Family −MSD organic (S3-S6).</t>
      </text>
    </comment>
    <comment ref="A24" authorId="0">
      <text>
        <t>Reported organic growth by segment (quarterly releases). FY segment organic growth is not tabulated in the FY release (n/a); FY organic for Grooming (+1%) is cited in the 10-K. 1Q27E = organic volume + price + mix.</t>
      </text>
    </comment>
    <comment ref="A27" authorId="0">
      <text>
        <t>1Q27E FX: euro ~1.5% weaker and yen ~7% weaker y/y vs USD, offset by stronger CNY and MXN; broad dollar index roughly flat in the quarter (S20). Guidance assumed only a small FX headwind ($50m after tax for FY27, S6).</t>
      </text>
    </comment>
    <comment ref="A38" authorId="0">
      <text>
        <t>FY segment reconciliation is not disclosed (n/a).</t>
      </text>
    </comment>
    <comment ref="A53" authorId="0">
      <text>
        <t>The 10-K discloses each sub-category as a whole-% share of total company net sales for the fiscal year; quarterly sub-category $ are not disclosed (n/a). Quarterly qualitative organic trends are in the section note above.</t>
      </text>
    </comment>
    <comment ref="A70" authorId="0">
      <text>
        <t>1Q27E assumption: segment margin change y/y, larger (−220bp) for Fabric &amp; Home Care and Baby/Fem/Family Care, which carry the heaviest resin, pulp and transport exposure, smaller (−120 to −150bp) for Beauty, Grooming and Health Care. Reflects the front-half-weighted ~$1bn after-tax cost headwind (S6, S9) partly offset by productivity; consistent with core operating margin −180bp on the Income Statement.</t>
      </text>
    </comment>
    <comment ref="A78" authorId="0">
      <text>
        <t>1Q27E held at the year-ago quarter rate.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A8" authorId="0">
      <text>
        <t>Subtotals are computed from reported lines; an explicit issuer-rounding line ties EBT to the reported figure. FY26A flows = sum of the four quarters (may differ from the reported FY by ≤$1m rounding).</t>
      </text>
    </comment>
    <comment ref="A28" authorId="0">
      <text>
        <t>1Q27E: FY27 guidance includes ~$150m after-tax higher net interest expense (S6); Q4 FY26 was $(236)m.</t>
      </text>
    </comment>
    <comment ref="A53" authorId="0">
      <text>
        <t>P&amp;G diluted EPS = net earnings attributable to P&amp;G / diluted shares (convertible preferred treated as if converted; preferred dividends not deducted). Source: 10-K EPS note (S7).</t>
      </text>
    </comment>
    <comment ref="A58" authorId="0">
      <text>
        <t>Quarterly dividend raised to $1.0885 in April 2026 (S5/S6); 1Q27E assumes the current rate.</t>
      </text>
    </comment>
    <comment ref="A60" authorId="0">
      <text>
        <t>Core EPS excludes incremental restructuring (portfolio &amp; productivity plan) and the FY26 gain on dissolution of the Glad JV (S3-S6). CapIQ normalized EPS actuals equal reported Core EPS in all four FY26 quarters (check below), confirming share identity: USD per diluted common share.</t>
      </text>
    </comment>
    <comment ref="A61" authorId="0">
      <text>
        <t>FY27 guidance: non-core restructuring of $0.13-0.17 per share (remainder of the $1.0-1.6bn plan) (S6). 1Q27E assumes ~$110m pre-tax in total (~$0.04 per share), about a quarter of the FY range.</t>
      </text>
    </comment>
    <comment ref="A68" authorId="0">
      <text>
        <t>Sign convention: amount added to GAAP net earnings to reach Core (= GAAP tax − Core tax).</t>
      </text>
    </comment>
    <comment ref="A82" authorId="0">
      <text>
        <t>1Q27E assumption 50.2% (−130bp y/y): ~$1bn after-tax FY27 cost headwind weighted to the first half (S6, S9), partly offset by productivity and pricing. An independent preview models 50.3% (S15).</t>
      </text>
    </comment>
    <comment ref="A86" authorId="0">
      <text>
        <t>1Q27E assumption 25.3% (+40bp y/y): continued marketing reinvestment (Q4 FY26 core SG&amp;A +130bp) partly offset by productivity and sales leverage.</t>
      </text>
    </comment>
    <comment ref="A94" authorId="0">
      <text>
        <t>1Q27E: FY27 guidance includes ~$150m after-tax lower non-operating income (S6); FY26 core non-op was $894m (~$224m/quarter).</t>
      </text>
    </comment>
    <comment ref="A97" authorId="0">
      <text>
        <t>FY27 guidance: core effective tax rate ~20%, in line with FY26 (S6).</t>
      </text>
    </comment>
    <comment ref="A122" authorId="0">
      <text>
        <t>1Q25: Core NI attributable $4,761m + NCI $28m + Core tax $1,145m − rounding; 2Q-4Q25 had no Core adjustments (Core = GAAP); FY25 Core net earnings $16,866m + Core tax $4,094m.</t>
      </text>
    </comment>
    <comment ref="D41" authorId="0">
      <text>
        <t>3Q26: issuer reports net earnings $3,951m (S5), but reported EBT $4,989m − taxes $1,039m = $3,950m. Net earnings attributable to P&amp;G of $3,932m matches the reported figure and drives EPS, so $3,950m is kept. FY26 (F41 $16,143m, F44 $16,045m) are sums of the quarters per the A8 convention and are $1m below the reported $16,144m / $16,046m (S6), because quarterly taxes sum to $4,234m vs $4,233m reported. The Cash Flow Statement uses reported YTD net earnings.</t>
      </text>
    </comment>
    <comment ref="A116" authorId="0">
      <text>
        <t>B:F (rows 116-118) are issuer-reported prior-year Core margins, rounded to 0.1%, so the bp deltas in rows 83/87/92 carry up to ±5bp rounding noise. G116:G118 link exactly to 1Q26A (B82/B86/B91).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A8" authorId="0">
      <text>
        <t>FY26A column = 30 June 2026 balance (= 4Q26A). 1Q27E is a roll-forward from the Cash Flow Statement forecast. Issuer-rounding lines reconcile computed totals to the reported totals.</t>
      </text>
    </comment>
    <comment ref="A12" authorId="0">
      <text>
        <t>1Q27E held flat.</t>
      </text>
    </comment>
    <comment ref="A14" authorId="0">
      <text>
        <t>1Q27E: + capex − D&amp;A − book value of assets sold (all D&amp;A charged to PP&amp;E for simplicity).</t>
      </text>
    </comment>
    <comment ref="A30" authorId="0">
      <text>
        <t>1Q27E: + net earnings + share-based comp + dividends + treasury purchases + option proceeds + FX translation (cash effect).</t>
      </text>
    </comment>
  </commentList>
</comments>
</file>

<file path=xl/comments10.xml><?xml version="1.0" encoding="utf-8"?>
<comments xmlns="http://schemas.openxmlformats.org/spreadsheetml/2006/main">
  <authors>
    <author>Shortcut</author>
  </authors>
  <commentList>
    <comment ref="A8" authorId="0">
      <text>
        <t>P&amp;G reports cash flows year-to-date; quarters are derived by formula from the YTD block below. Subtotals for history tie to the reported YTD totals; the issuer-rounding lines show the difference vs the sum of reported lines.</t>
      </text>
    </comment>
    <comment ref="A11" authorId="0">
      <text>
        <t>1Q27E D&amp;A ~$800m (4Q26 $812m, 1Q26 $761m).</t>
      </text>
    </comment>
    <comment ref="A15" authorId="0">
      <text>
        <t>1Q27E working-capital assumptions follow the seasonal pattern of 1Q26 (AR −305, inventory −303, AP +648, other −344).</t>
      </text>
    </comment>
    <comment ref="A23" authorId="0">
      <text>
        <t>1Q27E capex = 5.0% of net sales, midpoint of FY27 guidance of 4.5-5.5% (S6).</t>
      </text>
    </comment>
    <comment ref="A30" authorId="0">
      <text>
        <t>1Q27E dividends = DPS × basic shares + preferred dividends.</t>
      </text>
    </comment>
    <comment ref="A31" authorId="0">
      <text>
        <t>1Q27E: no net change in debt assumed.</t>
      </text>
    </comment>
    <comment ref="A36" authorId="0">
      <text>
        <t>1Q27E buyback ~$1.25bn = one quarter of the ~$5bn FY27 plan (S6).</t>
      </text>
    </comment>
    <comment ref="A53" authorId="0">
      <text>
        <t>Reported: 1Q26 102%, 2Q26 88%, 3Q26 82%, 4Q26 133%, FY26 100% (S3-S6). FY27 guidance 85-90% (S6).</t>
      </text>
    </comment>
    <comment ref="A88" authorId="0">
      <text>
        <t>$688m paid in 1Q26 (Q1 FY26 adjusted FCF table); no further payments shown in 2Q-4Q reconciliations; FY26 total $688m (S6).</t>
      </text>
    </comment>
  </commentList>
</comments>
</file>

<file path=xl/comments11.xml><?xml version="1.0" encoding="utf-8"?>
<comments xmlns="http://schemas.openxmlformats.org/spreadsheetml/2006/main">
  <authors>
    <author>Shortcut</author>
  </authors>
  <commentList>
    <comment ref="A8" authorId="0">
      <text>
        <t>P&amp;G discloses U.S. vs International net sales (rounded to $0.1bn) only annually; no quarterly geographic net sales are disclosed (n/a), so no 1Q27E geographic forecast is made.</t>
      </text>
    </comment>
    <comment ref="A16" authorId="0">
      <text>
        <t>The 10-K rounds geographic sales to $0.1bn, so a difference up to $50m is rounding.</t>
      </text>
    </comment>
  </commentList>
</comments>
</file>

<file path=xl/comments12.xml><?xml version="1.0" encoding="utf-8"?>
<comments xmlns="http://schemas.openxmlformats.org/spreadsheetml/2006/main">
  <authors>
    <author>Shortcut</author>
  </authors>
  <commentList>
    <comment ref="A8" authorId="0">
      <text>
        <t>Quarterly basic shares and dilutive components from the 10-Q EPS notes via SEC XBRL (S8); FY from the 10-K (S7). 4Q26 basic is derived as 4 × FY − (1Q+2Q+3Q) because P&amp;G does not report Q4 separately.</t>
      </text>
    </comment>
    <comment ref="A13" authorId="0">
      <text>
        <t>4Q26 = reported diluted − derived basic; 1Q27E held at the 4Q26 level.</t>
      </text>
    </comment>
    <comment ref="A36" authorId="0">
      <text>
        <t>PG traded ~$142-160 during Jul-Oct 2026 (S11, S21); $150 assumed.</t>
      </text>
    </comment>
    <comment ref="A40" authorId="0">
      <text>
        <t>Option exercises/RSU vesting; basic shares fell ~6.8m/7m per quarter in 2Q-3Q26 while buybacks retired ~8-15m shares, implying ~2-4m of issuance.</t>
      </text>
    </comment>
    <comment ref="A18" authorId="0">
      <text>
        <t>4Q26 (E18) is zero by construction because E13 = reported diluted − derived basic. It is not an independent check and is excluded from Cover!B30. 1Q26-3Q26 and FY26 compare reported components with reported diluted shares.</t>
      </text>
    </comment>
  </commentList>
</comments>
</file>

<file path=xl/comments13.xml><?xml version="1.0" encoding="utf-8"?>
<comments xmlns="http://schemas.openxmlformats.org/spreadsheetml/2006/main">
  <authors>
    <author>Shortcut</author>
  </authors>
  <commentList>
    <comment ref="A8" authorId="0">
      <text>
        <t>Columns: B date given, C period, D low, E high, F midpoint, G actual (formula-linked where reported; n/a = not yet reported), H result vs range/midpoint, I source.</t>
      </text>
    </comment>
    <comment ref="A10" authorId="0">
      <text>
        <t>Initial range set 2025-07-29 (S27) and maintained 2025-10-24, 2026-01-22, 2026-04-24 (S3-S5).</t>
      </text>
    </comment>
    <comment ref="A12" authorId="0">
      <text>
        <t>On 2026-04-24 P&amp;G said FY26 EPS would land toward the lower end of the range (S5).</t>
      </text>
    </comment>
    <comment ref="A13" authorId="0">
      <text>
        <t>vs FY25 diluted EPS $6.51.</t>
      </text>
    </comment>
    <comment ref="A14" authorId="0">
      <text>
        <t>Lowered for higher non-core restructuring.</t>
      </text>
    </comment>
    <comment ref="A20" authorId="0">
      <text>
        <t>Includes 30-50bp headwind from brand/product-form/go-to-market discontinuations.</t>
      </text>
    </comment>
    <comment ref="A22" authorId="0">
      <text>
        <t>Reaffirmed qualitatively at the Barclays conference 2026-09-10 ("still confident that we are in the right range", S11).</t>
      </text>
    </comment>
    <comment ref="A23" authorId="0">
      <text>
        <t>vs FY26 GAAP EPS $6.62.</t>
      </text>
    </comment>
    <comment ref="A30" authorId="0">
      <text>
        <t>Plus $150m higher net interest, $150m lower non-operating income, $50m FX = $0.56/share total headwind.</t>
      </text>
    </comment>
    <comment ref="A31" authorId="0">
      <text>
        <t>CFO: "we estimate the cost dynamic will cause Q1 EPS to be down 5% or more versus prior year" (S9). Actual column = Shortcut 1Q27E implied decline.</t>
      </text>
    </comment>
    <comment ref="A32" authorId="0">
      <text>
        <t>Upper bound only (open-ended); actual column shows the Shortcut 1Q27E estimate, not a reported figure.</t>
      </text>
    </comment>
    <comment ref="G32" authorId="0">
      <text>
        <t>Estimate $1.8995 is $0.009 above the 'down 5% or more' ceiling of $1.8905. This is a deliberate judgment, not a formula error: organic +2.4% vs Street ~2.0% (U.S. takeaway +4.4%, Evercore ~3%, UBS 2.6%; S13, S14). The beat probability was cut for the guided bound (Inputs!B32).</t>
      </text>
    </comment>
  </commentList>
</comments>
</file>

<file path=xl/comments14.xml><?xml version="1.0" encoding="utf-8"?>
<comments xmlns="http://schemas.openxmlformats.org/spreadsheetml/2006/main">
  <authors>
    <author>Shortcut</author>
  </authors>
  <commentList>
    <comment ref="A8" authorId="0">
      <text>
        <t>Raw values preserved exactly as supplied (S2). Columns B-G = CSV rows 1-6 (period_end_date 2025-03-31 … 2026-06-30).</t>
      </text>
    </comment>
    <comment ref="A23" authorId="0">
      <text>
        <t>Starting p = (8 × cohort prior + b) / (8 + n). All six CapIQ pairs are on the normalized (Core) basis and are valid; none excluded. Evidence updates are judgmental and documented in artifacts/prior-calibration.json.</t>
      </text>
    </comment>
    <comment ref="A32" authorId="0">
      <text>
        <t>Management guided 1Q27 EPS "down 5% or more" vs $1.99 (≤ $1.8905); frozen consensus $1.89 sits exactly at that bound (S9).</t>
      </text>
    </comment>
    <comment ref="A33" authorId="0">
      <text>
        <t>Brent ~$102.50 on 2026-09-10 vs $90 planning assumption; U.S. driver shortage; Canada retaliatory tariffs from 2026-09-08 (S11).</t>
      </text>
    </comment>
    <comment ref="A34" authorId="0">
      <text>
        <t>UBS EPS $1.85 below the $1.89 Visible Alpha consensus (S14); Evercore EPS $0.02 above consensus (S13).</t>
      </text>
    </comment>
    <comment ref="A35" authorId="0">
      <text>
        <t>U.S. tracked takeaway +4.4% for 13 weeks to 3 Oct vs 3.3% in 4Q26; UBS organic 2.6%, Evercore ~3% vs Street 2.0% (S13, S14).</t>
      </text>
    </comment>
    <comment ref="A36" authorId="0">
      <text>
        <t>Model Core EPS $1.8995 is only ~$0.01 above consensus, so the forecast distribution is centred close to the threshold.</t>
      </text>
    </comment>
    <comment ref="A42" authorId="0">
      <text>
        <t>Field names and values exactly as supplied (S1). Blank source values are left blank (unavailable), not zero. Target-price fields are not used as model inputs.</t>
      </text>
    </comment>
    <comment ref="A50" authorId="0">
      <text>
        <t>Used: Cover period end (supplied)</t>
      </text>
    </comment>
    <comment ref="A51" authorId="0">
      <text>
        <t>Used: Cover report date (supplied)</t>
      </text>
    </comment>
    <comment ref="A55" authorId="0">
      <text>
        <t>Blank in source (unavailable).</t>
      </text>
    </comment>
    <comment ref="A56" authorId="0">
      <text>
        <t>Used: Cover consensus EPS</t>
      </text>
    </comment>
    <comment ref="A61" authorId="0">
      <text>
        <t>Used: Cover contributor count</t>
      </text>
    </comment>
    <comment ref="A62" authorId="0">
      <text>
        <t>Blank in source (unavailable).</t>
      </text>
    </comment>
    <comment ref="A63" authorId="0">
      <text>
        <t>Blank in source (unavailable).</t>
      </text>
    </comment>
    <comment ref="A64" authorId="0">
      <text>
        <t>Blank in source (unavailable).</t>
      </text>
    </comment>
    <comment ref="A65" authorId="0">
      <text>
        <t>Used: Cover consensus GAAP EPS</t>
      </text>
    </comment>
    <comment ref="A71" authorId="0">
      <text>
        <t>Blank in source (unavailable).</t>
      </text>
    </comment>
    <comment ref="A72" authorId="0">
      <text>
        <t>Blank in source (unavailable).</t>
      </text>
    </comment>
    <comment ref="A73" authorId="0">
      <text>
        <t>Blank in source (unavailable).</t>
      </text>
    </comment>
    <comment ref="A74" authorId="0">
      <text>
        <t>Used: Cover consensus revenue</t>
      </text>
    </comment>
    <comment ref="A80" authorId="0">
      <text>
        <t>Blank in source (unavailable).</t>
      </text>
    </comment>
    <comment ref="A81" authorId="0">
      <text>
        <t>Blank in source (unavailable).</t>
      </text>
    </comment>
    <comment ref="A82" authorId="0">
      <text>
        <t>Blank in source (unavailable).</t>
      </text>
    </comment>
    <comment ref="A87" authorId="0">
      <text>
        <t>Used: Cover consensus core NI</t>
      </text>
    </comment>
    <comment ref="A88" authorId="0">
      <text>
        <t>Used: Cover consensus GAAP NI</t>
      </text>
    </comment>
    <comment ref="A89" authorId="0">
      <text>
        <t>Blank in source (unavailable).</t>
      </text>
    </comment>
    <comment ref="A90" authorId="0">
      <text>
        <t>Blank in source (unavailable).</t>
      </text>
    </comment>
    <comment ref="A92" authorId="0">
      <text>
        <t>Blank in source (unavailable).</t>
      </text>
    </comment>
    <comment ref="A93" authorId="0">
      <text>
        <t>Blank in source (unavailable).</t>
      </text>
    </comment>
    <comment ref="A94" authorId="0">
      <text>
        <t>Blank in source (unavailable).</t>
      </text>
    </comment>
    <comment ref="A97" authorId="0">
      <text>
        <t>Blank in source (unavailable).</t>
      </text>
    </comment>
    <comment ref="A98" authorId="0">
      <text>
        <t>Blank in source (unavailable).</t>
      </text>
    </comment>
  </commentList>
</comments>
</file>

<file path=xl/sharedStrings.xml><?xml version="1.0" encoding="utf-8"?>
<sst xmlns="http://schemas.openxmlformats.org/spreadsheetml/2006/main" count="2390" uniqueCount="754">
  <si>
    <t>The Procter &amp; Gamble Company (NYSE: PG)</t>
  </si>
  <si>
    <t>Cover</t>
  </si>
  <si>
    <t>$ millions, except per share</t>
  </si>
  <si>
    <t>Period</t>
  </si>
  <si>
    <t>1Q27E</t>
  </si>
  <si>
    <t>Source</t>
  </si>
  <si>
    <t>Period end</t>
  </si>
  <si>
    <t>Days in period</t>
  </si>
  <si>
    <t>Company Model — built by Shortcut</t>
  </si>
  <si>
    <t>Company</t>
  </si>
  <si>
    <t>The Procter &amp; Gamble Company</t>
  </si>
  <si>
    <t>Ticker</t>
  </si>
  <si>
    <t>PG</t>
  </si>
  <si>
    <t>Exchange</t>
  </si>
  <si>
    <t>New York Stock Exchange (NYSE: PG)</t>
  </si>
  <si>
    <t>Fiscal year end</t>
  </si>
  <si>
    <t>30 June (target = fiscal Q1 2027, quarter ended 2026-09-30; supplied label 2026-09-30 matches the issuer quarter-end)</t>
  </si>
  <si>
    <t>Currency</t>
  </si>
  <si>
    <t>USD; $ millions, except per share</t>
  </si>
  <si>
    <t>EPS basis</t>
  </si>
  <si>
    <t>Core (non-GAAP) diluted EPS per common share, USD = CapIQ normalized diluted EPS (identity verified on Income Statement)</t>
  </si>
  <si>
    <t>Information cutoff</t>
  </si>
  <si>
    <t>2026-10-18 21:34 UTC</t>
  </si>
  <si>
    <t>Expected report date</t>
  </si>
  <si>
    <t>2026-10-22, before market open (issuer-confirmed 2026-09-24, S10; CapIQ supplied 2026-10-22, unconfirmed)</t>
  </si>
  <si>
    <t>Author</t>
  </si>
  <si>
    <t>Shortcut</t>
  </si>
  <si>
    <t>1Q27E headline ($m, except per share)</t>
  </si>
  <si>
    <t>Shortcut estimate</t>
  </si>
  <si>
    <t>Consensus at cutoff</t>
  </si>
  <si>
    <t>Variance (est − cons)</t>
  </si>
  <si>
    <t>Guide proxy (ceiling)</t>
  </si>
  <si>
    <t>Est − guide proxy</t>
  </si>
  <si>
    <t>Net sales</t>
  </si>
  <si>
    <t>Proxy: 1Q26A net sales × (1 + FY27 all-in growth midpoint)</t>
  </si>
  <si>
    <t>Variance %</t>
  </si>
  <si>
    <t>Net income attrib. — Core (consensus basis)</t>
  </si>
  <si>
    <t>Proxy: EPS ceiling × model diluted shares</t>
  </si>
  <si>
    <t>Diluted EPS — Core (consensus basis)</t>
  </si>
  <si>
    <t>Ceiling: 1Q26 Core $1.99 × (1 − 5%), guided "down 5% or more" (Guidance!E32)</t>
  </si>
  <si>
    <t>Net earnings attributable — GAAP</t>
  </si>
  <si>
    <t>n/a</t>
  </si>
  <si>
    <t>Diluted EPS — GAAP</t>
  </si>
  <si>
    <t>Check: Cover − statements (should be 0)</t>
  </si>
  <si>
    <t>Overall check result (historical ties + 1Q27E identities; Corporate EBT 1Q27E is a residual)</t>
  </si>
  <si>
    <t>P(beat consensus EPS)</t>
  </si>
  <si>
    <t>Confidence</t>
  </si>
  <si>
    <t>Other consensus observed before the cutoff (memo; frozen CapIQ snapshot remains the scoring baseline)</t>
  </si>
  <si>
    <t>Zacks consensus EPS (2026-10-15)</t>
  </si>
  <si>
    <t>S15</t>
  </si>
  <si>
    <t>Zacks consensus revenue (2026-10-15)</t>
  </si>
  <si>
    <t>Visible Alpha EPS via UBS (2026-10-16)</t>
  </si>
  <si>
    <t>S14</t>
  </si>
  <si>
    <t>finanzen.net EPS, 19 est. (2026-10-07)</t>
  </si>
  <si>
    <t>S16</t>
  </si>
  <si>
    <t>finanzen.net revenue, 15 est. (2026-10-07)</t>
  </si>
  <si>
    <t>MarketBeat consensus EPS (2026-10-15)</t>
  </si>
  <si>
    <t>S17</t>
  </si>
  <si>
    <t>MarketBeat consensus revenue (2026-10-15)</t>
  </si>
  <si>
    <t>CapIQ normalized EPS range (low / high)</t>
  </si>
  <si>
    <t>S1</t>
  </si>
  <si>
    <t>Revenue summary</t>
  </si>
  <si>
    <t>1Q26A</t>
  </si>
  <si>
    <t>2Q26A</t>
  </si>
  <si>
    <t>3Q26A</t>
  </si>
  <si>
    <t>4Q26A</t>
  </si>
  <si>
    <t>FY26A</t>
  </si>
  <si>
    <t>Net sales by reportable segment</t>
  </si>
  <si>
    <t>Beauty</t>
  </si>
  <si>
    <t>Segment tab</t>
  </si>
  <si>
    <t>% Y/Y</t>
  </si>
  <si>
    <t>% Q/Q</t>
  </si>
  <si>
    <t>$ change Q/Q</t>
  </si>
  <si>
    <t>% of total net sales</t>
  </si>
  <si>
    <t>Grooming</t>
  </si>
  <si>
    <t>Health Care</t>
  </si>
  <si>
    <t>Fabric &amp; Home Care</t>
  </si>
  <si>
    <t>Baby, Feminine &amp; Family Care</t>
  </si>
  <si>
    <t>Corporate</t>
  </si>
  <si>
    <t>S3-S6; 1Q27E assumption</t>
  </si>
  <si>
    <t>Issuer rounding (to reported sales)</t>
  </si>
  <si>
    <t>Total net sales</t>
  </si>
  <si>
    <t>Prior-year net sales (memo)</t>
  </si>
  <si>
    <t>S3, S4, S6; S2 for 3Q25/4Q25</t>
  </si>
  <si>
    <t>Issuer rounding tolerance ($m)</t>
  </si>
  <si>
    <t>Net sales as reported (memo)</t>
  </si>
  <si>
    <t>S3-S6</t>
  </si>
  <si>
    <t>Check: segments + Corp vs reported (1Q27E: identity vs model total, not a test)</t>
  </si>
  <si>
    <t>Check: CapIQ revenue actual − total</t>
  </si>
  <si>
    <t>S2</t>
  </si>
  <si>
    <t>Total company net sales drivers (% change vs year-ago period)</t>
  </si>
  <si>
    <t>Volume incl. A&amp;D</t>
  </si>
  <si>
    <t>S3-S7</t>
  </si>
  <si>
    <t>Δ vs prior quarter (bp)</t>
  </si>
  <si>
    <t>Δ vs year-ago (bp)</t>
  </si>
  <si>
    <t>Organic volume (excl. A&amp;D)</t>
  </si>
  <si>
    <t>Price</t>
  </si>
  <si>
    <t>Mix</t>
  </si>
  <si>
    <t>Foreign exchange</t>
  </si>
  <si>
    <t>Other (A&amp;D mix, Corp., rounding)</t>
  </si>
  <si>
    <t>Net sales growth (reported)</t>
  </si>
  <si>
    <t>Organic sales growth (reported)</t>
  </si>
  <si>
    <t>Total company growth decomposition (organic sales reconciliation)</t>
  </si>
  <si>
    <t>Organic sales growth</t>
  </si>
  <si>
    <t>M&amp;A / scope (incl. rounding)</t>
  </si>
  <si>
    <t>FX impact</t>
  </si>
  <si>
    <t>Total net sales growth Y/Y</t>
  </si>
  <si>
    <t>Organic = (1+Y/Y)/((1+M&amp;A)(1+FX))−1</t>
  </si>
  <si>
    <t>Implied − reported organic (bp)</t>
  </si>
  <si>
    <t>Earnings before income taxes by segment (reconciliation to the Income Statement)</t>
  </si>
  <si>
    <t>Corporate (1Q27E = residual plug: IS EBT − segment EBT)</t>
  </si>
  <si>
    <t>Total earnings before income taxes</t>
  </si>
  <si>
    <t>Check: total − IS EBT (≤ tolerance; 1Q27E identity because G90 is the residual)</t>
  </si>
  <si>
    <t>Memo: 1Q27E Corporate residual − FY26A quarterly average (F90/4)</t>
  </si>
  <si>
    <t>Prior-year total company drivers (memo, FY25 releases; 1Q27E column = 1Q26A by formula)</t>
  </si>
  <si>
    <t>Volume incl. A&amp;D — prior year</t>
  </si>
  <si>
    <t>S24-S27</t>
  </si>
  <si>
    <t>Organic volume — prior year</t>
  </si>
  <si>
    <t>Price — prior year</t>
  </si>
  <si>
    <t>Mix — prior year</t>
  </si>
  <si>
    <t>Foreign exchange — prior year</t>
  </si>
  <si>
    <t>Other — prior year</t>
  </si>
  <si>
    <t>Net sales growth — prior year</t>
  </si>
  <si>
    <t>Organic sales growth — prior year</t>
  </si>
  <si>
    <t>Segment - Beauty</t>
  </si>
  <si>
    <t>Net sales drivers (% change vs year-ago period, as reported)</t>
  </si>
  <si>
    <t>S3-S7; 1Q27E assumption</t>
  </si>
  <si>
    <t>A&amp;D volume impact</t>
  </si>
  <si>
    <t>S3-S7; S20</t>
  </si>
  <si>
    <t>Other (A&amp;D mix &amp; rounding)</t>
  </si>
  <si>
    <t>Growth decomposition (organic sales reconciliation)</t>
  </si>
  <si>
    <t>FX impact in organic recon (reported)</t>
  </si>
  <si>
    <t>A&amp;D/other in organic recon (reported)</t>
  </si>
  <si>
    <t>Organic growth</t>
  </si>
  <si>
    <t>FX impact (= − reconciliation FX)</t>
  </si>
  <si>
    <t>S3-S6; 1Q27E = 1Q26A × (1 + net sales growth)</t>
  </si>
  <si>
    <t>% of total company net sales</t>
  </si>
  <si>
    <t>Sub-category split (annual disclosure only, FY26 10-K % of total company net sales)</t>
  </si>
  <si>
    <t>Hair Care — % of company sales</t>
  </si>
  <si>
    <t>S7 (10-K R45)</t>
  </si>
  <si>
    <t>Hair Care — implied FY sales</t>
  </si>
  <si>
    <t>Personal Care — % of company sales</t>
  </si>
  <si>
    <t>Personal Care — implied FY sales</t>
  </si>
  <si>
    <t>Skin Care — % of company sales</t>
  </si>
  <si>
    <t>Skin Care — implied FY sales</t>
  </si>
  <si>
    <t>Sub-categories subtotal (implied)</t>
  </si>
  <si>
    <t>Difference vs segment (10-K rounding)</t>
  </si>
  <si>
    <t>Segment earnings</t>
  </si>
  <si>
    <t>Earnings before income taxes</t>
  </si>
  <si>
    <t>S3-S6; 1Q27E = net sales × EBT margin</t>
  </si>
  <si>
    <t>EBT margin</t>
  </si>
  <si>
    <t>Δ margin vs prior quarter (bp)</t>
  </si>
  <si>
    <t>Δ margin vs year-ago (bp)</t>
  </si>
  <si>
    <t>Net earnings</t>
  </si>
  <si>
    <t>Net earnings margin</t>
  </si>
  <si>
    <t>Implied segment tax rate</t>
  </si>
  <si>
    <t>Δ rate vs prior quarter (bp)</t>
  </si>
  <si>
    <t>Δ rate vs year-ago (bp)</t>
  </si>
  <si>
    <t>Prior-year comparatives (memo, as reported in FY25 releases; 1Q27E column = 1Q26A by formula)</t>
  </si>
  <si>
    <t>Net sales — prior year</t>
  </si>
  <si>
    <t>S24-S27 (FY25 releases)</t>
  </si>
  <si>
    <t>EBT — prior year</t>
  </si>
  <si>
    <t>Net earnings — prior year</t>
  </si>
  <si>
    <t>Segment - Grooming</t>
  </si>
  <si>
    <t>Grooming — % of company sales</t>
  </si>
  <si>
    <t>Grooming — implied FY sales</t>
  </si>
  <si>
    <t>Segment - Health Care</t>
  </si>
  <si>
    <t>Oral Care — % of company sales</t>
  </si>
  <si>
    <t>Oral Care — implied FY sales</t>
  </si>
  <si>
    <t>Personal Health — % of company sales</t>
  </si>
  <si>
    <t>Personal Health — implied FY sales</t>
  </si>
  <si>
    <t>Segment - Fabric &amp; Home Care</t>
  </si>
  <si>
    <t>Fabric Care — % of company sales</t>
  </si>
  <si>
    <t>Fabric Care — implied FY sales</t>
  </si>
  <si>
    <t>Home Care — % of company sales</t>
  </si>
  <si>
    <t>Home Care — implied FY sales</t>
  </si>
  <si>
    <t>Segment - Baby, Feminine &amp; Family Care</t>
  </si>
  <si>
    <t>Baby Care — % of company sales</t>
  </si>
  <si>
    <t>Baby Care — implied FY sales</t>
  </si>
  <si>
    <t>Feminine Care — % of company sales</t>
  </si>
  <si>
    <t>Feminine Care — implied FY sales</t>
  </si>
  <si>
    <t>Family Care — % of company sales</t>
  </si>
  <si>
    <t>Family Care — implied FY sales</t>
  </si>
  <si>
    <t>Income Statement</t>
  </si>
  <si>
    <t>Consolidated statement of earnings (GAAP, as reported)</t>
  </si>
  <si>
    <t>Cost of products sold</t>
  </si>
  <si>
    <t>Gross profit</t>
  </si>
  <si>
    <t>Gross margin</t>
  </si>
  <si>
    <t>SG&amp;A expense</t>
  </si>
  <si>
    <t>SG&amp;A % of net sales</t>
  </si>
  <si>
    <t>Operating income</t>
  </si>
  <si>
    <t>Operating margin</t>
  </si>
  <si>
    <t>Interest expense</t>
  </si>
  <si>
    <t>Interest income</t>
  </si>
  <si>
    <t>Other non-operating income, net</t>
  </si>
  <si>
    <t>Issuer rounding (to reported EBT)</t>
  </si>
  <si>
    <t>Pre-tax margin</t>
  </si>
  <si>
    <t>Income taxes</t>
  </si>
  <si>
    <t>Effective tax rate</t>
  </si>
  <si>
    <t>S5/S6 report net earnings 3Q26 3,951 and FY26 16,144 vs EBT − taxes 3,950 / 16,143 ($1 issuer rounding); 3Q26 NI attributable 3,932 ties</t>
  </si>
  <si>
    <t>Less: noncontrolling interests</t>
  </si>
  <si>
    <t>Net earnings attributable to P&amp;G</t>
  </si>
  <si>
    <t>Net margin (attributable)</t>
  </si>
  <si>
    <t>Less: preferred dividends (basic EPS)</t>
  </si>
  <si>
    <t>Share Count</t>
  </si>
  <si>
    <t>Basic weighted avg. shares (m)</t>
  </si>
  <si>
    <t>Diluted weighted avg. shares (m)</t>
  </si>
  <si>
    <t>Basic EPS</t>
  </si>
  <si>
    <t>Diluted EPS (GAAP)</t>
  </si>
  <si>
    <t>Diluted EPS as reported (memo)</t>
  </si>
  <si>
    <t>Check: EPS vs reported (1Q27E: NI ÷ shares identity, not a test)</t>
  </si>
  <si>
    <t>Check: GAAP EPS − CapIQ GAAP actual</t>
  </si>
  <si>
    <t>Dividends per common share</t>
  </si>
  <si>
    <t>Memo: net earnings − Cash Flow Statement (issuer $1 rounding; not in overall check)</t>
  </si>
  <si>
    <t>GAAP to Core (non-GAAP) bridge — Core EPS is the consensus (CapIQ normalized) basis</t>
  </si>
  <si>
    <t>Restructuring in COGS</t>
  </si>
  <si>
    <t>Restructuring in SG&amp;A</t>
  </si>
  <si>
    <t>Restructuring in operating income</t>
  </si>
  <si>
    <t>Restructuring in other non-operating</t>
  </si>
  <si>
    <t>Glad JV dissolution gain</t>
  </si>
  <si>
    <t>S5</t>
  </si>
  <si>
    <t>Total pre-tax adjustments</t>
  </si>
  <si>
    <t>Tax rate on restructuring (1Q27E)</t>
  </si>
  <si>
    <t>Tax effect of restructuring (issuer sign; + adds to Core NI)</t>
  </si>
  <si>
    <t>S3-S6 issuer restructuring column: income taxes (23) in 3Q26 (S5) and (53) in 4Q26 (S6) reduce Core taxes, so + to Core NI</t>
  </si>
  <si>
    <t>Tax effect of Glad JV gain</t>
  </si>
  <si>
    <t>NCI effect of adjustments</t>
  </si>
  <si>
    <t>S4-S6 issuer recon: Core NCI +5 in 3Q26 (S5) → −5; (19) in 4Q26 (S6) → +19</t>
  </si>
  <si>
    <t>Total adjustments to NI attributable</t>
  </si>
  <si>
    <t>Core NI attributable to P&amp;G</t>
  </si>
  <si>
    <t>Core EPS (diluted, consensus basis)</t>
  </si>
  <si>
    <t>Core EPS as reported (memo)</t>
  </si>
  <si>
    <t>Check: Core EPS − reported</t>
  </si>
  <si>
    <t>Check: Core EPS − CapIQ normalized</t>
  </si>
  <si>
    <t>Core (non-GAAP) P&amp;L and margin analysis</t>
  </si>
  <si>
    <t>Core gross profit</t>
  </si>
  <si>
    <t>Core gross margin</t>
  </si>
  <si>
    <t>Core SG&amp;A</t>
  </si>
  <si>
    <t>Core SG&amp;A % of net sales</t>
  </si>
  <si>
    <t>Core operating income</t>
  </si>
  <si>
    <t>Core operating margin</t>
  </si>
  <si>
    <t>Core other non-operating income</t>
  </si>
  <si>
    <t>1Q27E assumption</t>
  </si>
  <si>
    <t>Core earnings before income taxes</t>
  </si>
  <si>
    <t>Core income taxes</t>
  </si>
  <si>
    <t>Core effective tax rate</t>
  </si>
  <si>
    <t>S6 guidance ~20%</t>
  </si>
  <si>
    <t>Core net earnings</t>
  </si>
  <si>
    <t>Core noncontrolling interests</t>
  </si>
  <si>
    <t>Check: core NE − NCI − core NI</t>
  </si>
  <si>
    <t>Prior-year comparatives (memo, as reported; 1Q27E column = 1Q26A by formula)</t>
  </si>
  <si>
    <t>EBT as reported (memo)</t>
  </si>
  <si>
    <t>Gross profit — prior year</t>
  </si>
  <si>
    <t>S3-S6 (prior-year columns); S2 for 3Q25/4Q25 EPS</t>
  </si>
  <si>
    <t>SG&amp;A — prior year</t>
  </si>
  <si>
    <t>Operating income — prior year</t>
  </si>
  <si>
    <t>Income taxes — prior year</t>
  </si>
  <si>
    <t>NI attributable — prior year</t>
  </si>
  <si>
    <t>Diluted EPS — prior year</t>
  </si>
  <si>
    <t>Core EPS — prior year</t>
  </si>
  <si>
    <t>Core gross margin — prior year (rounded)</t>
  </si>
  <si>
    <t>Core SG&amp;A % — prior year (rounded)</t>
  </si>
  <si>
    <t>Core operating margin — prior year (rounded)</t>
  </si>
  <si>
    <t>Core NI attributable — prior year</t>
  </si>
  <si>
    <t>S3, S6 (prior-year Core reconciliations)</t>
  </si>
  <si>
    <t>Core operating income — prior year</t>
  </si>
  <si>
    <t>Core income taxes — prior year</t>
  </si>
  <si>
    <t>Core EBT — prior year</t>
  </si>
  <si>
    <t>S3, S6</t>
  </si>
  <si>
    <t>Balance Sheet</t>
  </si>
  <si>
    <t>Condensed consolidated balance sheet (as reported)</t>
  </si>
  <si>
    <t>Cash and cash equivalents</t>
  </si>
  <si>
    <t>Accounts receivable</t>
  </si>
  <si>
    <t>Inventories</t>
  </si>
  <si>
    <t>Prepaid &amp; other current assets</t>
  </si>
  <si>
    <t>Total current assets</t>
  </si>
  <si>
    <t>Property, plant and equipment, net</t>
  </si>
  <si>
    <t>S3-S6; 1Q27E rolled forward net of total D&amp;A (incl. intangible amortization; depreciation/amortization split not established, intangibles held flat)</t>
  </si>
  <si>
    <t>Goodwill</t>
  </si>
  <si>
    <t>Trademarks &amp; other intangibles, net</t>
  </si>
  <si>
    <t>Other noncurrent assets</t>
  </si>
  <si>
    <t>Issuer rounding (to reported assets)</t>
  </si>
  <si>
    <t>Total assets</t>
  </si>
  <si>
    <t>Accounts payable</t>
  </si>
  <si>
    <t>Accrued and other liabilities</t>
  </si>
  <si>
    <t>Debt due within one year</t>
  </si>
  <si>
    <t>Total current liabilities</t>
  </si>
  <si>
    <t>Long-term debt</t>
  </si>
  <si>
    <t>Deferred income taxes</t>
  </si>
  <si>
    <t>Other noncurrent liabilities</t>
  </si>
  <si>
    <t>Issuer rounding (to reported liab.)</t>
  </si>
  <si>
    <t>Total liabilities</t>
  </si>
  <si>
    <t>Total shareholders' equity (incl. NCI)</t>
  </si>
  <si>
    <t>Total liabilities &amp; equity</t>
  </si>
  <si>
    <t>Check: assets − liabilities − equity</t>
  </si>
  <si>
    <t>Reported total assets (memo)</t>
  </si>
  <si>
    <t>Reported total liabilities (memo)</t>
  </si>
  <si>
    <t>Balance sheet analysis</t>
  </si>
  <si>
    <t>Total debt</t>
  </si>
  <si>
    <t>Net debt (total debt − cash)</t>
  </si>
  <si>
    <t>Net debt / annualised core EBIT (x)</t>
  </si>
  <si>
    <t>Days sales outstanding</t>
  </si>
  <si>
    <t>Δ vs prior quarter (days)</t>
  </si>
  <si>
    <t>Δ vs year-ago (days)</t>
  </si>
  <si>
    <t>Days inventory on hand</t>
  </si>
  <si>
    <t>Days payable outstanding</t>
  </si>
  <si>
    <t>Receivables — prior year (memo)</t>
  </si>
  <si>
    <t>Inventories — prior year (memo)</t>
  </si>
  <si>
    <t>Accounts payable — prior year (memo)</t>
  </si>
  <si>
    <t>Cash Flow Statement</t>
  </si>
  <si>
    <t>Consolidated statement of cash flows (quarterly = differences of reported fiscal year-to-date figures)</t>
  </si>
  <si>
    <t>Operating activities</t>
  </si>
  <si>
    <t>Depreciation and amortization</t>
  </si>
  <si>
    <t>Share-based compensation</t>
  </si>
  <si>
    <t>(Gain)/loss on sale of assets</t>
  </si>
  <si>
    <t>Change in accounts receivable</t>
  </si>
  <si>
    <t>Change in inventories</t>
  </si>
  <si>
    <t>Change in accounts payable</t>
  </si>
  <si>
    <t>Other operating</t>
  </si>
  <si>
    <t>Issuer rounding (to subtotal)</t>
  </si>
  <si>
    <t>Total operating activities</t>
  </si>
  <si>
    <t>Investing activities</t>
  </si>
  <si>
    <t>Capital expenditures</t>
  </si>
  <si>
    <t>Proceeds from asset sales</t>
  </si>
  <si>
    <t>Acquisitions, net of cash</t>
  </si>
  <si>
    <t>Other investing activity</t>
  </si>
  <si>
    <t>Total investing activities</t>
  </si>
  <si>
    <t>Financing activities</t>
  </si>
  <si>
    <t>Dividends to shareholders</t>
  </si>
  <si>
    <t>ST debt additions (&gt;3m)</t>
  </si>
  <si>
    <t>ST debt reductions (&gt;3m)</t>
  </si>
  <si>
    <t>Net change, other ST debt</t>
  </si>
  <si>
    <t>Additions to long-term debt</t>
  </si>
  <si>
    <t>Reductions of long-term debt</t>
  </si>
  <si>
    <t>Treasury stock purchases</t>
  </si>
  <si>
    <t>Stock options and other</t>
  </si>
  <si>
    <t>Total financing activities</t>
  </si>
  <si>
    <t>Effect of exchange rate changes on cash</t>
  </si>
  <si>
    <t>Issuer rounding (to reported Δ cash)</t>
  </si>
  <si>
    <t>Change in cash &amp; restricted cash</t>
  </si>
  <si>
    <t>Cash, beginning of period</t>
  </si>
  <si>
    <t>Cash, end of period</t>
  </si>
  <si>
    <t>Check: ending cash − BS cash</t>
  </si>
  <si>
    <t>Free cash flow (issuer definitions)</t>
  </si>
  <si>
    <t>Free cash flow (OCF − capex)</t>
  </si>
  <si>
    <t>Add back: 2017 U.S. Tax Act payments</t>
  </si>
  <si>
    <t>Adjusted free cash flow (P&amp;G def.)</t>
  </si>
  <si>
    <t>Net earnings excl. Glad JV gain</t>
  </si>
  <si>
    <t>Adjusted FCF productivity</t>
  </si>
  <si>
    <t>Capex % of net sales</t>
  </si>
  <si>
    <t>S6 guidance 4.5-5.5%</t>
  </si>
  <si>
    <t>Prior-year OCF (memo)</t>
  </si>
  <si>
    <t>Prior-year capex (memo)</t>
  </si>
  <si>
    <t>Fiscal year-to-date as reported (columns = YTD through the period end: 3M, 6M, 9M, 12M)</t>
  </si>
  <si>
    <t>Net earnings (YTD)</t>
  </si>
  <si>
    <t>Depreciation and amortization (YTD)</t>
  </si>
  <si>
    <t>Share-based compensation (YTD)</t>
  </si>
  <si>
    <t>Deferred income taxes (YTD)</t>
  </si>
  <si>
    <t>(Gain)/loss on sale of assets (YTD)</t>
  </si>
  <si>
    <t>Change in accounts receivable (YTD)</t>
  </si>
  <si>
    <t>Change in inventories (YTD)</t>
  </si>
  <si>
    <t>Change in accounts payable (YTD)</t>
  </si>
  <si>
    <t>Other operating (YTD)</t>
  </si>
  <si>
    <t>Capital expenditures (YTD)</t>
  </si>
  <si>
    <t>Proceeds from asset sales (YTD)</t>
  </si>
  <si>
    <t>Acquisitions, net of cash (YTD)</t>
  </si>
  <si>
    <t>Other investing activity (YTD)</t>
  </si>
  <si>
    <t>Dividends to shareholders (YTD)</t>
  </si>
  <si>
    <t>ST debt additions (&gt;3m) (YTD)</t>
  </si>
  <si>
    <t>ST debt reductions (&gt;3m) (YTD)</t>
  </si>
  <si>
    <t>Net change, other ST debt (YTD)</t>
  </si>
  <si>
    <t>Additions to long-term debt (YTD)</t>
  </si>
  <si>
    <t>Reductions of long-term debt (YTD)</t>
  </si>
  <si>
    <t>Treasury stock purchases (YTD)</t>
  </si>
  <si>
    <t>Stock options and other (YTD)</t>
  </si>
  <si>
    <t>Total operating activities (YTD)</t>
  </si>
  <si>
    <t>Total investing activities (YTD)</t>
  </si>
  <si>
    <t>Total financing activities (YTD)</t>
  </si>
  <si>
    <t>Effect of exchange rate changes (YTD)</t>
  </si>
  <si>
    <t>Cash, beginning of fiscal year (YTD)</t>
  </si>
  <si>
    <t>Cash, end of period (YTD)</t>
  </si>
  <si>
    <t>2017 U.S. Tax Act payments (YTD)</t>
  </si>
  <si>
    <t>Prior-year OCF (YTD, FY25)</t>
  </si>
  <si>
    <t>S3-S6 (prior-year columns)</t>
  </si>
  <si>
    <t>Prior-year capex (YTD, FY25)</t>
  </si>
  <si>
    <t>Geo</t>
  </si>
  <si>
    <t>Net sales by geography (annual disclosure only — 10-K segment note)</t>
  </si>
  <si>
    <t>United States</t>
  </si>
  <si>
    <t>S7 (10-K R46)</t>
  </si>
  <si>
    <t>% of total</t>
  </si>
  <si>
    <t>International</t>
  </si>
  <si>
    <t>Total net sales (geographic)</t>
  </si>
  <si>
    <t>Difference vs consolidated net sales</t>
  </si>
  <si>
    <t>Rounding tolerance ($m)</t>
  </si>
  <si>
    <t>S7</t>
  </si>
  <si>
    <t>Check: geo total vs net sales</t>
  </si>
  <si>
    <t>United States — prior year (memo)</t>
  </si>
  <si>
    <t>International — prior year (memo)</t>
  </si>
  <si>
    <t>Long-lived assets by geography (PP&amp;E, net)</t>
  </si>
  <si>
    <t>Total PP&amp;E (geographic)</t>
  </si>
  <si>
    <t>Difference vs BS PP&amp;E (rounding)</t>
  </si>
  <si>
    <t>Regional growth indicators disclosed for FY26 (earnings call / 10-K)</t>
  </si>
  <si>
    <t>Greater China organic sales growth</t>
  </si>
  <si>
    <t>S9</t>
  </si>
  <si>
    <t>Latin America organic sales growth</t>
  </si>
  <si>
    <t>Enterprise markets organic sales growth</t>
  </si>
  <si>
    <t>E-commerce net sales growth</t>
  </si>
  <si>
    <t>E-commerce % of net sales</t>
  </si>
  <si>
    <t>Top-5 international markets % of sales</t>
  </si>
  <si>
    <t>Weighted average shares (millions)</t>
  </si>
  <si>
    <t>Basic weighted average shares</t>
  </si>
  <si>
    <t>S7, S8; 4Q26 = 4 × FY − (1Q–3Q): equal-quarter-weight approximation (day-weighted ≈ 0.2m lower); kept as in original forecast</t>
  </si>
  <si>
    <t>Stock options &amp; unvested awards</t>
  </si>
  <si>
    <t>S7, S8</t>
  </si>
  <si>
    <t>Convertible preferred (if-converted)</t>
  </si>
  <si>
    <t>Total dilutive securities</t>
  </si>
  <si>
    <t>4Q26 = reported diluted − derived basic (residual; inherits equal-weight approximation, not evidence of lower dilution)</t>
  </si>
  <si>
    <t>Diluted weighted avg. shares (model)</t>
  </si>
  <si>
    <t>Diluted shares as reported (memo)</t>
  </si>
  <si>
    <t>Check: model − reported diluted</t>
  </si>
  <si>
    <t>Diluted shares — prior year (memo)</t>
  </si>
  <si>
    <t>Preferred dividends ($m)</t>
  </si>
  <si>
    <t>Preferred dividends</t>
  </si>
  <si>
    <t>S7, S8; 1Q27E assumption</t>
  </si>
  <si>
    <t>Preferred dividends FY (memo)</t>
  </si>
  <si>
    <t>Buybacks and issuance</t>
  </si>
  <si>
    <t>Treasury stock purchases ($m)</t>
  </si>
  <si>
    <t>4Q26 buyback shares — May (m)</t>
  </si>
  <si>
    <t>S7 (10-K Item 5)</t>
  </si>
  <si>
    <t>4Q26 buyback shares — June (m)</t>
  </si>
  <si>
    <t>4Q26 buyback shares — total (m)</t>
  </si>
  <si>
    <t>4Q26 average price paid per share</t>
  </si>
  <si>
    <t>Implied 4Q26 buyback value ($m)</t>
  </si>
  <si>
    <t>Weight in 4Q26 — May buys</t>
  </si>
  <si>
    <t>Weight in 4Q26 — June buys</t>
  </si>
  <si>
    <t>4Q26 buys already in 4Q26 avg. (m)</t>
  </si>
  <si>
    <t>Carry-over reduction into 1Q27 (m)</t>
  </si>
  <si>
    <t>1Q27E avg. repurchase price</t>
  </si>
  <si>
    <t>Assumption</t>
  </si>
  <si>
    <t>1Q27E shares repurchased (m)</t>
  </si>
  <si>
    <t>1Q27E weighting of in-qtr buys</t>
  </si>
  <si>
    <t>Assumption (ratable buying)</t>
  </si>
  <si>
    <t>1Q27E in-quarter reduction (m)</t>
  </si>
  <si>
    <t>1Q27E net issuance, equity comp (m)</t>
  </si>
  <si>
    <t>Diluted shares behind 1Q27E EPS</t>
  </si>
  <si>
    <t>EPS impact, 5m fewer shares (cents)</t>
  </si>
  <si>
    <t>Guidance</t>
  </si>
  <si>
    <t>Target period (context)</t>
  </si>
  <si>
    <t>Target period end</t>
  </si>
  <si>
    <t>Days in target period</t>
  </si>
  <si>
    <t>Company guidance log (one row per guidance item)</t>
  </si>
  <si>
    <t>Metric</t>
  </si>
  <si>
    <t>Date given</t>
  </si>
  <si>
    <t>Low</t>
  </si>
  <si>
    <t>High</t>
  </si>
  <si>
    <t>Midpoint</t>
  </si>
  <si>
    <t>Actual / est.</t>
  </si>
  <si>
    <t>Result vs range</t>
  </si>
  <si>
    <t>FY26 organic sales growth</t>
  </si>
  <si>
    <t>2025-07-29</t>
  </si>
  <si>
    <t>FY26</t>
  </si>
  <si>
    <t>S27</t>
  </si>
  <si>
    <t>FY26 all-in net sales growth</t>
  </si>
  <si>
    <t>S3</t>
  </si>
  <si>
    <t>FY26 Core EPS ($)</t>
  </si>
  <si>
    <t>FY26 diluted EPS growth (initial)</t>
  </si>
  <si>
    <t>FY26 diluted EPS growth (revised)</t>
  </si>
  <si>
    <t>2026-01-22</t>
  </si>
  <si>
    <t>S4</t>
  </si>
  <si>
    <t>FY26 Core effective tax rate</t>
  </si>
  <si>
    <t>FY26 capital spending % of net sales</t>
  </si>
  <si>
    <t>FY26 adjusted FCF productivity</t>
  </si>
  <si>
    <t>FY26 dividends paid ($m, ~$10bn)</t>
  </si>
  <si>
    <t>FY26 share repurchases ($m, ~$5bn)</t>
  </si>
  <si>
    <t>FY27 organic sales growth</t>
  </si>
  <si>
    <t>2026-07-29</t>
  </si>
  <si>
    <t>FY27</t>
  </si>
  <si>
    <t>S6</t>
  </si>
  <si>
    <t>FY27 all-in net sales growth</t>
  </si>
  <si>
    <t>FY27 Core EPS ($)</t>
  </si>
  <si>
    <t>FY27 diluted EPS growth</t>
  </si>
  <si>
    <t>FY27 non-core restructuring ($/share)</t>
  </si>
  <si>
    <t>FY27 Core effective tax rate (~20%)</t>
  </si>
  <si>
    <t>FY27 capital spending % of net sales</t>
  </si>
  <si>
    <t>FY27 adjusted FCF productivity</t>
  </si>
  <si>
    <t>FY27 dividends ($m, ~$10bn)</t>
  </si>
  <si>
    <t>FY27 share repurchases ($m, ~$5bn)</t>
  </si>
  <si>
    <t>FY27 after-tax commodity/transport headwind ($m)</t>
  </si>
  <si>
    <t>1Q27 Core EPS decline vs 1Q26 (guided: at least)</t>
  </si>
  <si>
    <t>1Q27</t>
  </si>
  <si>
    <t>1Q27 Core EPS ($; "down 5% or more" vs 1Q26 $1.99) — E32 is a ceiling, not a point guide</t>
  </si>
  <si>
    <t>Sources</t>
  </si>
  <si>
    <t>ID</t>
  </si>
  <si>
    <t>Published</t>
  </si>
  <si>
    <t>Publisher</t>
  </si>
  <si>
    <t>URL or file</t>
  </si>
  <si>
    <t>What it feeds</t>
  </si>
  <si>
    <t>2026-10-18</t>
  </si>
  <si>
    <t>S&amp;P Capital IQ (supplied file)</t>
  </si>
  <si>
    <t>PG_consensus.json</t>
  </si>
  <si>
    <t>Frozen consensus (EPS 1.89, revenue 22,823.47, NI, GAAP EPS, contributor counts) → Inputs, Cover</t>
  </si>
  <si>
    <t>PG_history.csv</t>
  </si>
  <si>
    <t>Six quarters of normalized/GAAP EPS and revenue actual vs consensus → Inputs, checks, beat calibration</t>
  </si>
  <si>
    <t>2025-10-24</t>
  </si>
  <si>
    <t>P&amp;G / SEC 8-K Ex. 99.1</t>
  </si>
  <si>
    <t>https://www.sec.gov/Archives/edgar/data/80424/000008042425000240/fy2526q1jas8-kexhibit991.htm</t>
  </si>
  <si>
    <t>1Q26 income statement, segments, drivers, cash flow, balance sheet, Core bridge, FY26 guidance</t>
  </si>
  <si>
    <t>https://www.sec.gov/Archives/edgar/data/80424/000008042426000006/fy2526q2ond8-kexhibit991.htm</t>
  </si>
  <si>
    <t>2Q26 statements, segments, Core bridge, revised FY26 guidance</t>
  </si>
  <si>
    <t>2026-04-24</t>
  </si>
  <si>
    <t>https://www.sec.gov/Archives/edgar/data/80424/000008042426000056/fy2526q3jfm8-kexhibit991.htm</t>
  </si>
  <si>
    <t>3Q26 statements, segments, Core bridge incl. Glad JV gain</t>
  </si>
  <si>
    <t>https://www.sec.gov/Archives/edgar/data/80424/000008042426000093/fy2526q4amj8-kexhibit991.htm</t>
  </si>
  <si>
    <t>4Q26/FY26 statements, segments, Core bridge, FY27 guidance</t>
  </si>
  <si>
    <t>2026-08-04</t>
  </si>
  <si>
    <t>P&amp;G Form 10-K FY2026 (SEC)</t>
  </si>
  <si>
    <t>https://www.sec.gov/Archives/edgar/data/80424/000008042426000103/pg-20260630.htm (R45, R46, R65 XBRL pages)</t>
  </si>
  <si>
    <t>Sub-category % of sales, U.S./International sales &amp; PP&amp;E, EPS note shares, Item 5 buybacks</t>
  </si>
  <si>
    <t>S8</t>
  </si>
  <si>
    <t>SEC XBRL company-concept API (10-Q facts filed 2025-10-24, 2026-01-23, 2026-04-24)</t>
  </si>
  <si>
    <t>https://data.sec.gov/api/xbrl/companyconcept/CIK0000080424/us-gaap/WeightedAverageNumberOfSharesOutstandingBasic.json</t>
  </si>
  <si>
    <t>Quarterly basic shares, preferred dividends, dilutive options and convertible preferred</t>
  </si>
  <si>
    <t>2026-08-07</t>
  </si>
  <si>
    <t>The Motley Fool (call held 2026-07-29)</t>
  </si>
  <si>
    <t>https://www.fool.com/earnings/call-transcripts/2026/08/07/procter-gamble-pg-q4-2026-earnings-call-transcript/</t>
  </si>
  <si>
    <t>Q1 EPS "down 5% or more", $90 Brent, cost phasing, regional growth</t>
  </si>
  <si>
    <t>S10</t>
  </si>
  <si>
    <t>2026-09-24</t>
  </si>
  <si>
    <t>P&amp;G Investor Relations</t>
  </si>
  <si>
    <t>https://www.pginvestor.com/news/news-details/2026/PG-to-Webcast-Discussion-of-First-Quarter-2627-Earnings-Results-on-October-22/default.aspx</t>
  </si>
  <si>
    <t>Issuer-confirmed report date 2026-10-22, 8:30 a.m. ET</t>
  </si>
  <si>
    <t>S11</t>
  </si>
  <si>
    <t>TIKR (Barclays conference recap, 2026-09-10)</t>
  </si>
  <si>
    <t>https://www.tikr.com/blog/pgs-cfo-would-trade-3-points-of-gross-margin-for-3-points-of-growth-heres-where-the-stock-could-go</t>
  </si>
  <si>
    <t>Brent $102.50 vs $90 plan; driver shortage; Canada tariffs; guidance "right range"</t>
  </si>
  <si>
    <t>S12</t>
  </si>
  <si>
    <t>2026-09-10</t>
  </si>
  <si>
    <t>MarketBeat (Barclays conference recap)</t>
  </si>
  <si>
    <t>https://www.marketbeat.com/instant-alerts/event-procter-gamble-targets-growth-rebound-with-ai-supply-chain-overhaul-2026-09-10/</t>
  </si>
  <si>
    <t>U.S. sell-in/sell-out gap, China and enterprise-market growth</t>
  </si>
  <si>
    <t>S13</t>
  </si>
  <si>
    <t>2026-10-06</t>
  </si>
  <si>
    <t>Investing.com (Evercore ISI upgrade)</t>
  </si>
  <si>
    <t>https://www.investing.com/news/analyst-ratings/evercore-isi-upgrades-procter--gamble-stock-rating-on-sales-outlook-93CH-4933955</t>
  </si>
  <si>
    <t>Evercore 1Q organic ~3% vs 2% consensus; EPS $0.02 above consensus</t>
  </si>
  <si>
    <t>2026-10-16</t>
  </si>
  <si>
    <t>Proactive Investors (UBS preview)</t>
  </si>
  <si>
    <t>https://www.proactiveinvestors.com/companies/news/1100257/procter-gamble-s-improving-us-sales-trends-set-up-a-favorable-first-quarter-report-ubs-says-1100257.html</t>
  </si>
  <si>
    <t>UBS EPS $1.85 vs Visible Alpha $1.89; organic 2.6% vs Street 2.0%; U.S. takeaway +4.4%</t>
  </si>
  <si>
    <t>2026-10-15</t>
  </si>
  <si>
    <t>Zacks via Yahoo Finance</t>
  </si>
  <si>
    <t>https://finance.yahoo.com/markets/stocks/articles/procter-gamble-pre-q1-earnings-153900543.html</t>
  </si>
  <si>
    <t>Zacks consensus EPS $1.89, revenue $22.7bn; core GM model 50.3%</t>
  </si>
  <si>
    <t>2026-10-07</t>
  </si>
  <si>
    <t>finanzen.at</t>
  </si>
  <si>
    <t>https://www.finanzen.at/nachrichten/aktien/erste-schatzungen-procter-gamble-legt-quartalsergebnis-vor-1036603340</t>
  </si>
  <si>
    <t>19 analysts EPS $1.88; 15 analysts revenue $22.75bn</t>
  </si>
  <si>
    <t>MarketBeat</t>
  </si>
  <si>
    <t>https://www.marketbeat.com/instant-alerts/upcoming-procter-gamble-pg-projected-to-post-quarterly-earnings-on-thursday-2026-10-15/</t>
  </si>
  <si>
    <t>Consensus EPS $1.88, revenue $22.77bn</t>
  </si>
  <si>
    <t>S18</t>
  </si>
  <si>
    <t>Kimberly-Clark / Reuters (KSL)</t>
  </si>
  <si>
    <t>https://www.ksl.com/article/51636723/kimberly-clark-postspreliminary-results-above-estimates-china-clearsformamide-claims</t>
  </si>
  <si>
    <t>Peer: preliminary Sep-quarter adj. EPS $1.70 above estimates; organic −1.3%</t>
  </si>
  <si>
    <t>S19</t>
  </si>
  <si>
    <t>2026-10-08</t>
  </si>
  <si>
    <t>CNBC (PepsiCo Q3 2026)</t>
  </si>
  <si>
    <t>https://www.cnbc.com/2026/10/08/pepsico-pep-q3-2026-earnings.html</t>
  </si>
  <si>
    <t>Peer: beat on revenue/EPS, organic +3.1%, inflation and ad costs trimmed outlook</t>
  </si>
  <si>
    <t>S20</t>
  </si>
  <si>
    <t>DataPorium (Federal Reserve H.10 data)</t>
  </si>
  <si>
    <t>https://dataporium.tech/articles/us-dollar-q3-2026-yen-intervention-currencies</t>
  </si>
  <si>
    <t>Q3 2026 currency moves → 1Q27E FX assumption</t>
  </si>
  <si>
    <t>S21</t>
  </si>
  <si>
    <t>Finhacker (market cap history)</t>
  </si>
  <si>
    <t>https://www.finhacker.cz/en/stocks/procter-gamble-market-cap/</t>
  </si>
  <si>
    <t>Market cap $370.3bn at 2026-10-16 close → size bucket</t>
  </si>
  <si>
    <t>S22</t>
  </si>
  <si>
    <t>iShares S&amp;P 500 Consumer Staples holdings (BlackRock)</t>
  </si>
  <si>
    <t>https://www.blackrock.com/dk/professionals/products/287102/ishares-s-p-500-consumer-staples-sector-ucits-etf/latest-holdings.csv</t>
  </si>
  <si>
    <t>S&amp;P 500 membership (PG held at $159.35 close)</t>
  </si>
  <si>
    <t>S23</t>
  </si>
  <si>
    <t>2026-07-31</t>
  </si>
  <si>
    <t>FactSet (playbook reference)</t>
  </si>
  <si>
    <t>https://insight.factset.com/sp-500-earnings-season-update-july-31-2026</t>
  </si>
  <si>
    <t>Context only: S&amp;P 500 five-year beat rate 78% (cohort prior)</t>
  </si>
  <si>
    <t>S24</t>
  </si>
  <si>
    <t>2024-10-18</t>
  </si>
  <si>
    <t>https://www.sec.gov/Archives/edgar/data/80424/000008042424000108/fy2425q1jas8-kexhibit991.htm</t>
  </si>
  <si>
    <t>1Q25 prior-year segment drivers, net sales, EBT, net earnings, balances</t>
  </si>
  <si>
    <t>S25</t>
  </si>
  <si>
    <t>2025-01-22</t>
  </si>
  <si>
    <t>https://www.sec.gov/Archives/edgar/data/80424/000008042425000009/fy2425q2ond8-kexhibit991.htm</t>
  </si>
  <si>
    <t>2Q25 prior-year segment drivers, net sales, EBT, net earnings, balances</t>
  </si>
  <si>
    <t>S26</t>
  </si>
  <si>
    <t>2025-04-24</t>
  </si>
  <si>
    <t>https://www.sec.gov/Archives/edgar/data/80424/000008042425000032/fy2425q3jfm8-kexhibit991.htm</t>
  </si>
  <si>
    <t>3Q25 prior-year segment drivers, net sales, EBT, net earnings, balances</t>
  </si>
  <si>
    <t>https://www.sec.gov/Archives/edgar/data/80424/000008042425000067/fy2425q4amj8-kexhibit991.htm</t>
  </si>
  <si>
    <t>4Q25/FY25 prior-year segment data and balances; initial FY26 guidance</t>
  </si>
  <si>
    <t>Tab coverage notes</t>
  </si>
  <si>
    <t>All standard tabs are present: Cover, Revenue summary, five Segment tabs, Income Statement, Balance Sheet, Cash Flow Statement, Geo, Share Count, Guidance, Sources.</t>
  </si>
  <si>
    <t>Inputs tab (last) holds the raw S&amp;P Capital IQ snapshot and history required by the task, plus the beat-probability calibration.</t>
  </si>
  <si>
    <t>Customer/subscriber/unit ladders are not applicable: P&amp;G 10-K FY2026 and FY26 10-Qs disclose no customer, subscriber, unit or backlog data; segment drivers are volume, price, mix, FX, A&amp;D.</t>
  </si>
  <si>
    <t>Geo: only annual U.S./International net sales and PP&amp;E are disclosed (10-K FY2026 segment note); quarterly columns are n/a.</t>
  </si>
  <si>
    <t>Information cutoff 2026-10-18 21:34 UTC; all sources above are dated on or before 2026-10-18. Target-quarter actuals were not available or used.</t>
  </si>
  <si>
    <t>Issuer-defined EBITDA: n/a. P&amp;G does not define or report EBITDA as a non-GAAP measure, so no issuer EBITDA is modelled (the CapIQ EBITDA consensus on Inputs is memo only).</t>
  </si>
  <si>
    <t>Net income to common (GAAP, basic EPS numerator) = net earnings attributable to P&amp;G − preferred dividends (Income Statement row 44 − row 49; 1Q27E = G44 − G49). Diluted and Core EPS use net earnings attributable to P&amp;G with the convertible preferred treated as if converted.</t>
  </si>
  <si>
    <t>Inputs (S&amp;P Capital IQ raw data and beat-probability calibration)</t>
  </si>
  <si>
    <t>3Q25A</t>
  </si>
  <si>
    <t>4Q25A</t>
  </si>
  <si>
    <t>S&amp;P Capital IQ history — PG_history.csv (all 6 rows; one column per CSV row, oldest left)</t>
  </si>
  <si>
    <t>period_end_date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</si>
  <si>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</si>
  <si>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</si>
  <si>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</si>
  <si>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</si>
  <si>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</si>
  <si>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</si>
  <si>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</si>
  <si>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Normalized EPS surprise ($/share)</t>
  </si>
  <si>
    <t>Strict beat flag (1 = beat)</t>
  </si>
  <si>
    <t>GAAP EPS surprise ($/share)</t>
  </si>
  <si>
    <t>Revenue surprise ($m)</t>
  </si>
  <si>
    <t>Revenue surprise %</t>
  </si>
  <si>
    <t>Beat-probability calibration (playbook v2: size and issuer history) — single values in column B, not period columns</t>
  </si>
  <si>
    <t>Market cap ($bn, close 2026-10-16)</t>
  </si>
  <si>
    <t>Size bucket (small/mid/large)</t>
  </si>
  <si>
    <t>S&amp;P 500 member (holdings file 2026-10-16)</t>
  </si>
  <si>
    <t>Yes</t>
  </si>
  <si>
    <t>Cohort prior (large OR S&amp;P 500, once)</t>
  </si>
  <si>
    <t>Playbook</t>
  </si>
  <si>
    <t>b = strict beats in the six CapIQ pairs</t>
  </si>
  <si>
    <t>n = valid pairs</t>
  </si>
  <si>
    <t>Pseudo-observations</t>
  </si>
  <si>
    <t>Starting probability</t>
  </si>
  <si>
    <t>Update: guided "down 5% or more" (≤ $1.89)</t>
  </si>
  <si>
    <t>Update: post-guidance cost escalation</t>
  </si>
  <si>
    <t>Update: mixed previews (UBS $1.85; Evercore +2c)</t>
  </si>
  <si>
    <t>S13, S14</t>
  </si>
  <si>
    <t>Update: U.S. takeaway +4.4%; organic previews</t>
  </si>
  <si>
    <t>S14, S13</t>
  </si>
  <si>
    <t>Update: model only ~1c above consensus</t>
  </si>
  <si>
    <t>Model</t>
  </si>
  <si>
    <t>Final P(beat consensus EPS)</t>
  </si>
  <si>
    <t>Forecast confidence</t>
  </si>
  <si>
    <t>medium</t>
  </si>
  <si>
    <t>Mean normalized surprise, 6 qtrs ($)</t>
  </si>
  <si>
    <t>Sep-2025 quarter surprise ($)</t>
  </si>
  <si>
    <t>S&amp;P Capital IQ consensus snapshot — PG_consensus.json (complete summary_row; blanks preserved) — values in column B, not 3Q25A</t>
  </si>
  <si>
    <t>summary_row.ticker</t>
  </si>
  <si>
    <t>summary_row.company_name</t>
  </si>
  <si>
    <t>summary_row.exchange_ticker</t>
  </si>
  <si>
    <t>NYSE:PG</t>
  </si>
  <si>
    <t>summary_row.capiq_company_id</t>
  </si>
  <si>
    <t>summary_row.currency_basis</t>
  </si>
  <si>
    <t>USD</t>
  </si>
  <si>
    <t>summary_row.fiscal_year_end</t>
  </si>
  <si>
    <t>Jun-30</t>
  </si>
  <si>
    <t>summary_row.fiscal_quarter</t>
  </si>
  <si>
    <t>FQ1 2027 - Sep 2026</t>
  </si>
  <si>
    <t>summary_row.quarter_end_date</t>
  </si>
  <si>
    <t>2026-09-30</t>
  </si>
  <si>
    <t>summary_row.expected_report_date</t>
  </si>
  <si>
    <t>2026-10-22</t>
  </si>
  <si>
    <t>summary_row.eps_basis</t>
  </si>
  <si>
    <t>normalized diluted and GAAP diluted, as labelled</t>
  </si>
  <si>
    <t>summary_row.eps_normalized_estimates</t>
  </si>
  <si>
    <t>summary_row.eps_normalized_contributors</t>
  </si>
  <si>
    <t>summary_row.detail_tab_total_contributors</t>
  </si>
  <si>
    <t>summary_row.eps_normalized_mean</t>
  </si>
  <si>
    <t>summary_row.eps_normalized_median</t>
  </si>
  <si>
    <t>summary_row.eps_normalized_high</t>
  </si>
  <si>
    <t>summary_row.eps_normalized_low</t>
  </si>
  <si>
    <t>summary_row.eps_normalized_std_dev</t>
  </si>
  <si>
    <t>summary_row.eps_normalized_n_est</t>
  </si>
  <si>
    <t>summary_row.eps_normalized_guidance</t>
  </si>
  <si>
    <t>summary_row.eps_normalized_guidance_low</t>
  </si>
  <si>
    <t>summary_row.eps_normalized_guidance_high</t>
  </si>
  <si>
    <t>summary_row.eps_gaap_mean</t>
  </si>
  <si>
    <t>summary_row.eps_gaap_median</t>
  </si>
  <si>
    <t>summary_row.eps_gaap_high</t>
  </si>
  <si>
    <t>summary_row.eps_gaap_low</t>
  </si>
  <si>
    <t>summary_row.eps_gaap_std_dev</t>
  </si>
  <si>
    <t>summary_row.eps_gaap_n_est</t>
  </si>
  <si>
    <t>summary_row.eps_gaap_guidance</t>
  </si>
  <si>
    <t>summary_row.eps_gaap_guidance_low</t>
  </si>
  <si>
    <t>summary_row.eps_gaap_guidance_high</t>
  </si>
  <si>
    <t>summary_row.revenue_mean</t>
  </si>
  <si>
    <t>summary_row.revenue_median</t>
  </si>
  <si>
    <t>summary_row.revenue_high</t>
  </si>
  <si>
    <t>summary_row.revenue_low</t>
  </si>
  <si>
    <t>summary_row.revenue_std_dev</t>
  </si>
  <si>
    <t>summary_row.revenue_n_est</t>
  </si>
  <si>
    <t>summary_row.revenue_guidance</t>
  </si>
  <si>
    <t>summary_row.revenue_guidance_low</t>
  </si>
  <si>
    <t>summary_row.revenue_guidance_high</t>
  </si>
  <si>
    <t>summary_row.ebitda</t>
  </si>
  <si>
    <t>summary_row.ebit</t>
  </si>
  <si>
    <t>summary_row.ebt_excl_excep</t>
  </si>
  <si>
    <t>summary_row.ebt_gaap</t>
  </si>
  <si>
    <t>summary_row.net_income_excl_excep</t>
  </si>
  <si>
    <t>summary_row.net_income_gaap</t>
  </si>
  <si>
    <t>summary_row.gross_margin_pct</t>
  </si>
  <si>
    <t>summary_row.effective_tax_rate_pct</t>
  </si>
  <si>
    <t>summary_row.d_and_a</t>
  </si>
  <si>
    <t>summary_row.capex</t>
  </si>
  <si>
    <t>summary_row.cfo</t>
  </si>
  <si>
    <t>summary_row.fcf</t>
  </si>
  <si>
    <t>summary_row.interest_expense</t>
  </si>
  <si>
    <t>summary_row.net_debt</t>
  </si>
  <si>
    <t>summary_row.nav</t>
  </si>
  <si>
    <t>summary_row.roe_pct</t>
  </si>
  <si>
    <t>summary_row.target_price_mean</t>
  </si>
  <si>
    <t>summary_row.target_price_median</t>
  </si>
  <si>
    <t>summary_row.target_price_high</t>
  </si>
  <si>
    <t>summary_row.target_price_low</t>
  </si>
  <si>
    <t>summary_row.target_price_std_dev</t>
  </si>
  <si>
    <t>summary_row.target_price_n_est</t>
  </si>
  <si>
    <t>summary_row.recommendation</t>
  </si>
  <si>
    <t>Outperform</t>
  </si>
  <si>
    <t>summary_row.recommendation_score</t>
  </si>
  <si>
    <t>summary_row.last_close_price</t>
  </si>
  <si>
    <t>summary_row.wk52_high_low</t>
  </si>
  <si>
    <t>167.25/137.62</t>
  </si>
  <si>
    <t>summary_row.estimates_captured_at</t>
  </si>
  <si>
    <t>summary_row.notes</t>
  </si>
  <si>
    <t>Jun fiscal year end, so the Sep-2026 quarter is fiscal Q1 2027 and the history columns run FQ3 2025 through FQ4 2026</t>
  </si>
  <si>
    <t>json.source</t>
  </si>
  <si>
    <t>S&amp;P Capital IQ</t>
  </si>
  <si>
    <t>json.ticker</t>
  </si>
  <si>
    <t>json.company</t>
  </si>
  <si>
    <t>json.fiscal_period</t>
  </si>
  <si>
    <t>json.period_end_date</t>
  </si>
  <si>
    <t>json.as_of_date</t>
  </si>
  <si>
    <t>json.analyst_count</t>
  </si>
  <si>
    <t>json.consensus_eps</t>
  </si>
  <si>
    <t>json.eps_basis</t>
  </si>
  <si>
    <t>Normalized diluted EPS per ordinary/common share, USD; verify issuer adjustments and share identity</t>
  </si>
  <si>
    <t>json.consensus_revenue_m</t>
  </si>
  <si>
    <t>json.currency</t>
  </si>
  <si>
    <t>json.summary_sha256</t>
  </si>
  <si>
    <t>e59b846434f90c9b5de8c2ed951fd1b25c1f6d0217c680f72dea41992051a49d</t>
  </si>
  <si>
    <t>json.captured_precision</t>
  </si>
  <si>
    <t>date only, user confirmed</t>
  </si>
  <si>
    <t>json.currency_units_status</t>
  </si>
  <si>
    <t>json.metric_units.eps_currency</t>
  </si>
  <si>
    <t>json.metric_units.eps_share_unit</t>
  </si>
  <si>
    <t>diluted ordinary/common share</t>
  </si>
  <si>
    <t>json.metric_units.revenue_currency</t>
  </si>
  <si>
    <t>json.metric_units.financial_amount_scale</t>
  </si>
  <si>
    <t>millions</t>
  </si>
  <si>
    <t>json.target_manifest.targets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</si>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</sst>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%_);(0.0%);&quot;–&quot;_)"/>
    <numFmt numFmtId="166" formatCode="#,##0.0_);(#,##0.0);&quot;–&quot;_)"/>
    <numFmt numFmtId="167" formatCode="yyyy-mm-dd"/>
    <numFmt numFmtId="168" formatCode="$0.00_);($0.00);&quot;–&quot;_)"/>
    <numFmt numFmtId="169" formatCode="0"/>
    <numFmt numFmtId="170" formatCode="#,##0.00_);(#,##0.00);&quot;–&quot;_)"/>
    <numFmt numFmtId="171" formatCode="0.0x"/>
    <numFmt numFmtId="172" formatCode="#,##0_);(#,##0);&quot;–&quot;_)"/>
    <numFmt numFmtId="173" formatCode="$#,##0.00_);($#,##0.00);&quot;–&quot;_)"/>
    <numFmt numFmtId="174" formatCode="@"/>
    <numFmt numFmtId="175" formatCode="0.0%_);(0.0%);0.0%_)"/>
  </numFmts>
  <fonts count="24">
    <font>
      <sz val="11"/>
      <name val="Calibri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/>
      <i val="0"/>
      <strike val="0"/>
      <sz val="11"/>
      <color rgb="FF000000"/>
      <name val="Calibri"/>
    </font>
    <font>
      <b val="0"/>
      <i/>
      <strike val="0"/>
      <sz val="10"/>
      <color rgb="FF000000"/>
      <name val="Arial"/>
    </font>
    <font>
      <b/>
      <i val="0"/>
      <strike val="0"/>
      <sz val="11"/>
      <color rgb="FF000000"/>
      <name val="Arial"/>
    </font>
    <font>
      <b/>
      <i val="0"/>
      <strike val="0"/>
      <u/>
      <sz val="10"/>
      <color rgb="FF000000"/>
      <name val="Arial"/>
    </font>
    <font>
      <b/>
      <i val="0"/>
      <strike val="0"/>
      <sz val="12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 val="0"/>
      <i val="0"/>
      <strike val="0"/>
      <sz val="10"/>
      <color rgb="FF006100"/>
      <name val="Arial"/>
    </font>
    <font>
      <b/>
      <i val="0"/>
      <strike val="0"/>
      <sz val="10"/>
      <color rgb="FF006100"/>
      <name val="Arial"/>
    </font>
    <font>
      <b val="0"/>
      <i val="0"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/>
      <i/>
      <strike val="0"/>
      <sz val="10"/>
      <color rgb="FF006100"/>
      <name val="Arial"/>
    </font>
    <font>
      <b/>
      <i val="0"/>
      <strike val="0"/>
      <sz val="10"/>
      <color rgb="FF0000FF"/>
      <name val="Arial"/>
    </font>
    <font>
      <b/>
      <i val="0"/>
      <strike val="0"/>
      <sz val="14"/>
      <color rgb="FF000000"/>
      <name val="Arial"/>
    </font>
    <font>
      <b/>
      <i/>
      <strike val="0"/>
      <sz val="10"/>
      <color rgb="FF0000FF"/>
      <name val="Arial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/>
      <strike val="0"/>
      <sz val="10"/>
      <color rgb="FF0000FF"/>
      <name val="Arial"/>
    </font>
    <font>
      <b val="0"/>
      <i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 val="0"/>
      <strike val="0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EF4FB"/>
      </patternFill>
    </fill>
    <fill>
      <patternFill patternType="solid">
        <fgColor rgb="FFD9E4F2"/>
      </patternFill>
    </fill>
  </fills>
  <borders count="3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Fill="1" applyAlignment="1" applyProtection="1">
      <alignment horizontal="general" vertical="top"/>
      <protection locked="1" hidden="0"/>
    </xf>
    <xf numFmtId="0" fontId="1" fillId="0" borderId="0" xfId="0" applyFont="1" applyFill="1" applyAlignment="1" applyProtection="1">
      <alignment horizontal="general" vertical="top" wrapText="1"/>
      <protection locked="1" hidden="0"/>
    </xf>
    <xf numFmtId="0" fontId="1" fillId="0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top" wrapText="1"/>
      <protection locked="1" hidden="0"/>
    </xf>
    <xf numFmtId="0" fontId="2" fillId="2" borderId="1" xfId="0" applyFont="1" applyFill="1" applyBorder="1" applyAlignment="1" applyProtection="1">
      <alignment horizontal="right" vertical="bottom"/>
      <protection locked="1" hidden="0"/>
    </xf>
    <xf numFmtId="0" fontId="1" fillId="2" borderId="2" xfId="0" applyFont="1" applyFill="1" applyBorder="1" applyAlignment="1" applyProtection="1">
      <alignment horizontal="general" vertical="bottom"/>
      <protection locked="1" hidden="0"/>
    </xf>
    <xf numFmtId="0" fontId="1" fillId="2" borderId="0" xfId="0" applyFont="1" applyFill="1" applyAlignment="1" applyProtection="1">
      <alignment horizontal="general" vertical="bottom"/>
      <protection locked="1" hidden="0"/>
    </xf>
    <xf numFmtId="0" fontId="2" fillId="0" borderId="0" xfId="0" applyFont="1" applyFill="1" applyAlignment="1" applyProtection="1">
      <alignment horizontal="general" vertical="top"/>
      <protection locked="1" hidden="0"/>
    </xf>
    <xf numFmtId="0" fontId="2" fillId="2" borderId="1" xfId="0" applyFont="1" applyFill="1" applyBorder="1" applyAlignment="1" applyProtection="1">
      <alignment horizontal="general" vertical="bottom"/>
      <protection locked="1" hidden="0"/>
    </xf>
    <xf numFmtId="0" fontId="3" fillId="0" borderId="0" xfId="0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general" vertical="bottom"/>
      <protection locked="1" hidden="0"/>
    </xf>
    <xf numFmtId="0" fontId="5" fillId="0" borderId="0" xfId="0" applyFont="1" applyFill="1" applyAlignment="1" applyProtection="1">
      <alignment horizontal="general" vertical="bottom"/>
      <protection locked="1" hidden="0"/>
    </xf>
    <xf numFmtId="0" fontId="6" fillId="0" borderId="0" xfId="0" applyFont="1" applyFill="1" applyAlignment="1" applyProtection="1">
      <alignment horizontal="general" vertical="top"/>
      <protection locked="1" hidden="0"/>
    </xf>
    <xf numFmtId="0" fontId="7" fillId="0" borderId="0" xfId="0" applyFont="1" applyFill="1" applyAlignment="1" applyProtection="1">
      <alignment horizontal="general" vertical="bottom"/>
      <protection locked="1" hidden="0"/>
    </xf>
    <xf numFmtId="0" fontId="2" fillId="0" borderId="2" xfId="0" applyFont="1" applyFill="1" applyBorder="1" applyAlignment="1" applyProtection="1">
      <alignment horizontal="general" vertical="top" wrapText="1"/>
      <protection locked="1" hidden="0"/>
    </xf>
    <xf numFmtId="164" fontId="1" fillId="0" borderId="0" xfId="0" applyNumberFormat="1" applyFont="1" applyFill="1" applyAlignment="1" applyProtection="1">
      <alignment horizontal="left" vertical="bottom"/>
      <protection locked="1" hidden="0"/>
    </xf>
    <xf numFmtId="165" fontId="8" fillId="0" borderId="0" xfId="0" applyNumberFormat="1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left" vertical="bottom"/>
      <protection locked="1" hidden="0"/>
    </xf>
    <xf numFmtId="164" fontId="2" fillId="0" borderId="2" xfId="0" applyNumberFormat="1" applyFont="1" applyFill="1" applyBorder="1" applyAlignment="1" applyProtection="1">
      <alignment horizontal="left" vertical="bottom"/>
      <protection locked="1" hidden="0"/>
    </xf>
    <xf numFmtId="165" fontId="4" fillId="0" borderId="0" xfId="0" applyNumberFormat="1" applyFont="1" applyFill="1" applyAlignment="1" applyProtection="1">
      <alignment horizontal="right" vertical="bottom"/>
      <protection locked="1" hidden="0"/>
    </xf>
    <xf numFmtId="165" fontId="9" fillId="0" borderId="0" xfId="0" applyNumberFormat="1" applyFont="1" applyFill="1" applyAlignment="1" applyProtection="1">
      <alignment horizontal="right" vertical="bottom"/>
      <protection locked="1" hidden="0"/>
    </xf>
    <xf numFmtId="166" fontId="1" fillId="0" borderId="0" xfId="0" applyNumberFormat="1" applyFont="1" applyFill="1" applyAlignment="1" applyProtection="1">
      <alignment horizontal="right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right" vertical="bottom"/>
      <protection locked="1" hidden="0"/>
    </xf>
    <xf numFmtId="166" fontId="1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/>
      <protection locked="1" hidden="0"/>
    </xf>
    <xf numFmtId="165" fontId="4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general" vertical="top"/>
      <protection locked="1" hidden="0"/>
    </xf>
    <xf numFmtId="164" fontId="2" fillId="0" borderId="0" xfId="0" applyNumberFormat="1" applyFont="1" applyFill="1" applyAlignment="1" applyProtection="1">
      <alignment horizontal="general" vertical="bottom"/>
      <protection locked="1" hidden="0"/>
    </xf>
    <xf numFmtId="164" fontId="2" fillId="0" borderId="1" xfId="0" applyNumberFormat="1" applyFont="1" applyFill="1" applyBorder="1" applyAlignment="1" applyProtection="1">
      <alignment horizontal="right" vertical="bottom" wrapText="1"/>
      <protection locked="1" hidden="0"/>
    </xf>
    <xf numFmtId="164" fontId="2" fillId="0" borderId="1" xfId="0" applyNumberFormat="1" applyFont="1" applyFill="1" applyBorder="1" applyAlignment="1" applyProtection="1">
      <alignment horizontal="general" vertical="bottom"/>
      <protection locked="1" hidden="0"/>
    </xf>
    <xf numFmtId="164" fontId="1" fillId="0" borderId="0" xfId="0" applyNumberFormat="1" applyFont="1" applyFill="1" applyAlignment="1" applyProtection="1">
      <alignment horizontal="general" vertical="bottom"/>
      <protection locked="1" hidden="0"/>
    </xf>
    <xf numFmtId="166" fontId="10" fillId="0" borderId="0" xfId="0" applyNumberFormat="1" applyFont="1" applyFill="1" applyAlignment="1" applyProtection="1">
      <alignment horizontal="right" vertical="bottom"/>
      <protection locked="1" hidden="0"/>
    </xf>
    <xf numFmtId="164" fontId="11" fillId="0" borderId="0" xfId="0" applyNumberFormat="1" applyFont="1" applyFill="1" applyAlignment="1" applyProtection="1">
      <alignment horizontal="right" vertical="bottom"/>
      <protection locked="1" hidden="0"/>
    </xf>
    <xf numFmtId="168" fontId="2" fillId="0" borderId="0" xfId="0" applyNumberFormat="1" applyFont="1" applyFill="1" applyAlignment="1" applyProtection="1">
      <alignment horizontal="right" vertical="bottom"/>
      <protection locked="1" hidden="0"/>
    </xf>
    <xf numFmtId="168" fontId="1" fillId="0" borderId="0" xfId="0" applyNumberFormat="1" applyFont="1" applyFill="1" applyAlignment="1" applyProtection="1">
      <alignment horizontal="right" vertical="bottom"/>
      <protection locked="1" hidden="0"/>
    </xf>
    <xf numFmtId="168" fontId="12" fillId="0" borderId="0" xfId="0" applyNumberFormat="1" applyFont="1" applyFill="1" applyAlignment="1" applyProtection="1">
      <alignment horizontal="right" vertical="bottom"/>
      <protection locked="1" hidden="0"/>
    </xf>
    <xf numFmtId="169" fontId="1" fillId="2" borderId="2" xfId="0" applyNumberFormat="1" applyFont="1" applyFill="1" applyBorder="1" applyAlignment="1" applyProtection="1">
      <alignment horizontal="right" vertical="bottom"/>
      <protection locked="1" hidden="0"/>
    </xf>
    <xf numFmtId="0" fontId="1" fillId="0" borderId="0" xfId="0" applyFont="1" applyFill="1" applyAlignment="1" applyProtection="1">
      <alignment horizontal="general" vertical="bottom" indent="1"/>
      <protection locked="1" hidden="0"/>
    </xf>
    <xf numFmtId="168" fontId="10" fillId="0" borderId="0" xfId="0" applyNumberFormat="1" applyFont="1" applyFill="1" applyAlignment="1" applyProtection="1">
      <alignment horizontal="right" vertical="bottom"/>
      <protection locked="1" hidden="0"/>
    </xf>
    <xf numFmtId="0" fontId="5" fillId="0" borderId="0" xfId="0" applyFont="1" applyFill="1" applyAlignment="1" applyProtection="1">
      <alignment horizontal="left" vertical="bottom" indent="8"/>
      <protection locked="1" hidden="0"/>
    </xf>
    <xf numFmtId="166" fontId="12" fillId="0" borderId="0" xfId="0" applyNumberFormat="1" applyFont="1" applyFill="1" applyAlignment="1" applyProtection="1">
      <alignment horizontal="right" vertical="bottom"/>
      <protection locked="1" hidden="0"/>
    </xf>
    <xf numFmtId="170" fontId="1" fillId="0" borderId="0" xfId="0" applyNumberFormat="1" applyFont="1" applyFill="1" applyAlignment="1" applyProtection="1">
      <alignment horizontal="right" vertical="bottom"/>
      <protection locked="1" hidden="0"/>
    </xf>
    <xf numFmtId="0" fontId="4" fillId="0" borderId="0" xfId="0" applyFont="1" applyFill="1" applyAlignment="1" applyProtection="1">
      <alignment horizontal="general" vertical="bottom" indent="1"/>
      <protection locked="1" hidden="0"/>
    </xf>
    <xf numFmtId="165" fontId="13" fillId="0" borderId="0" xfId="0" applyNumberFormat="1" applyFont="1" applyFill="1" applyAlignment="1" applyProtection="1">
      <alignment horizontal="right" vertical="bottom"/>
      <protection locked="1" hidden="0"/>
    </xf>
    <xf numFmtId="168" fontId="11" fillId="0" borderId="0" xfId="0" applyNumberFormat="1" applyFont="1" applyFill="1" applyAlignment="1" applyProtection="1">
      <alignment horizontal="right" vertical="bottom"/>
      <protection locked="1" hidden="0"/>
    </xf>
    <xf numFmtId="0" fontId="6" fillId="0" borderId="0" xfId="0" applyFont="1" applyFill="1" applyAlignment="1" applyProtection="1">
      <alignment horizontal="general" vertical="bottom"/>
      <protection locked="1" hidden="0"/>
    </xf>
    <xf numFmtId="169" fontId="1" fillId="4" borderId="2" xfId="0" applyNumberFormat="1" applyFont="1" applyFill="1" applyBorder="1" applyAlignment="1" applyProtection="1">
      <alignment horizontal="right" vertical="bottom"/>
      <protection locked="1" hidden="0"/>
    </xf>
    <xf numFmtId="166" fontId="2" fillId="3" borderId="1" xfId="0" applyNumberFormat="1" applyFont="1" applyFill="1" applyBorder="1" applyAlignment="1" applyProtection="1">
      <alignment horizontal="right" vertical="bottom"/>
      <protection locked="1" hidden="0"/>
    </xf>
    <xf numFmtId="166" fontId="2" fillId="0" borderId="1" xfId="0" applyNumberFormat="1" applyFont="1" applyFill="1" applyBorder="1" applyAlignment="1" applyProtection="1">
      <alignment horizontal="right" vertical="bottom"/>
      <protection locked="1" hidden="0"/>
    </xf>
    <xf numFmtId="165" fontId="14" fillId="0" borderId="0" xfId="0" applyNumberFormat="1" applyFont="1" applyFill="1" applyAlignment="1" applyProtection="1">
      <alignment horizontal="right" vertical="bottom"/>
      <protection locked="1" hidden="0"/>
    </xf>
    <xf numFmtId="171" fontId="10" fillId="0" borderId="0" xfId="0" applyNumberFormat="1" applyFont="1" applyFill="1" applyAlignment="1" applyProtection="1">
      <alignment horizontal="right" vertical="bottom"/>
      <protection locked="1" hidden="0"/>
    </xf>
    <xf numFmtId="164" fontId="11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10" fillId="3" borderId="0" xfId="0" applyNumberFormat="1" applyFont="1" applyFill="1" applyAlignment="1" applyProtection="1">
      <alignment horizontal="right" vertical="bottom"/>
      <protection locked="1" hidden="0"/>
    </xf>
    <xf numFmtId="0" fontId="2" fillId="2" borderId="1" xfId="0" applyFont="1" applyFill="1" applyBorder="1" applyAlignment="1" applyProtection="1">
      <alignment horizontal="left" vertical="bottom"/>
      <protection locked="1" hidden="0"/>
    </xf>
    <xf numFmtId="0" fontId="2" fillId="4" borderId="1" xfId="0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0" fontId="4" fillId="0" borderId="0" xfId="0" applyFont="1" applyFill="1" applyAlignment="1" applyProtection="1">
      <alignment horizontal="left" vertical="bottom" indent="8"/>
      <protection locked="1" hidden="0"/>
    </xf>
    <xf numFmtId="0" fontId="2" fillId="3" borderId="0" xfId="0" applyFont="1" applyFill="1" applyAlignment="1" applyProtection="1">
      <alignment horizontal="right" vertical="bottom"/>
      <protection locked="1" hidden="0"/>
    </xf>
    <xf numFmtId="0" fontId="13" fillId="0" borderId="0" xfId="0" applyFont="1" applyFill="1" applyAlignment="1" applyProtection="1">
      <alignment horizontal="general" vertical="bottom"/>
      <protection locked="1" hidden="0"/>
    </xf>
    <xf numFmtId="166" fontId="15" fillId="0" borderId="1" xfId="0" applyNumberFormat="1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right" vertical="bottom"/>
      <protection locked="1" hidden="0"/>
    </xf>
    <xf numFmtId="0" fontId="7" fillId="0" borderId="0" xfId="0" applyFont="1" applyFill="1" applyAlignment="1" applyProtection="1">
      <alignment horizontal="left" vertical="bottom" indent="8"/>
      <protection locked="1" hidden="0"/>
    </xf>
    <xf numFmtId="172" fontId="1" fillId="0" borderId="0" xfId="0" applyNumberFormat="1" applyFont="1" applyFill="1" applyAlignment="1" applyProtection="1">
      <alignment horizontal="right" vertical="bottom"/>
      <protection locked="1" hidden="0"/>
    </xf>
    <xf numFmtId="166" fontId="12" fillId="3" borderId="0" xfId="0" applyNumberFormat="1" applyFont="1" applyFill="1" applyAlignment="1" applyProtection="1">
      <alignment horizontal="right" vertical="bottom"/>
      <protection locked="1" hidden="0"/>
    </xf>
    <xf numFmtId="170" fontId="10" fillId="0" borderId="0" xfId="0" applyNumberFormat="1" applyFont="1" applyFill="1" applyAlignment="1" applyProtection="1">
      <alignment horizontal="right" vertical="bottom"/>
      <protection locked="1" hidden="0"/>
    </xf>
    <xf numFmtId="172" fontId="1" fillId="3" borderId="0" xfId="0" applyNumberFormat="1" applyFont="1" applyFill="1" applyAlignment="1" applyProtection="1">
      <alignment horizontal="right" vertical="bottom"/>
      <protection locked="1" hidden="0"/>
    </xf>
    <xf numFmtId="167" fontId="1" fillId="4" borderId="0" xfId="0" applyNumberFormat="1" applyFont="1" applyFill="1" applyAlignment="1" applyProtection="1">
      <alignment horizontal="right" vertical="bottom"/>
      <protection locked="1" hidden="0"/>
    </xf>
    <xf numFmtId="0" fontId="16" fillId="0" borderId="0" xfId="0" applyFont="1" applyFill="1" applyAlignment="1" applyProtection="1">
      <alignment horizontal="general" vertical="bottom"/>
      <protection locked="1" hidden="0"/>
    </xf>
    <xf numFmtId="165" fontId="8" fillId="3" borderId="0" xfId="0" applyNumberFormat="1" applyFont="1" applyFill="1" applyAlignment="1" applyProtection="1">
      <alignment horizontal="right" vertical="bottom"/>
      <protection locked="1" hidden="0"/>
    </xf>
    <xf numFmtId="165" fontId="13" fillId="3" borderId="1" xfId="0" applyNumberFormat="1" applyFont="1" applyFill="1" applyBorder="1" applyAlignment="1" applyProtection="1">
      <alignment horizontal="right" vertical="bottom"/>
      <protection locked="1" hidden="0"/>
    </xf>
    <xf numFmtId="172" fontId="10" fillId="0" borderId="0" xfId="0" applyNumberFormat="1" applyFont="1" applyFill="1" applyAlignment="1" applyProtection="1">
      <alignment horizontal="right" vertical="bottom"/>
      <protection locked="1" hidden="0"/>
    </xf>
    <xf numFmtId="165" fontId="17" fillId="0" borderId="1" xfId="0" applyNumberFormat="1" applyFont="1" applyFill="1" applyBorder="1" applyAlignment="1" applyProtection="1">
      <alignment horizontal="right" vertical="bottom"/>
      <protection locked="1" hidden="0"/>
    </xf>
    <xf numFmtId="173" fontId="1" fillId="0" borderId="0" xfId="0" applyNumberFormat="1" applyFont="1" applyFill="1" applyAlignment="1" applyProtection="1">
      <alignment horizontal="right" vertical="bottom"/>
      <protection locked="1" hidden="0"/>
    </xf>
    <xf numFmtId="166" fontId="11" fillId="3" borderId="1" xfId="0" applyNumberFormat="1" applyFont="1" applyFill="1" applyBorder="1" applyAlignment="1" applyProtection="1">
      <alignment horizontal="right" vertical="bottom"/>
      <protection locked="1" hidden="0"/>
    </xf>
    <xf numFmtId="172" fontId="12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0" xfId="0" applyFont="1" applyFill="1" applyAlignment="1" applyProtection="1">
      <alignment horizontal="general" vertical="bottom" indent="1"/>
      <protection locked="1" hidden="0"/>
    </xf>
    <xf numFmtId="168" fontId="2" fillId="0" borderId="1" xfId="0" applyNumberFormat="1" applyFont="1" applyFill="1" applyBorder="1" applyAlignment="1" applyProtection="1">
      <alignment horizontal="right" vertical="bottom"/>
      <protection locked="1" hidden="0"/>
    </xf>
    <xf numFmtId="171" fontId="10" fillId="3" borderId="0" xfId="0" applyNumberFormat="1" applyFont="1" applyFill="1" applyAlignment="1" applyProtection="1">
      <alignment horizontal="right" vertical="bottom"/>
      <protection locked="1" hidden="0"/>
    </xf>
    <xf numFmtId="168" fontId="1" fillId="3" borderId="0" xfId="0" applyNumberFormat="1" applyFont="1" applyFill="1" applyAlignment="1" applyProtection="1">
      <alignment horizontal="right" vertical="bottom"/>
      <protection locked="1" hidden="0"/>
    </xf>
    <xf numFmtId="168" fontId="12" fillId="3" borderId="0" xfId="0" applyNumberFormat="1" applyFont="1" applyFill="1" applyAlignment="1" applyProtection="1">
      <alignment horizontal="right" vertical="bottom"/>
      <protection locked="1" hidden="0"/>
    </xf>
    <xf numFmtId="166" fontId="11" fillId="0" borderId="0" xfId="0" applyNumberFormat="1" applyFont="1" applyFill="1" applyAlignment="1" applyProtection="1">
      <alignment horizontal="right" vertical="bottom"/>
      <protection locked="1" hidden="0"/>
    </xf>
    <xf numFmtId="165" fontId="9" fillId="3" borderId="0" xfId="0" applyNumberFormat="1" applyFont="1" applyFill="1" applyAlignment="1" applyProtection="1">
      <alignment horizontal="right" vertical="bottom"/>
      <protection locked="1" hidden="0"/>
    </xf>
    <xf numFmtId="172" fontId="10" fillId="3" borderId="0" xfId="0" applyNumberFormat="1" applyFont="1" applyFill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left" vertical="bottom"/>
      <protection locked="1" hidden="0"/>
    </xf>
    <xf numFmtId="0" fontId="2" fillId="0" borderId="0" xfId="0" applyFont="1" applyFill="1" applyAlignment="1" applyProtection="1">
      <alignment horizontal="left" vertical="bottom"/>
      <protection locked="1" hidden="0"/>
    </xf>
    <xf numFmtId="168" fontId="10" fillId="3" borderId="0" xfId="0" applyNumberFormat="1" applyFont="1" applyFill="1" applyAlignment="1" applyProtection="1">
      <alignment horizontal="right" vertical="bottom"/>
      <protection locked="1" hidden="0"/>
    </xf>
    <xf numFmtId="168" fontId="2" fillId="3" borderId="1" xfId="0" applyNumberFormat="1" applyFont="1" applyFill="1" applyBorder="1" applyAlignment="1" applyProtection="1">
      <alignment horizontal="right" vertical="bottom"/>
      <protection locked="1" hidden="0"/>
    </xf>
    <xf numFmtId="0" fontId="2" fillId="0" borderId="2" xfId="0" applyFont="1" applyFill="1" applyBorder="1" applyAlignment="1" applyProtection="1">
      <alignment horizontal="general" vertical="bottom"/>
      <protection locked="1" hidden="0"/>
    </xf>
    <xf numFmtId="164" fontId="2" fillId="0" borderId="0" xfId="0" applyNumberFormat="1" applyFont="1" applyFill="1" applyAlignment="1" applyProtection="1">
      <alignment horizontal="left" vertical="bottom"/>
      <protection locked="1" hidden="0"/>
    </xf>
    <xf numFmtId="174" fontId="1" fillId="0" borderId="0" xfId="0" applyNumberFormat="1" applyFont="1" applyFill="1" applyAlignment="1" applyProtection="1">
      <alignment horizontal="general" vertical="bottom"/>
      <protection locked="1" hidden="0"/>
    </xf>
    <xf numFmtId="173" fontId="12" fillId="0" borderId="0" xfId="0" applyNumberFormat="1" applyFont="1" applyFill="1" applyAlignment="1" applyProtection="1">
      <alignment horizontal="right" vertical="bottom"/>
      <protection locked="1" hidden="0"/>
    </xf>
    <xf numFmtId="169" fontId="1" fillId="0" borderId="0" xfId="0" applyNumberFormat="1" applyFont="1" applyFill="1" applyAlignment="1" applyProtection="1">
      <alignment horizontal="right" vertical="bottom"/>
      <protection locked="1" hidden="0"/>
    </xf>
    <xf numFmtId="165" fontId="13" fillId="0" borderId="1" xfId="0" applyNumberFormat="1" applyFont="1" applyFill="1" applyBorder="1" applyAlignment="1" applyProtection="1">
      <alignment horizontal="right" vertical="bottom"/>
      <protection locked="1" hidden="0"/>
    </xf>
    <xf numFmtId="166" fontId="11" fillId="3" borderId="0" xfId="0" applyNumberFormat="1" applyFont="1" applyFill="1" applyAlignment="1" applyProtection="1">
      <alignment horizontal="right" vertical="bottom"/>
      <protection locked="1" hidden="0"/>
    </xf>
    <xf numFmtId="173" fontId="1" fillId="3" borderId="0" xfId="0" applyNumberFormat="1" applyFont="1" applyFill="1" applyAlignment="1" applyProtection="1">
      <alignment horizontal="right" vertical="bottom"/>
      <protection locked="1" hidden="0"/>
    </xf>
    <xf numFmtId="169" fontId="12" fillId="0" borderId="0" xfId="0" applyNumberFormat="1" applyFont="1" applyFill="1" applyAlignment="1" applyProtection="1">
      <alignment horizontal="right" vertical="bottom"/>
      <protection locked="1" hidden="0"/>
    </xf>
    <xf numFmtId="167" fontId="1" fillId="0" borderId="0" xfId="0" applyNumberFormat="1" applyFont="1" applyFill="1" applyAlignment="1" applyProtection="1">
      <alignment horizontal="right" vertical="bottom"/>
      <protection locked="1" hidden="0"/>
    </xf>
    <xf numFmtId="170" fontId="10" fillId="3" borderId="0" xfId="0" applyNumberFormat="1" applyFont="1" applyFill="1" applyAlignment="1" applyProtection="1">
      <alignment horizontal="right" vertical="bottom"/>
      <protection locked="1" hidden="0"/>
    </xf>
    <xf numFmtId="173" fontId="12" fillId="3" borderId="0" xfId="0" applyNumberFormat="1" applyFont="1" applyFill="1" applyAlignment="1" applyProtection="1">
      <alignment horizontal="right" vertical="bottom"/>
      <protection locked="1" hidden="0"/>
    </xf>
    <xf numFmtId="0" fontId="6" fillId="0" borderId="2" xfId="0" applyFont="1" applyFill="1" applyBorder="1" applyAlignment="1" applyProtection="1">
      <alignment horizontal="general" vertical="bottom"/>
      <protection locked="1" hidden="0"/>
    </xf>
    <xf numFmtId="164" fontId="18" fillId="0" borderId="0" xfId="0" applyNumberFormat="1" applyFont="1" applyFill="1" applyAlignment="1" applyProtection="1">
      <alignment horizontal="general" vertical="top"/>
      <protection locked="1" hidden="0"/>
    </xf>
    <xf numFmtId="164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18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4" fontId="19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74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0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6" fontId="23" fillId="3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theme" Target="theme/theme1.xml"/><Relationship Id="rId18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85725</xdr:colOff>
      <xdr:row>0</xdr:row>
      <xdr:rowOff>28575</xdr:rowOff>
    </xdr:from>
    <xdr:ext cx="571500" cy="571500"/>
    <xdr:pic>
      <xdr:nvPicPr>
        <xdr:cNvPr id="2" name="Shortcut 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1.xml"/><Relationship Id="rId2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omments" Target="../comments14.xml"/><Relationship Id="rId2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showGridLines="0" tabSelected="1" workbookViewId="0"/>
  </sheetViews>
  <sheetFormatPr defaultRowHeight="15"/>
  <cols>
    <col min="1" max="1" width="44" customWidth="1"/>
    <col min="2" max="6" width="14" customWidth="1"/>
    <col min="7" max="7" width="4" customWidth="1"/>
    <col min="8" max="8" width="10" customWidth="1"/>
  </cols>
  <sheetData>
    <row r="1" ht="16.5">
      <c r="A1" s="65" t="s">
        <v>0</v>
      </c>
      <c r="B1" s="3"/>
      <c r="C1" s="3"/>
      <c r="D1" s="3"/>
      <c r="E1" s="3"/>
      <c r="F1" s="3"/>
      <c r="G1" s="3"/>
      <c r="H1" s="3"/>
    </row>
    <row r="2" ht="16.5">
      <c r="A2" s="43" t="s">
        <v>1</v>
      </c>
      <c r="B2" s="3"/>
      <c r="C2" s="3"/>
      <c r="D2" s="3"/>
      <c r="E2" s="3"/>
      <c r="F2" s="3"/>
      <c r="G2" s="3"/>
      <c r="H2" s="3"/>
    </row>
    <row r="3" ht="16.5">
      <c r="A3" s="60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4</v>
      </c>
      <c r="C4" s="5"/>
      <c r="D4" s="5"/>
      <c r="E4" s="5"/>
      <c r="F4" s="5"/>
      <c r="G4" s="9"/>
      <c r="H4" s="57" t="s">
        <v>5</v>
      </c>
    </row>
    <row r="5">
      <c r="A5" s="7" t="s">
        <v>6</v>
      </c>
      <c r="B5" s="23">
        <f>DATE(2026,9,30)</f>
        <v>46295</v>
      </c>
      <c r="C5" s="23"/>
      <c r="D5" s="23"/>
      <c r="E5" s="23"/>
      <c r="F5" s="23"/>
      <c r="G5" s="7"/>
      <c r="H5" s="7"/>
    </row>
    <row r="6">
      <c r="A6" s="6" t="s">
        <v>7</v>
      </c>
      <c r="B6" s="40">
        <f>B5-DATE(2026,6,30)</f>
        <v>92</v>
      </c>
      <c r="C6" s="40"/>
      <c r="D6" s="40"/>
      <c r="E6" s="40"/>
      <c r="F6" s="40"/>
      <c r="G6" s="6"/>
      <c r="H6" s="6"/>
    </row>
    <row r="7">
      <c r="A7" s="3"/>
      <c r="B7" s="3"/>
      <c r="C7" s="3"/>
      <c r="D7" s="3"/>
      <c r="E7" s="3"/>
      <c r="F7" s="3"/>
      <c r="G7" s="3"/>
      <c r="H7" s="3"/>
    </row>
    <row r="8">
      <c r="A8" s="71" t="s">
        <v>8</v>
      </c>
      <c r="B8" s="31"/>
      <c r="C8" s="31"/>
      <c r="D8" s="31"/>
      <c r="E8" s="31"/>
      <c r="F8" s="31"/>
      <c r="G8" s="28"/>
      <c r="H8" s="3"/>
    </row>
    <row r="9">
      <c r="A9" s="3"/>
      <c r="B9" s="34"/>
      <c r="C9" s="34"/>
      <c r="D9" s="34"/>
      <c r="E9" s="34"/>
      <c r="F9" s="34"/>
      <c r="G9" s="3"/>
      <c r="H9" s="3"/>
    </row>
    <row r="10">
      <c r="A10" s="3" t="s">
        <v>9</v>
      </c>
      <c r="B10" s="16" t="s">
        <v>10</v>
      </c>
      <c r="C10" s="34"/>
      <c r="D10" s="34"/>
      <c r="E10" s="34"/>
      <c r="F10" s="34"/>
      <c r="G10" s="3"/>
      <c r="H10" s="3"/>
    </row>
    <row r="11">
      <c r="A11" s="3" t="s">
        <v>11</v>
      </c>
      <c r="B11" s="16" t="s">
        <v>12</v>
      </c>
      <c r="C11" s="34"/>
      <c r="D11" s="34"/>
      <c r="E11" s="34"/>
      <c r="F11" s="34"/>
      <c r="G11" s="3"/>
      <c r="H11" s="3"/>
    </row>
    <row r="12">
      <c r="A12" s="3" t="s">
        <v>13</v>
      </c>
      <c r="B12" s="16" t="s">
        <v>14</v>
      </c>
      <c r="C12" s="34"/>
      <c r="D12" s="34"/>
      <c r="E12" s="34"/>
      <c r="F12" s="34"/>
      <c r="G12" s="3"/>
      <c r="H12" s="3"/>
    </row>
    <row r="13">
      <c r="A13" s="3" t="s">
        <v>15</v>
      </c>
      <c r="B13" s="16" t="s">
        <v>16</v>
      </c>
      <c r="C13" s="34"/>
      <c r="D13" s="34"/>
      <c r="E13" s="34"/>
      <c r="F13" s="34"/>
      <c r="G13" s="3"/>
      <c r="H13" s="3"/>
    </row>
    <row r="14">
      <c r="A14" s="3" t="s">
        <v>17</v>
      </c>
      <c r="B14" s="16" t="s">
        <v>18</v>
      </c>
      <c r="C14" s="34"/>
      <c r="D14" s="34"/>
      <c r="E14" s="34"/>
      <c r="F14" s="34"/>
      <c r="G14" s="3"/>
      <c r="H14" s="3"/>
    </row>
    <row r="15">
      <c r="A15" s="3" t="s">
        <v>19</v>
      </c>
      <c r="B15" s="16" t="s">
        <v>20</v>
      </c>
      <c r="C15" s="34"/>
      <c r="D15" s="34"/>
      <c r="E15" s="34"/>
      <c r="F15" s="34"/>
      <c r="G15" s="3"/>
      <c r="H15" s="3"/>
    </row>
    <row r="16">
      <c r="A16" s="3" t="s">
        <v>21</v>
      </c>
      <c r="B16" s="16" t="s">
        <v>22</v>
      </c>
      <c r="C16" s="34"/>
      <c r="D16" s="34"/>
      <c r="E16" s="34"/>
      <c r="F16" s="34"/>
      <c r="G16" s="3"/>
      <c r="H16" s="3"/>
    </row>
    <row r="17">
      <c r="A17" s="3" t="s">
        <v>23</v>
      </c>
      <c r="B17" s="16" t="s">
        <v>24</v>
      </c>
      <c r="C17" s="34"/>
      <c r="D17" s="34"/>
      <c r="E17" s="34"/>
      <c r="F17" s="34"/>
      <c r="G17" s="3"/>
      <c r="H17" s="3"/>
    </row>
    <row r="18">
      <c r="A18" s="3" t="s">
        <v>25</v>
      </c>
      <c r="B18" s="16" t="s">
        <v>26</v>
      </c>
      <c r="C18" s="34"/>
      <c r="D18" s="34"/>
      <c r="E18" s="34"/>
      <c r="F18" s="34"/>
      <c r="G18" s="3"/>
      <c r="H18" s="3"/>
    </row>
    <row r="19">
      <c r="A19" s="3"/>
      <c r="B19" s="34"/>
      <c r="C19" s="34"/>
      <c r="D19" s="34"/>
      <c r="E19" s="34"/>
      <c r="F19" s="34"/>
      <c r="G19" s="3"/>
      <c r="H19" s="3"/>
    </row>
    <row r="20" ht="24">
      <c r="A20" s="28" t="s">
        <v>27</v>
      </c>
      <c r="B20" s="32" t="s">
        <v>28</v>
      </c>
      <c r="C20" s="32" t="s">
        <v>29</v>
      </c>
      <c r="D20" s="32" t="s">
        <v>30</v>
      </c>
      <c r="E20" s="32" t="s">
        <v>31</v>
      </c>
      <c r="F20" s="32" t="s">
        <v>32</v>
      </c>
      <c r="G20" s="28"/>
      <c r="H20" s="3"/>
    </row>
    <row r="21">
      <c r="A21" s="3" t="s">
        <v>33</v>
      </c>
      <c r="B21" s="35">
        <f>'Income Statement'!G9</f>
        <v>22852.863999999998</v>
      </c>
      <c r="C21" s="35">
        <f>Inputs!B74</f>
        <v>22823.47</v>
      </c>
      <c r="D21" s="22">
        <f>B21-C21</f>
        <v>29.393999999996595</v>
      </c>
      <c r="E21" s="35">
        <f>'Income Statement'!B9*(1+Guidance!F21)</f>
        <v>22833.72</v>
      </c>
      <c r="F21" s="22">
        <f>B21-E21</f>
        <v>19.143999999996595</v>
      </c>
      <c r="G21" s="3"/>
      <c r="H21" s="3" t="s">
        <v>34</v>
      </c>
    </row>
    <row r="22">
      <c r="A22" s="46" t="s">
        <v>35</v>
      </c>
      <c r="B22" s="20"/>
      <c r="C22" s="20"/>
      <c r="D22" s="20">
        <f>D21/C21</f>
        <v>0.0012878847957824378</v>
      </c>
      <c r="E22" s="20"/>
      <c r="F22" s="20">
        <f>F21/E21</f>
        <v>0.0008384091597863421</v>
      </c>
      <c r="G22" s="11"/>
      <c r="H22" s="3"/>
    </row>
    <row r="23">
      <c r="A23" s="3" t="s">
        <v>36</v>
      </c>
      <c r="B23" s="35">
        <f>'Income Statement'!G72</f>
        <v>4571.2905088</v>
      </c>
      <c r="C23" s="35">
        <f>Inputs!B87</f>
        <v>4569.51</v>
      </c>
      <c r="D23" s="22">
        <f>B23-C23</f>
        <v>1.7805087999995521</v>
      </c>
      <c r="E23" s="35">
        <f>E25*'Share Count'!G14</f>
        <v>4549.687358900381</v>
      </c>
      <c r="F23" s="22">
        <f>B23-E23</f>
        <v>21.603149899618984</v>
      </c>
      <c r="G23" s="3"/>
      <c r="H23" s="3" t="s">
        <v>37</v>
      </c>
    </row>
    <row r="24">
      <c r="A24" s="46" t="s">
        <v>35</v>
      </c>
      <c r="B24" s="20"/>
      <c r="C24" s="20"/>
      <c r="D24" s="20">
        <f>D23/C23</f>
        <v>0.0003896498311634184</v>
      </c>
      <c r="E24" s="20"/>
      <c r="F24" s="20">
        <f>F23/E23</f>
        <v>0.004748271297665665</v>
      </c>
      <c r="G24" s="11"/>
      <c r="H24" s="3"/>
    </row>
    <row r="25">
      <c r="A25" s="28" t="s">
        <v>38</v>
      </c>
      <c r="B25" s="48">
        <f>'Income Statement'!G74</f>
        <v>1.899476606888237</v>
      </c>
      <c r="C25" s="48">
        <f>Inputs!B56</f>
        <v>1.89</v>
      </c>
      <c r="D25" s="37">
        <f>B25-C25</f>
        <v>0.009476606888237038</v>
      </c>
      <c r="E25" s="48">
        <f>Guidance!E32</f>
        <v>1.8904999999999998</v>
      </c>
      <c r="F25" s="37">
        <f>B25-E25</f>
        <v>0.008976606888237093</v>
      </c>
      <c r="G25" s="28"/>
      <c r="H25" s="3" t="s">
        <v>39</v>
      </c>
    </row>
    <row r="26">
      <c r="A26" s="46" t="s">
        <v>35</v>
      </c>
      <c r="B26" s="20"/>
      <c r="C26" s="20"/>
      <c r="D26" s="20">
        <f>D25/C25</f>
        <v>0.005014077718643936</v>
      </c>
      <c r="E26" s="20"/>
      <c r="F26" s="20">
        <f>F25/E25</f>
        <v>0.004748271297665746</v>
      </c>
      <c r="G26" s="11"/>
      <c r="H26" s="3"/>
    </row>
    <row r="27">
      <c r="A27" s="3" t="s">
        <v>40</v>
      </c>
      <c r="B27" s="35">
        <f>'Income Statement'!G44</f>
        <v>4483.2905088</v>
      </c>
      <c r="C27" s="35">
        <f>Inputs!B88</f>
        <v>4498.02</v>
      </c>
      <c r="D27" s="22">
        <f>B27-C27</f>
        <v>-14.729491200000666</v>
      </c>
      <c r="E27" s="22" t="s">
        <v>41</v>
      </c>
      <c r="F27" s="22" t="s">
        <v>41</v>
      </c>
      <c r="G27" s="3"/>
      <c r="H27" s="3"/>
    </row>
    <row r="28">
      <c r="A28" s="3" t="s">
        <v>42</v>
      </c>
      <c r="B28" s="42">
        <f>'Income Statement'!G53</f>
        <v>1.8629105778676827</v>
      </c>
      <c r="C28" s="42">
        <f>Inputs!B65</f>
        <v>1.86</v>
      </c>
      <c r="D28" s="38">
        <f>B28-C28</f>
        <v>0.002910577867682562</v>
      </c>
      <c r="E28" s="38" t="s">
        <v>41</v>
      </c>
      <c r="F28" s="38" t="s">
        <v>41</v>
      </c>
      <c r="G28" s="3"/>
      <c r="H28" s="3"/>
    </row>
    <row r="29">
      <c r="A29" s="3" t="s">
        <v>43</v>
      </c>
      <c r="B29" s="68">
        <f>ABS(B21-'Income Statement'!G9)+ABS(B23-'Income Statement'!G72)+ABS(B25-'Income Statement'!G74)+ABS(B27-'Income Statement'!G44)+ABS(B28-'Income Statement'!G53)</f>
        <v>0</v>
      </c>
      <c r="C29" s="45"/>
      <c r="D29" s="45"/>
      <c r="E29" s="45"/>
      <c r="F29" s="45"/>
      <c r="G29" s="3"/>
      <c r="H29" s="3"/>
    </row>
    <row r="30">
      <c r="A30" s="28" t="s">
        <v>44</v>
      </c>
      <c r="B30" s="55" t="str">
        <f>IF(AND(COUNTIF('Revenue summary'!B47:G47,TRUE)=6,COUNTIF('Revenue summary'!B92:G92,TRUE)=6,B29&lt;0.000001,(SUMIF('Revenue summary'!B48:E48,"&gt;0")-SUMIF('Revenue summary'!B48:E48,"&lt;0"))&lt;0.5,(SUMIF('Balance Sheet'!B32:G32,"&gt;0")-SUMIF('Balance Sheet'!B32:G32,"&lt;0"))&lt;0.5,(SUMIF('Cash Flow Statement'!B45:G45,"&gt;0")-SUMIF('Cash Flow Statement'!B45:G45,"&lt;0"))&lt;0.5,(SUMIF('Income Statement'!B56:G56,"&gt;0")-SUMIF('Income Statement'!B56:G56,"&lt;0"))&lt;0.005,(SUMIF('Income Statement'!B77:F77,"&gt;0")-SUMIF('Income Statement'!B77:F77,"&lt;0"))&lt;0.005,(SUMIF('Income Statement'!B78:E78,"&gt;0")-SUMIF('Income Statement'!B78:E78,"&lt;0"))&lt;0.005,(SUMIF('Income Statement'!B57:E57,"&gt;0")-SUMIF('Income Statement'!B57:E57,"&lt;0"))&lt;0.005,(SUMIF('Income Statement'!B102:G102,"&gt;0")-SUMIF('Income Statement'!B102:G102,"&lt;0"))&lt;0.5,(SUMIF('Share Count'!B18:D18,"&gt;0")-SUMIF('Share Count'!B18:D18,"&lt;0"))+ABS('Share Count'!F18)&lt;0.05,Geo!F18=TRUE,COUNT('Revenue summary'!G95:G102)=8,COUNT('Income Statement'!G106:G122)=17,ISNUMBER('Income Statement'!G99),ISNUMBER('Revenue summary'!G74),ABS(B21-'Income Statement'!G9)&lt;0.001,ABS(B23-'Income Statement'!G72)&lt;0.001,ABS(B25-'Income Statement'!G74)&lt;0.000001,ABS(B25-'Income Statement'!G72/'Income Statement'!G51)&lt;0.000001),"PASS","FAIL")</f>
        <v>PASS</v>
      </c>
      <c r="C30" s="33"/>
      <c r="D30" s="33"/>
      <c r="E30" s="33"/>
      <c r="F30" s="33"/>
      <c r="G30" s="28"/>
      <c r="H30" s="3"/>
    </row>
    <row r="31">
      <c r="A31" s="62" t="s">
        <v>45</v>
      </c>
      <c r="B31" s="53">
        <f>Inputs!B37</f>
        <v>0.6242857142857143</v>
      </c>
      <c r="C31" s="47"/>
      <c r="D31" s="47"/>
      <c r="E31" s="47"/>
      <c r="F31" s="47"/>
      <c r="G31" s="62"/>
      <c r="H31" s="3"/>
    </row>
    <row r="32">
      <c r="A32" s="28" t="s">
        <v>46</v>
      </c>
      <c r="B32" s="36" t="str">
        <f>Inputs!B38</f>
        <v>medium</v>
      </c>
      <c r="C32" s="31"/>
      <c r="D32" s="31"/>
      <c r="E32" s="31"/>
      <c r="F32" s="31"/>
      <c r="G32" s="28"/>
      <c r="H32" s="3"/>
    </row>
    <row r="33">
      <c r="A33" s="3"/>
      <c r="B33" s="34"/>
      <c r="C33" s="34"/>
      <c r="D33" s="34"/>
      <c r="E33" s="34"/>
      <c r="F33" s="34"/>
      <c r="G33" s="3"/>
      <c r="H33" s="3"/>
    </row>
    <row r="34">
      <c r="A34" s="49" t="s">
        <v>47</v>
      </c>
      <c r="B34" s="31"/>
      <c r="C34" s="31"/>
      <c r="D34" s="31"/>
      <c r="E34" s="31"/>
      <c r="F34" s="31"/>
      <c r="G34" s="28"/>
      <c r="H34" s="3"/>
    </row>
    <row r="35">
      <c r="A35" s="3" t="s">
        <v>48</v>
      </c>
      <c r="B35" s="39">
        <v>1.89</v>
      </c>
      <c r="C35" s="38"/>
      <c r="D35" s="38"/>
      <c r="E35" s="38"/>
      <c r="F35" s="38"/>
      <c r="G35" s="3"/>
      <c r="H35" s="3" t="s">
        <v>49</v>
      </c>
    </row>
    <row r="36">
      <c r="A36" s="3" t="s">
        <v>50</v>
      </c>
      <c r="B36" s="44">
        <v>22700</v>
      </c>
      <c r="C36" s="22"/>
      <c r="D36" s="22"/>
      <c r="E36" s="22"/>
      <c r="F36" s="22"/>
      <c r="G36" s="3"/>
      <c r="H36" s="3" t="s">
        <v>49</v>
      </c>
    </row>
    <row r="37">
      <c r="A37" s="3" t="s">
        <v>51</v>
      </c>
      <c r="B37" s="39">
        <v>1.89</v>
      </c>
      <c r="C37" s="38"/>
      <c r="D37" s="38"/>
      <c r="E37" s="38"/>
      <c r="F37" s="38"/>
      <c r="G37" s="3"/>
      <c r="H37" s="3" t="s">
        <v>52</v>
      </c>
    </row>
    <row r="38">
      <c r="A38" s="3" t="s">
        <v>53</v>
      </c>
      <c r="B38" s="39">
        <v>1.88</v>
      </c>
      <c r="C38" s="38"/>
      <c r="D38" s="38"/>
      <c r="E38" s="38"/>
      <c r="F38" s="38"/>
      <c r="G38" s="3"/>
      <c r="H38" s="3" t="s">
        <v>54</v>
      </c>
    </row>
    <row r="39">
      <c r="A39" s="3" t="s">
        <v>55</v>
      </c>
      <c r="B39" s="44">
        <v>22750</v>
      </c>
      <c r="C39" s="22"/>
      <c r="D39" s="22"/>
      <c r="E39" s="22"/>
      <c r="F39" s="22"/>
      <c r="G39" s="3"/>
      <c r="H39" s="3" t="s">
        <v>54</v>
      </c>
    </row>
    <row r="40">
      <c r="A40" s="3" t="s">
        <v>56</v>
      </c>
      <c r="B40" s="39">
        <v>1.88</v>
      </c>
      <c r="C40" s="38"/>
      <c r="D40" s="38"/>
      <c r="E40" s="38"/>
      <c r="F40" s="38"/>
      <c r="G40" s="3"/>
      <c r="H40" s="3" t="s">
        <v>57</v>
      </c>
    </row>
    <row r="41">
      <c r="A41" s="3" t="s">
        <v>58</v>
      </c>
      <c r="B41" s="44">
        <v>22770</v>
      </c>
      <c r="C41" s="22"/>
      <c r="D41" s="22"/>
      <c r="E41" s="22"/>
      <c r="F41" s="22"/>
      <c r="G41" s="3"/>
      <c r="H41" s="3" t="s">
        <v>57</v>
      </c>
    </row>
    <row r="42">
      <c r="A42" s="3" t="s">
        <v>59</v>
      </c>
      <c r="B42" s="42">
        <f>Inputs!B59</f>
        <v>1.85</v>
      </c>
      <c r="C42" s="42">
        <f>Inputs!B58</f>
        <v>2</v>
      </c>
      <c r="D42" s="38"/>
      <c r="E42" s="38"/>
      <c r="F42" s="38"/>
      <c r="G42" s="3"/>
      <c r="H42" s="3" t="s">
        <v>60</v>
      </c>
    </row>
  </sheetData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2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61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67</v>
      </c>
      <c r="B8" s="25"/>
      <c r="C8" s="25"/>
      <c r="D8" s="25"/>
      <c r="E8" s="25"/>
      <c r="F8" s="25"/>
      <c r="G8" s="61"/>
      <c r="H8" s="3"/>
    </row>
    <row r="9">
      <c r="A9" s="3" t="s">
        <v>68</v>
      </c>
      <c r="B9" s="35">
        <f>'Segment - Beauty'!B47</f>
        <v>4143</v>
      </c>
      <c r="C9" s="35">
        <f>'Segment - Beauty'!C47</f>
        <v>4039</v>
      </c>
      <c r="D9" s="35">
        <f>'Segment - Beauty'!D47</f>
        <v>3866</v>
      </c>
      <c r="E9" s="35">
        <f>'Segment - Beauty'!E47</f>
        <v>3975</v>
      </c>
      <c r="F9" s="35">
        <f>'Segment - Beauty'!F47</f>
        <v>16023</v>
      </c>
      <c r="G9" s="56">
        <f>'Segment - Beauty'!G47</f>
        <v>4275.576</v>
      </c>
      <c r="H9" s="3" t="s">
        <v>69</v>
      </c>
    </row>
    <row r="10">
      <c r="A10" s="46" t="s">
        <v>70</v>
      </c>
      <c r="B10" s="21">
        <f>'Segment - Beauty'!B48</f>
        <v>0.06449126413155182</v>
      </c>
      <c r="C10" s="21">
        <f>'Segment - Beauty'!C48</f>
        <v>0.049636174636174646</v>
      </c>
      <c r="D10" s="21">
        <f>'Segment - Beauty'!D48</f>
        <v>0.1077363896848138</v>
      </c>
      <c r="E10" s="21">
        <f>'Segment - Beauty'!E48</f>
        <v>0.06482721671577818</v>
      </c>
      <c r="F10" s="21">
        <f>'Segment - Beauty'!F48</f>
        <v>0.07076984763432237</v>
      </c>
      <c r="G10" s="85">
        <f>'Segment - Beauty'!G48</f>
        <v>0.03200000000000003</v>
      </c>
      <c r="H10" s="3"/>
    </row>
    <row r="11">
      <c r="A11" s="46" t="s">
        <v>71</v>
      </c>
      <c r="B11" s="20" t="s">
        <v>41</v>
      </c>
      <c r="C11" s="20">
        <f>C9/B9-1</f>
        <v>-0.02510258266956311</v>
      </c>
      <c r="D11" s="20">
        <f>D9/C9-1</f>
        <v>-0.04283238425352809</v>
      </c>
      <c r="E11" s="20">
        <f>E9/D9-1</f>
        <v>0.028194516295913186</v>
      </c>
      <c r="F11" s="20" t="s">
        <v>41</v>
      </c>
      <c r="G11" s="29">
        <f>G9/E9-1</f>
        <v>0.07561660377358481</v>
      </c>
      <c r="H11" s="3"/>
    </row>
    <row r="12">
      <c r="A12" s="41" t="s">
        <v>72</v>
      </c>
      <c r="B12" s="22" t="s">
        <v>41</v>
      </c>
      <c r="C12" s="22">
        <f>C9-B9</f>
        <v>-104</v>
      </c>
      <c r="D12" s="22">
        <f>D9-C9</f>
        <v>-173</v>
      </c>
      <c r="E12" s="22">
        <f>E9-D9</f>
        <v>109</v>
      </c>
      <c r="F12" s="22" t="s">
        <v>41</v>
      </c>
      <c r="G12" s="27">
        <f>G9-E9</f>
        <v>300.576</v>
      </c>
      <c r="H12" s="3"/>
    </row>
    <row r="13">
      <c r="A13" s="46" t="s">
        <v>73</v>
      </c>
      <c r="B13" s="20">
        <f>IFERROR(B9/B39,"n/a")</f>
        <v>0.18507102653444116</v>
      </c>
      <c r="C13" s="20">
        <f>IFERROR(C9/C39,"n/a")</f>
        <v>0.18187139769452448</v>
      </c>
      <c r="D13" s="20">
        <f>IFERROR(D9/D39,"n/a")</f>
        <v>0.18205792323993408</v>
      </c>
      <c r="E13" s="20">
        <f>IFERROR(E9/E39,"n/a")</f>
        <v>0.18747347073527332</v>
      </c>
      <c r="F13" s="20">
        <f>IFERROR(F9/F39,"n/a")</f>
        <v>0.18410469712289732</v>
      </c>
      <c r="G13" s="29">
        <f>IFERROR(G9/G39,"n/a")</f>
        <v>0.18709147352384367</v>
      </c>
      <c r="H13" s="3"/>
    </row>
    <row r="14">
      <c r="A14" s="3" t="s">
        <v>74</v>
      </c>
      <c r="B14" s="35">
        <f>'Segment - Grooming'!B47</f>
        <v>1817</v>
      </c>
      <c r="C14" s="35">
        <f>'Segment - Grooming'!C47</f>
        <v>1794</v>
      </c>
      <c r="D14" s="35">
        <f>'Segment - Grooming'!D47</f>
        <v>1608</v>
      </c>
      <c r="E14" s="35">
        <f>'Segment - Grooming'!E47</f>
        <v>1699</v>
      </c>
      <c r="F14" s="35">
        <f>'Segment - Grooming'!F47</f>
        <v>6918</v>
      </c>
      <c r="G14" s="56">
        <f>'Segment - Grooming'!G47</f>
        <v>1826.0849999999998</v>
      </c>
      <c r="H14" s="3" t="s">
        <v>69</v>
      </c>
    </row>
    <row r="15">
      <c r="A15" s="46" t="s">
        <v>70</v>
      </c>
      <c r="B15" s="21">
        <f>'Segment - Grooming'!B48</f>
        <v>0.054556006964596726</v>
      </c>
      <c r="C15" s="21">
        <f>'Segment - Grooming'!C48</f>
        <v>0.023972602739726012</v>
      </c>
      <c r="D15" s="21">
        <f>'Segment - Grooming'!D48</f>
        <v>0.06843853820598</v>
      </c>
      <c r="E15" s="21">
        <f>'Segment - Grooming'!E48</f>
        <v>0.009506833036244888</v>
      </c>
      <c r="F15" s="21">
        <f>'Segment - Grooming'!F48</f>
        <v>0.03842689882918049</v>
      </c>
      <c r="G15" s="85">
        <f>'Segment - Grooming'!G48</f>
        <v>0.004999999999999893</v>
      </c>
      <c r="H15" s="3"/>
    </row>
    <row r="16">
      <c r="A16" s="46" t="s">
        <v>71</v>
      </c>
      <c r="B16" s="20" t="s">
        <v>41</v>
      </c>
      <c r="C16" s="20">
        <f>C14/B14-1</f>
        <v>-0.012658227848101222</v>
      </c>
      <c r="D16" s="20">
        <f>D14/C14-1</f>
        <v>-0.10367892976588633</v>
      </c>
      <c r="E16" s="20">
        <f>E14/D14-1</f>
        <v>0.05659203980099492</v>
      </c>
      <c r="F16" s="20" t="s">
        <v>41</v>
      </c>
      <c r="G16" s="29">
        <f>G14/E14-1</f>
        <v>0.07479988228369616</v>
      </c>
      <c r="H16" s="3"/>
    </row>
    <row r="17">
      <c r="A17" s="41" t="s">
        <v>72</v>
      </c>
      <c r="B17" s="22" t="s">
        <v>41</v>
      </c>
      <c r="C17" s="22">
        <f>C14-B14</f>
        <v>-23</v>
      </c>
      <c r="D17" s="22">
        <f>D14-C14</f>
        <v>-186</v>
      </c>
      <c r="E17" s="22">
        <f>E14-D14</f>
        <v>91</v>
      </c>
      <c r="F17" s="22" t="s">
        <v>41</v>
      </c>
      <c r="G17" s="27">
        <f>G14-E14</f>
        <v>127.08499999999981</v>
      </c>
      <c r="H17" s="3"/>
    </row>
    <row r="18">
      <c r="A18" s="46" t="s">
        <v>73</v>
      </c>
      <c r="B18" s="20">
        <f>IFERROR(B14/B39,"n/a")</f>
        <v>0.0811668006789958</v>
      </c>
      <c r="C18" s="20">
        <f>IFERROR(C14/C39,"n/a")</f>
        <v>0.08078170028818443</v>
      </c>
      <c r="D18" s="20">
        <f>IFERROR(D14/D39,"n/a")</f>
        <v>0.07572404049917589</v>
      </c>
      <c r="E18" s="20">
        <f>IFERROR(E14/E39,"n/a")</f>
        <v>0.08013017025892562</v>
      </c>
      <c r="F18" s="20">
        <f>IFERROR(F14/F39,"n/a")</f>
        <v>0.07948800441217023</v>
      </c>
      <c r="G18" s="29">
        <f>IFERROR(G14/G39,"n/a")</f>
        <v>0.07990617718636929</v>
      </c>
      <c r="H18" s="3"/>
    </row>
    <row r="19">
      <c r="A19" s="3" t="s">
        <v>75</v>
      </c>
      <c r="B19" s="35">
        <f>'Segment - Health Care'!B47</f>
        <v>3220</v>
      </c>
      <c r="C19" s="35">
        <f>'Segment - Health Care'!C47</f>
        <v>3406</v>
      </c>
      <c r="D19" s="35">
        <f>'Segment - Health Care'!D47</f>
        <v>3073</v>
      </c>
      <c r="E19" s="35">
        <f>'Segment - Health Care'!E47</f>
        <v>2757</v>
      </c>
      <c r="F19" s="35">
        <f>'Segment - Health Care'!F47</f>
        <v>12456</v>
      </c>
      <c r="G19" s="56">
        <f>'Segment - Health Care'!G47</f>
        <v>3274.74</v>
      </c>
      <c r="H19" s="3" t="s">
        <v>69</v>
      </c>
    </row>
    <row r="20">
      <c r="A20" s="46" t="s">
        <v>70</v>
      </c>
      <c r="B20" s="21">
        <f>'Segment - Health Care'!B48</f>
        <v>0.023196695265331968</v>
      </c>
      <c r="C20" s="21">
        <f>'Segment - Health Care'!C48</f>
        <v>0.04832256078793473</v>
      </c>
      <c r="D20" s="21">
        <f>'Segment - Health Care'!D48</f>
        <v>0.06701388888888893</v>
      </c>
      <c r="E20" s="21">
        <f>'Segment - Health Care'!E48</f>
        <v>0.01285819250551068</v>
      </c>
      <c r="F20" s="21">
        <f>'Segment - Health Care'!F48</f>
        <v>0.038173028838139667</v>
      </c>
      <c r="G20" s="85">
        <f>'Segment - Health Care'!G48</f>
        <v>0.016999999999999904</v>
      </c>
      <c r="H20" s="3"/>
    </row>
    <row r="21">
      <c r="A21" s="46" t="s">
        <v>71</v>
      </c>
      <c r="B21" s="20" t="s">
        <v>41</v>
      </c>
      <c r="C21" s="20">
        <f>C19/B19-1</f>
        <v>0.05776397515527942</v>
      </c>
      <c r="D21" s="20">
        <f>D19/C19-1</f>
        <v>-0.09776864357017023</v>
      </c>
      <c r="E21" s="20">
        <f>E19/D19-1</f>
        <v>-0.10283110966482267</v>
      </c>
      <c r="F21" s="20" t="s">
        <v>41</v>
      </c>
      <c r="G21" s="29">
        <f>G19/E19-1</f>
        <v>0.18779107725788902</v>
      </c>
      <c r="H21" s="3"/>
    </row>
    <row r="22">
      <c r="A22" s="41" t="s">
        <v>72</v>
      </c>
      <c r="B22" s="22" t="s">
        <v>41</v>
      </c>
      <c r="C22" s="22">
        <f>C19-B19</f>
        <v>186</v>
      </c>
      <c r="D22" s="22">
        <f>D19-C19</f>
        <v>-333</v>
      </c>
      <c r="E22" s="22">
        <f>E19-D19</f>
        <v>-316</v>
      </c>
      <c r="F22" s="22" t="s">
        <v>41</v>
      </c>
      <c r="G22" s="27">
        <f>G19-E19</f>
        <v>517.7399999999998</v>
      </c>
      <c r="H22" s="3"/>
    </row>
    <row r="23">
      <c r="A23" s="46" t="s">
        <v>73</v>
      </c>
      <c r="B23" s="20">
        <f>IFERROR(B19/B39,"n/a")</f>
        <v>0.1438398999374609</v>
      </c>
      <c r="C23" s="20">
        <f>IFERROR(C19/C39,"n/a")</f>
        <v>0.15336815561959655</v>
      </c>
      <c r="D23" s="20">
        <f>IFERROR(D19/D39,"n/a")</f>
        <v>0.14471391570520367</v>
      </c>
      <c r="E23" s="20">
        <f>IFERROR(E19/E39,"n/a")</f>
        <v>0.13002876951374806</v>
      </c>
      <c r="F23" s="20">
        <f>IFERROR(F19/F39,"n/a")</f>
        <v>0.14311977203787113</v>
      </c>
      <c r="G23" s="29">
        <f>IFERROR(G19/G39,"n/a")</f>
        <v>0.14329670014226664</v>
      </c>
      <c r="H23" s="3"/>
    </row>
    <row r="24">
      <c r="A24" s="3" t="s">
        <v>76</v>
      </c>
      <c r="B24" s="35">
        <f>'Segment - Fabric &amp; Home Care'!B47</f>
        <v>7793</v>
      </c>
      <c r="C24" s="35">
        <f>'Segment - Fabric &amp; Home Care'!C47</f>
        <v>7686</v>
      </c>
      <c r="D24" s="35">
        <f>'Segment - Fabric &amp; Home Care'!D47</f>
        <v>7403</v>
      </c>
      <c r="E24" s="35">
        <f>'Segment - Fabric &amp; Home Care'!E47</f>
        <v>7432</v>
      </c>
      <c r="F24" s="35">
        <f>'Segment - Fabric &amp; Home Care'!F47</f>
        <v>30314</v>
      </c>
      <c r="G24" s="56">
        <f>'Segment - Fabric &amp; Home Care'!G47</f>
        <v>8003.410999999999</v>
      </c>
      <c r="H24" s="3" t="s">
        <v>69</v>
      </c>
    </row>
    <row r="25">
      <c r="A25" s="46" t="s">
        <v>70</v>
      </c>
      <c r="B25" s="21">
        <f>'Segment - Fabric &amp; Home Care'!B48</f>
        <v>0.010765239948119287</v>
      </c>
      <c r="C25" s="21">
        <f>'Segment - Fabric &amp; Home Care'!C48</f>
        <v>0.014653465346534666</v>
      </c>
      <c r="D25" s="21">
        <f>'Segment - Fabric &amp; Home Care'!D48</f>
        <v>0.06548647092688542</v>
      </c>
      <c r="E25" s="21">
        <f>'Segment - Fabric &amp; Home Care'!E48</f>
        <v>0.006364251861882275</v>
      </c>
      <c r="F25" s="21">
        <f>'Segment - Fabric &amp; Home Care'!F48</f>
        <v>0.023533781274268195</v>
      </c>
      <c r="G25" s="85">
        <f>'Segment - Fabric &amp; Home Care'!G48</f>
        <v>0.026999999999999913</v>
      </c>
      <c r="H25" s="3"/>
    </row>
    <row r="26">
      <c r="A26" s="46" t="s">
        <v>71</v>
      </c>
      <c r="B26" s="20" t="s">
        <v>41</v>
      </c>
      <c r="C26" s="20">
        <f>C24/B24-1</f>
        <v>-0.013730270755806462</v>
      </c>
      <c r="D26" s="20">
        <f>D24/C24-1</f>
        <v>-0.03682019255789748</v>
      </c>
      <c r="E26" s="20">
        <f>E24/D24-1</f>
        <v>0.003917330811832986</v>
      </c>
      <c r="F26" s="20" t="s">
        <v>41</v>
      </c>
      <c r="G26" s="29">
        <f>G24/E24-1</f>
        <v>0.07688522604951542</v>
      </c>
      <c r="H26" s="3"/>
    </row>
    <row r="27">
      <c r="A27" s="41" t="s">
        <v>72</v>
      </c>
      <c r="B27" s="22" t="s">
        <v>41</v>
      </c>
      <c r="C27" s="22">
        <f>C24-B24</f>
        <v>-107</v>
      </c>
      <c r="D27" s="22">
        <f>D24-C24</f>
        <v>-283</v>
      </c>
      <c r="E27" s="22">
        <f>E24-D24</f>
        <v>29</v>
      </c>
      <c r="F27" s="22" t="s">
        <v>41</v>
      </c>
      <c r="G27" s="27">
        <f>G24-E24</f>
        <v>571.4109999999991</v>
      </c>
      <c r="H27" s="3"/>
    </row>
    <row r="28">
      <c r="A28" s="46" t="s">
        <v>73</v>
      </c>
      <c r="B28" s="20">
        <f>IFERROR(B24/B39,"n/a")</f>
        <v>0.34811936031448226</v>
      </c>
      <c r="C28" s="20">
        <f>IFERROR(C24/C39,"n/a")</f>
        <v>0.34609149855907784</v>
      </c>
      <c r="D28" s="20">
        <f>IFERROR(D24/D39,"n/a")</f>
        <v>0.3486225570991288</v>
      </c>
      <c r="E28" s="20">
        <f>IFERROR(E24/E39,"n/a")</f>
        <v>0.35051643635334623</v>
      </c>
      <c r="F28" s="20">
        <f>IFERROR(F24/F39,"n/a")</f>
        <v>0.34830866807610994</v>
      </c>
      <c r="G28" s="29">
        <f>IFERROR(G24/G39,"n/a")</f>
        <v>0.3502147914589611</v>
      </c>
      <c r="H28" s="3"/>
    </row>
    <row r="29">
      <c r="A29" s="3" t="s">
        <v>77</v>
      </c>
      <c r="B29" s="35">
        <f>'Segment - Baby Fem Family Care'!B47</f>
        <v>5171</v>
      </c>
      <c r="C29" s="35">
        <f>'Segment - Baby Fem Family Care'!C47</f>
        <v>5123</v>
      </c>
      <c r="D29" s="35">
        <f>'Segment - Baby Fem Family Care'!D47</f>
        <v>5058</v>
      </c>
      <c r="E29" s="35">
        <f>'Segment - Baby Fem Family Care'!E47</f>
        <v>5049</v>
      </c>
      <c r="F29" s="35">
        <f>'Segment - Baby Fem Family Care'!F47</f>
        <v>20401</v>
      </c>
      <c r="G29" s="56">
        <f>'Segment - Baby Fem Family Care'!G47</f>
        <v>5233.052</v>
      </c>
      <c r="H29" s="3" t="s">
        <v>69</v>
      </c>
    </row>
    <row r="30">
      <c r="A30" s="46" t="s">
        <v>70</v>
      </c>
      <c r="B30" s="21">
        <f>'Segment - Baby Fem Family Care'!B48</f>
        <v>0.013524108192865647</v>
      </c>
      <c r="C30" s="21">
        <f>'Segment - Baby Fem Family Care'!C48</f>
        <v>-0.03303133257833146</v>
      </c>
      <c r="D30" s="21">
        <f>'Segment - Baby Fem Family Care'!D48</f>
        <v>0.06372239747634079</v>
      </c>
      <c r="E30" s="21">
        <f>'Segment - Baby Fem Family Care'!E48</f>
        <v>-0.008639308855291628</v>
      </c>
      <c r="F30" s="21">
        <f>'Segment - Baby Fem Family Care'!F48</f>
        <v>0.007556301856973535</v>
      </c>
      <c r="G30" s="85">
        <f>'Segment - Baby Fem Family Care'!G48</f>
        <v>0.01200000000000001</v>
      </c>
      <c r="H30" s="3"/>
    </row>
    <row r="31">
      <c r="A31" s="46" t="s">
        <v>71</v>
      </c>
      <c r="B31" s="20" t="s">
        <v>41</v>
      </c>
      <c r="C31" s="20">
        <f>C29/B29-1</f>
        <v>-0.009282537226842025</v>
      </c>
      <c r="D31" s="20">
        <f>D29/C29-1</f>
        <v>-0.012687878196369295</v>
      </c>
      <c r="E31" s="20">
        <f>E29/D29-1</f>
        <v>-0.001779359430605032</v>
      </c>
      <c r="F31" s="20" t="s">
        <v>41</v>
      </c>
      <c r="G31" s="29">
        <f>G29/E29-1</f>
        <v>0.036453159041394345</v>
      </c>
      <c r="H31" s="3"/>
    </row>
    <row r="32">
      <c r="A32" s="41" t="s">
        <v>72</v>
      </c>
      <c r="B32" s="22" t="s">
        <v>41</v>
      </c>
      <c r="C32" s="22">
        <f>C29-B29</f>
        <v>-48</v>
      </c>
      <c r="D32" s="22">
        <f>D29-C29</f>
        <v>-65</v>
      </c>
      <c r="E32" s="22">
        <f>E29-D29</f>
        <v>-9</v>
      </c>
      <c r="F32" s="22" t="s">
        <v>41</v>
      </c>
      <c r="G32" s="27">
        <f>G29-E29</f>
        <v>184.05199999999968</v>
      </c>
      <c r="H32" s="3"/>
    </row>
    <row r="33">
      <c r="A33" s="46" t="s">
        <v>73</v>
      </c>
      <c r="B33" s="20">
        <f>IFERROR(B29/B39,"n/a")</f>
        <v>0.23099258465112124</v>
      </c>
      <c r="C33" s="20">
        <f>IFERROR(C29/C39,"n/a")</f>
        <v>0.23068263688760807</v>
      </c>
      <c r="D33" s="20">
        <f>IFERROR(D29/D39,"n/a")</f>
        <v>0.2381916647044973</v>
      </c>
      <c r="E33" s="20">
        <f>IFERROR(E29/E39,"n/a")</f>
        <v>0.23812668018676603</v>
      </c>
      <c r="F33" s="20">
        <f>IFERROR(F29/F39,"n/a")</f>
        <v>0.23440803382663847</v>
      </c>
      <c r="G33" s="29">
        <f>IFERROR(G29/G39,"n/a")</f>
        <v>0.22898889172053008</v>
      </c>
      <c r="H33" s="3"/>
    </row>
    <row r="34">
      <c r="A34" s="3" t="s">
        <v>78</v>
      </c>
      <c r="B34" s="44">
        <v>242</v>
      </c>
      <c r="C34" s="44">
        <v>160</v>
      </c>
      <c r="D34" s="44">
        <v>225</v>
      </c>
      <c r="E34" s="44">
        <v>292</v>
      </c>
      <c r="F34" s="22">
        <f>SUM(B34:E34)</f>
        <v>919</v>
      </c>
      <c r="G34" s="67">
        <v>240</v>
      </c>
      <c r="H34" s="3" t="s">
        <v>79</v>
      </c>
    </row>
    <row r="35">
      <c r="A35" s="46" t="s">
        <v>71</v>
      </c>
      <c r="B35" s="20" t="s">
        <v>41</v>
      </c>
      <c r="C35" s="20">
        <f>C34/B34-1</f>
        <v>-0.33884297520661155</v>
      </c>
      <c r="D35" s="20">
        <f>D34/C34-1</f>
        <v>0.40625</v>
      </c>
      <c r="E35" s="20">
        <f>E34/D34-1</f>
        <v>0.2977777777777777</v>
      </c>
      <c r="F35" s="20" t="s">
        <v>41</v>
      </c>
      <c r="G35" s="29">
        <f>G34/E34-1</f>
        <v>-0.17808219178082196</v>
      </c>
      <c r="H35" s="3"/>
    </row>
    <row r="36">
      <c r="A36" s="41" t="s">
        <v>72</v>
      </c>
      <c r="B36" s="22" t="s">
        <v>41</v>
      </c>
      <c r="C36" s="22">
        <f>C34-B34</f>
        <v>-82</v>
      </c>
      <c r="D36" s="22">
        <f>D34-C34</f>
        <v>65</v>
      </c>
      <c r="E36" s="22">
        <f>E34-D34</f>
        <v>67</v>
      </c>
      <c r="F36" s="22" t="s">
        <v>41</v>
      </c>
      <c r="G36" s="27">
        <f>G34-E34</f>
        <v>-52</v>
      </c>
      <c r="H36" s="3"/>
    </row>
    <row r="37">
      <c r="A37" s="46" t="s">
        <v>73</v>
      </c>
      <c r="B37" s="20">
        <f>IFERROR(B34/B39,"n/a")</f>
        <v>0.010810327883498616</v>
      </c>
      <c r="C37" s="20">
        <f>IFERROR(C34/C39,"n/a")</f>
        <v>0.007204610951008645</v>
      </c>
      <c r="D37" s="20">
        <f>IFERROR(D34/D39,"n/a")</f>
        <v>0.010595714622086179</v>
      </c>
      <c r="E37" s="20">
        <f>IFERROR(E34/E39,"n/a")</f>
        <v>0.013771636089232656</v>
      </c>
      <c r="F37" s="20">
        <f>IFERROR(F34/F39,"n/a")</f>
        <v>0.010559334497656035</v>
      </c>
      <c r="G37" s="29">
        <f>IFERROR(G34/G39,"n/a")</f>
        <v>0.010501965968029216</v>
      </c>
      <c r="H37" s="3"/>
    </row>
    <row r="38">
      <c r="A38" s="41" t="s">
        <v>80</v>
      </c>
      <c r="B38" s="22">
        <f>B46-(B9+B14+B19+B24+B29+B34)</f>
        <v>0</v>
      </c>
      <c r="C38" s="22">
        <f>C46-(C9+C14+C19+C24+C29+C34)</f>
        <v>0</v>
      </c>
      <c r="D38" s="22">
        <f>D46-(D9+D14+D19+D24+D29+D34)</f>
        <v>2</v>
      </c>
      <c r="E38" s="22">
        <f>E46-(E9+E14+E19+E24+E29+E34)</f>
        <v>-1</v>
      </c>
      <c r="F38" s="22">
        <f>SUM(B38:E38)</f>
        <v>1</v>
      </c>
      <c r="G38" s="67">
        <v>0</v>
      </c>
      <c r="H38" s="3"/>
    </row>
    <row r="39">
      <c r="A39" s="28" t="s">
        <v>81</v>
      </c>
      <c r="B39" s="52">
        <f>B9+B14+B19+B24+B29+B34+B38</f>
        <v>22386</v>
      </c>
      <c r="C39" s="52">
        <f>C9+C14+C19+C24+C29+C34+C38</f>
        <v>22208</v>
      </c>
      <c r="D39" s="52">
        <f>D9+D14+D19+D24+D29+D34+D38</f>
        <v>21235</v>
      </c>
      <c r="E39" s="52">
        <f>E9+E14+E19+E24+E29+E34+E38</f>
        <v>21203</v>
      </c>
      <c r="F39" s="52">
        <f>F9+F14+F19+F24+F29+F34+F38</f>
        <v>87032</v>
      </c>
      <c r="G39" s="51">
        <f>G9+G14+G19+G24+G29+G34+G38</f>
        <v>22852.863999999998</v>
      </c>
      <c r="H39" s="3"/>
    </row>
    <row r="40">
      <c r="A40" s="46" t="s">
        <v>70</v>
      </c>
      <c r="B40" s="20">
        <f>IFERROR(B39/B44-1,"n/a")</f>
        <v>0.029856925978746007</v>
      </c>
      <c r="C40" s="20">
        <f>IFERROR(C39/C44-1,"n/a")</f>
        <v>0.014898089754135757</v>
      </c>
      <c r="D40" s="20">
        <f>IFERROR(D39/D44-1,"n/a")</f>
        <v>0.07377629449838197</v>
      </c>
      <c r="E40" s="20">
        <f>IFERROR(E39/E44-1,"n/a")</f>
        <v>0.015031834937048183</v>
      </c>
      <c r="F40" s="20">
        <f>IFERROR(F39/F44-1,"n/a")</f>
        <v>0.03260405296378899</v>
      </c>
      <c r="G40" s="29">
        <f>IFERROR(G39/G44-1,"n/a")</f>
        <v>0.020855177342982145</v>
      </c>
      <c r="H40" s="3"/>
    </row>
    <row r="41">
      <c r="A41" s="46" t="s">
        <v>71</v>
      </c>
      <c r="B41" s="21">
        <f>B39/Inputs!C16-1</f>
        <v>0.07166451242280636</v>
      </c>
      <c r="C41" s="20">
        <f>C39/B39-1</f>
        <v>-0.007951398195300663</v>
      </c>
      <c r="D41" s="20">
        <f>D39/C39-1</f>
        <v>-0.04381304034582134</v>
      </c>
      <c r="E41" s="20">
        <f>E39/D39-1</f>
        <v>-0.0015069460795855694</v>
      </c>
      <c r="F41" s="20" t="s">
        <v>41</v>
      </c>
      <c r="G41" s="29">
        <f>G39/E39-1</f>
        <v>0.07781276234495116</v>
      </c>
      <c r="H41" s="3"/>
    </row>
    <row r="42">
      <c r="A42" s="41" t="s">
        <v>72</v>
      </c>
      <c r="B42" s="35">
        <f>B39-Inputs!C16</f>
        <v>1497</v>
      </c>
      <c r="C42" s="22">
        <f>C39-B39</f>
        <v>-178</v>
      </c>
      <c r="D42" s="22">
        <f>D39-C39</f>
        <v>-973</v>
      </c>
      <c r="E42" s="22">
        <f>E39-D39</f>
        <v>-32</v>
      </c>
      <c r="F42" s="22" t="s">
        <v>41</v>
      </c>
      <c r="G42" s="27">
        <f>G39-E39</f>
        <v>1649.8639999999978</v>
      </c>
      <c r="H42" s="3"/>
    </row>
    <row r="43">
      <c r="A43" s="46" t="s">
        <v>73</v>
      </c>
      <c r="B43" s="20">
        <f>IFERROR(B39/B39,"n/a")</f>
        <v>1</v>
      </c>
      <c r="C43" s="20">
        <f>IFERROR(C39/C39,"n/a")</f>
        <v>1</v>
      </c>
      <c r="D43" s="20">
        <f>IFERROR(D39/D39,"n/a")</f>
        <v>1</v>
      </c>
      <c r="E43" s="20">
        <f>IFERROR(E39/E39,"n/a")</f>
        <v>1</v>
      </c>
      <c r="F43" s="20">
        <f>IFERROR(F39/F39,"n/a")</f>
        <v>1</v>
      </c>
      <c r="G43" s="29">
        <f>IFERROR(G39/G39,"n/a")</f>
        <v>1</v>
      </c>
      <c r="H43" s="3"/>
    </row>
    <row r="44">
      <c r="A44" s="41" t="s">
        <v>82</v>
      </c>
      <c r="B44" s="44">
        <v>21737</v>
      </c>
      <c r="C44" s="44">
        <v>21882</v>
      </c>
      <c r="D44" s="35">
        <f>Inputs!B16</f>
        <v>19776</v>
      </c>
      <c r="E44" s="35">
        <f>Inputs!C16</f>
        <v>20889</v>
      </c>
      <c r="F44" s="44">
        <v>84284</v>
      </c>
      <c r="G44" s="27">
        <f>B39</f>
        <v>22386</v>
      </c>
      <c r="H44" s="3" t="s">
        <v>83</v>
      </c>
    </row>
    <row r="45">
      <c r="A45" s="41" t="s">
        <v>84</v>
      </c>
      <c r="B45" s="44">
        <v>2</v>
      </c>
      <c r="C45" s="22"/>
      <c r="D45" s="22"/>
      <c r="E45" s="22"/>
      <c r="F45" s="22"/>
      <c r="G45" s="27"/>
      <c r="H45" s="3"/>
    </row>
    <row r="46">
      <c r="A46" s="41" t="s">
        <v>85</v>
      </c>
      <c r="B46" s="44">
        <v>22386</v>
      </c>
      <c r="C46" s="44">
        <v>22208</v>
      </c>
      <c r="D46" s="44">
        <v>21235</v>
      </c>
      <c r="E46" s="44">
        <v>21203</v>
      </c>
      <c r="F46" s="22">
        <f>SUM(B46:E46)</f>
        <v>87032</v>
      </c>
      <c r="G46" s="27" t="s">
        <v>41</v>
      </c>
      <c r="H46" s="3" t="s">
        <v>86</v>
      </c>
    </row>
    <row r="47">
      <c r="A47" s="41" t="s">
        <v>87</v>
      </c>
      <c r="B47" s="22" t="b">
        <f>ABS(B9+B14+B19+B24+B29+B34-B46)&lt;=$B$45</f>
        <v>1</v>
      </c>
      <c r="C47" s="22" t="b">
        <f>ABS(C9+C14+C19+C24+C29+C34-C46)&lt;=$B$45</f>
        <v>1</v>
      </c>
      <c r="D47" s="22" t="b">
        <f>ABS(D9+D14+D19+D24+D29+D34-D46)&lt;=$B$45</f>
        <v>1</v>
      </c>
      <c r="E47" s="22" t="b">
        <f>ABS(E9+E14+E19+E24+E29+E34-E46)&lt;=$B$45</f>
        <v>1</v>
      </c>
      <c r="F47" s="22" t="b">
        <f>ABS(F9+F14+F19+F24+F29+F34-F46)&lt;=$B$45</f>
        <v>1</v>
      </c>
      <c r="G47" s="27" t="b">
        <f>ABS(G9+G14+G19+G24+G29+G34-G39)&lt;0.001</f>
        <v>1</v>
      </c>
      <c r="H47" s="3"/>
    </row>
    <row r="48">
      <c r="A48" s="41" t="s">
        <v>88</v>
      </c>
      <c r="B48" s="35">
        <f>Inputs!D16-B39</f>
        <v>0</v>
      </c>
      <c r="C48" s="35">
        <f>Inputs!E16-C39</f>
        <v>0</v>
      </c>
      <c r="D48" s="35">
        <f>Inputs!F16-D39</f>
        <v>0</v>
      </c>
      <c r="E48" s="35">
        <f>Inputs!G16-E39</f>
        <v>0</v>
      </c>
      <c r="F48" s="22"/>
      <c r="G48" s="27"/>
      <c r="H48" s="3" t="s">
        <v>89</v>
      </c>
    </row>
    <row r="49">
      <c r="A49" s="3"/>
      <c r="B49" s="26"/>
      <c r="C49" s="26"/>
      <c r="D49" s="26"/>
      <c r="E49" s="26"/>
      <c r="F49" s="26"/>
      <c r="G49" s="64"/>
      <c r="H49" s="3"/>
    </row>
    <row r="50">
      <c r="A50" s="49" t="s">
        <v>90</v>
      </c>
      <c r="B50" s="25"/>
      <c r="C50" s="25"/>
      <c r="D50" s="25"/>
      <c r="E50" s="25"/>
      <c r="F50" s="25"/>
      <c r="G50" s="61"/>
      <c r="H50" s="3"/>
    </row>
    <row r="51">
      <c r="A51" s="11" t="s">
        <v>91</v>
      </c>
      <c r="B51" s="17">
        <v>0</v>
      </c>
      <c r="C51" s="17">
        <v>-0.01</v>
      </c>
      <c r="D51" s="17">
        <v>0.02</v>
      </c>
      <c r="E51" s="17">
        <v>0</v>
      </c>
      <c r="F51" s="17">
        <v>0</v>
      </c>
      <c r="G51" s="85">
        <f>('Segment - Beauty'!G15*'Segment - Beauty'!B47+'Segment - Grooming'!G15*'Segment - Grooming'!B47+'Segment - Health Care'!G15*'Segment - Health Care'!B47+'Segment - Fabric &amp; Home Care'!G15*'Segment - Fabric &amp; Home Care'!B47+'Segment - Baby Fem Family Care'!G15*'Segment - Baby Fem Family Care'!B47)/('Segment - Beauty'!B47+'Segment - Grooming'!B47+'Segment - Health Care'!B47+'Segment - Fabric &amp; Home Care'!B47+'Segment - Baby Fem Family Care'!B47)</f>
        <v>0.01470353143063584</v>
      </c>
      <c r="H51" s="3" t="s">
        <v>92</v>
      </c>
    </row>
    <row r="52">
      <c r="A52" s="41" t="s">
        <v>93</v>
      </c>
      <c r="B52" s="66" t="s">
        <v>41</v>
      </c>
      <c r="C52" s="66">
        <f>(C51-B51)*10000</f>
        <v>-100</v>
      </c>
      <c r="D52" s="66">
        <f>(D51-C51)*10000</f>
        <v>300</v>
      </c>
      <c r="E52" s="66">
        <f>(E51-D51)*10000</f>
        <v>-200</v>
      </c>
      <c r="F52" s="66" t="s">
        <v>41</v>
      </c>
      <c r="G52" s="69">
        <f>(G51-E51)*10000</f>
        <v>147.0353143063584</v>
      </c>
      <c r="H52" s="3"/>
    </row>
    <row r="53">
      <c r="A53" s="41" t="s">
        <v>94</v>
      </c>
      <c r="B53" s="66">
        <f>(B51-B95)*10000</f>
        <v>0</v>
      </c>
      <c r="C53" s="66">
        <f>(C51-C95)*10000</f>
        <v>-200</v>
      </c>
      <c r="D53" s="66">
        <f>(D51-D95)*10000</f>
        <v>300</v>
      </c>
      <c r="E53" s="66">
        <f>(E51-E95)*10000</f>
        <v>0</v>
      </c>
      <c r="F53" s="66">
        <f>(F51-F95)*10000</f>
        <v>0</v>
      </c>
      <c r="G53" s="69">
        <f>(G51-G95)*10000</f>
        <v>147.0353143063584</v>
      </c>
      <c r="H53" s="3"/>
    </row>
    <row r="54">
      <c r="A54" s="11" t="s">
        <v>95</v>
      </c>
      <c r="B54" s="17">
        <v>0</v>
      </c>
      <c r="C54" s="17">
        <v>-0.01</v>
      </c>
      <c r="D54" s="17">
        <v>0.02</v>
      </c>
      <c r="E54" s="17">
        <v>0</v>
      </c>
      <c r="F54" s="17">
        <v>0</v>
      </c>
      <c r="G54" s="85">
        <f>('Segment - Beauty'!G9*'Segment - Beauty'!B47+'Segment - Grooming'!G9*'Segment - Grooming'!B47+'Segment - Health Care'!G9*'Segment - Health Care'!B47+'Segment - Fabric &amp; Home Care'!G9*'Segment - Fabric &amp; Home Care'!B47+'Segment - Baby Fem Family Care'!G9*'Segment - Baby Fem Family Care'!B47)/('Segment - Beauty'!B47+'Segment - Grooming'!B47+'Segment - Health Care'!B47+'Segment - Fabric &amp; Home Care'!B47+'Segment - Baby Fem Family Care'!B47)</f>
        <v>0.01470353143063584</v>
      </c>
      <c r="H54" s="3" t="s">
        <v>92</v>
      </c>
    </row>
    <row r="55">
      <c r="A55" s="41" t="s">
        <v>93</v>
      </c>
      <c r="B55" s="66" t="s">
        <v>41</v>
      </c>
      <c r="C55" s="66">
        <f>(C54-B54)*10000</f>
        <v>-100</v>
      </c>
      <c r="D55" s="66">
        <f>(D54-C54)*10000</f>
        <v>300</v>
      </c>
      <c r="E55" s="66">
        <f>(E54-D54)*10000</f>
        <v>-200</v>
      </c>
      <c r="F55" s="66" t="s">
        <v>41</v>
      </c>
      <c r="G55" s="69">
        <f>(G54-E54)*10000</f>
        <v>147.0353143063584</v>
      </c>
      <c r="H55" s="3"/>
    </row>
    <row r="56">
      <c r="A56" s="41" t="s">
        <v>94</v>
      </c>
      <c r="B56" s="66">
        <f>(B54-B96)*10000</f>
        <v>-100</v>
      </c>
      <c r="C56" s="66">
        <f>(C54-C96)*10000</f>
        <v>-300</v>
      </c>
      <c r="D56" s="66">
        <f>(D54-D96)*10000</f>
        <v>200</v>
      </c>
      <c r="E56" s="66">
        <f>(E54-E96)*10000</f>
        <v>0</v>
      </c>
      <c r="F56" s="66">
        <f>(F54-F96)*10000</f>
        <v>-100</v>
      </c>
      <c r="G56" s="69">
        <f>(G54-G96)*10000</f>
        <v>147.0353143063584</v>
      </c>
      <c r="H56" s="3"/>
    </row>
    <row r="57">
      <c r="A57" s="11" t="s">
        <v>96</v>
      </c>
      <c r="B57" s="17">
        <v>0.01</v>
      </c>
      <c r="C57" s="17">
        <v>0.01</v>
      </c>
      <c r="D57" s="17">
        <v>0.01</v>
      </c>
      <c r="E57" s="17">
        <v>0</v>
      </c>
      <c r="F57" s="17">
        <v>0.01</v>
      </c>
      <c r="G57" s="85">
        <f>('Segment - Beauty'!G18*'Segment - Beauty'!B47+'Segment - Grooming'!G18*'Segment - Grooming'!B47+'Segment - Health Care'!G18*'Segment - Health Care'!B47+'Segment - Fabric &amp; Home Care'!G18*'Segment - Fabric &amp; Home Care'!B47+'Segment - Baby Fem Family Care'!G18*'Segment - Baby Fem Family Care'!B47)/('Segment - Beauty'!B47+'Segment - Grooming'!B47+'Segment - Health Care'!B47+'Segment - Fabric &amp; Home Care'!B47+'Segment - Baby Fem Family Care'!B47)</f>
        <v>0.008179868135838151</v>
      </c>
      <c r="H57" s="3" t="s">
        <v>92</v>
      </c>
    </row>
    <row r="58">
      <c r="A58" s="41" t="s">
        <v>93</v>
      </c>
      <c r="B58" s="66" t="s">
        <v>41</v>
      </c>
      <c r="C58" s="66">
        <f>(C57-B57)*10000</f>
        <v>0</v>
      </c>
      <c r="D58" s="66">
        <f>(D57-C57)*10000</f>
        <v>0</v>
      </c>
      <c r="E58" s="66">
        <f>(E57-D57)*10000</f>
        <v>-100</v>
      </c>
      <c r="F58" s="66" t="s">
        <v>41</v>
      </c>
      <c r="G58" s="69">
        <f>(G57-E57)*10000</f>
        <v>81.79868135838151</v>
      </c>
      <c r="H58" s="3"/>
    </row>
    <row r="59">
      <c r="A59" s="41" t="s">
        <v>94</v>
      </c>
      <c r="B59" s="66">
        <f>(B57-B97)*10000</f>
        <v>0</v>
      </c>
      <c r="C59" s="66">
        <f>(C57-C97)*10000</f>
        <v>100</v>
      </c>
      <c r="D59" s="66">
        <f>(D57-D97)*10000</f>
        <v>0</v>
      </c>
      <c r="E59" s="66">
        <f>(E57-E97)*10000</f>
        <v>-100</v>
      </c>
      <c r="F59" s="66">
        <f>(F57-F97)*10000</f>
        <v>0</v>
      </c>
      <c r="G59" s="69">
        <f>(G57-G97)*10000</f>
        <v>-18.20131864161849</v>
      </c>
      <c r="H59" s="3"/>
    </row>
    <row r="60">
      <c r="A60" s="11" t="s">
        <v>97</v>
      </c>
      <c r="B60" s="17">
        <v>0.01</v>
      </c>
      <c r="C60" s="17">
        <v>0</v>
      </c>
      <c r="D60" s="17">
        <v>0</v>
      </c>
      <c r="E60" s="17">
        <v>0</v>
      </c>
      <c r="F60" s="17">
        <v>0</v>
      </c>
      <c r="G60" s="85">
        <f>('Segment - Beauty'!G21*'Segment - Beauty'!B47+'Segment - Grooming'!G21*'Segment - Grooming'!B47+'Segment - Health Care'!G21*'Segment - Health Care'!B47+'Segment - Fabric &amp; Home Care'!G21*'Segment - Fabric &amp; Home Care'!B47+'Segment - Baby Fem Family Care'!G21*'Segment - Baby Fem Family Care'!B47)/('Segment - Beauty'!B47+'Segment - Grooming'!B47+'Segment - Health Care'!B47+'Segment - Fabric &amp; Home Care'!B47+'Segment - Baby Fem Family Care'!B47)</f>
        <v>0.0014541184971098267</v>
      </c>
      <c r="H60" s="3" t="s">
        <v>92</v>
      </c>
    </row>
    <row r="61">
      <c r="A61" s="41" t="s">
        <v>93</v>
      </c>
      <c r="B61" s="66" t="s">
        <v>41</v>
      </c>
      <c r="C61" s="66">
        <f>(C60-B60)*10000</f>
        <v>-100</v>
      </c>
      <c r="D61" s="66">
        <f>(D60-C60)*10000</f>
        <v>0</v>
      </c>
      <c r="E61" s="66">
        <f>(E60-D60)*10000</f>
        <v>0</v>
      </c>
      <c r="F61" s="66" t="s">
        <v>41</v>
      </c>
      <c r="G61" s="69">
        <f>(G60-E60)*10000</f>
        <v>14.541184971098268</v>
      </c>
      <c r="H61" s="3"/>
    </row>
    <row r="62">
      <c r="A62" s="41" t="s">
        <v>94</v>
      </c>
      <c r="B62" s="66">
        <f>(B60-B98)*10000</f>
        <v>100</v>
      </c>
      <c r="C62" s="66">
        <f>(C60-C98)*10000</f>
        <v>-100</v>
      </c>
      <c r="D62" s="66">
        <f>(D60-D98)*10000</f>
        <v>0</v>
      </c>
      <c r="E62" s="66">
        <f>(E60-E98)*10000</f>
        <v>-100</v>
      </c>
      <c r="F62" s="66">
        <f>(F60-F98)*10000</f>
        <v>0</v>
      </c>
      <c r="G62" s="69">
        <f>(G60-G98)*10000</f>
        <v>-85.45881502890174</v>
      </c>
      <c r="H62" s="3"/>
    </row>
    <row r="63">
      <c r="A63" s="11" t="s">
        <v>98</v>
      </c>
      <c r="B63" s="17">
        <v>0.01</v>
      </c>
      <c r="C63" s="17">
        <v>0.01</v>
      </c>
      <c r="D63" s="17">
        <v>0.04</v>
      </c>
      <c r="E63" s="17">
        <v>0.01</v>
      </c>
      <c r="F63" s="17">
        <v>0.02</v>
      </c>
      <c r="G63" s="85">
        <f>('Segment - Beauty'!G27*'Segment - Beauty'!B47+'Segment - Grooming'!G27*'Segment - Grooming'!B47+'Segment - Health Care'!G27*'Segment - Health Care'!B47+'Segment - Fabric &amp; Home Care'!G27*'Segment - Fabric &amp; Home Care'!B47+'Segment - Baby Fem Family Care'!G27*'Segment - Baby Fem Family Care'!B47)/('Segment - Beauty'!B47+'Segment - Grooming'!B47+'Segment - Health Care'!B47+'Segment - Fabric &amp; Home Care'!B47+'Segment - Baby Fem Family Care'!B47)</f>
        <v>-0.0031641076589595377</v>
      </c>
      <c r="H63" s="3" t="s">
        <v>92</v>
      </c>
    </row>
    <row r="64">
      <c r="A64" s="41" t="s">
        <v>93</v>
      </c>
      <c r="B64" s="66" t="s">
        <v>41</v>
      </c>
      <c r="C64" s="66">
        <f>(C63-B63)*10000</f>
        <v>0</v>
      </c>
      <c r="D64" s="66">
        <f>(D63-C63)*10000</f>
        <v>300</v>
      </c>
      <c r="E64" s="66">
        <f>(E63-D63)*10000</f>
        <v>-300</v>
      </c>
      <c r="F64" s="66" t="s">
        <v>41</v>
      </c>
      <c r="G64" s="69">
        <f>(G63-E63)*10000</f>
        <v>-131.64107658959537</v>
      </c>
      <c r="H64" s="3"/>
    </row>
    <row r="65">
      <c r="A65" s="41" t="s">
        <v>94</v>
      </c>
      <c r="B65" s="66">
        <f>(B63-B99)*10000</f>
        <v>200</v>
      </c>
      <c r="C65" s="66">
        <f>(C63-C99)*10000</f>
        <v>100</v>
      </c>
      <c r="D65" s="66">
        <f>(D63-D99)*10000</f>
        <v>600</v>
      </c>
      <c r="E65" s="66">
        <f>(E63-E99)*10000</f>
        <v>100</v>
      </c>
      <c r="F65" s="66">
        <f>(F63-F99)*10000</f>
        <v>300</v>
      </c>
      <c r="G65" s="69">
        <f>(G63-G99)*10000</f>
        <v>-131.64107658959537</v>
      </c>
      <c r="H65" s="3"/>
    </row>
    <row r="66">
      <c r="A66" s="11" t="s">
        <v>99</v>
      </c>
      <c r="B66" s="17">
        <v>0</v>
      </c>
      <c r="C66" s="17">
        <v>0</v>
      </c>
      <c r="D66" s="17">
        <v>0</v>
      </c>
      <c r="E66" s="17">
        <v>0.01</v>
      </c>
      <c r="F66" s="17">
        <v>0</v>
      </c>
      <c r="G66" s="29">
        <f>G69-G51-G57-G60-G63</f>
        <v>-0.0003182330616421352</v>
      </c>
      <c r="H66" s="3" t="s">
        <v>92</v>
      </c>
    </row>
    <row r="67">
      <c r="A67" s="41" t="s">
        <v>93</v>
      </c>
      <c r="B67" s="66" t="s">
        <v>41</v>
      </c>
      <c r="C67" s="66">
        <f>(C66-B66)*10000</f>
        <v>0</v>
      </c>
      <c r="D67" s="66">
        <f>(D66-C66)*10000</f>
        <v>0</v>
      </c>
      <c r="E67" s="66">
        <f>(E66-D66)*10000</f>
        <v>100</v>
      </c>
      <c r="F67" s="66" t="s">
        <v>41</v>
      </c>
      <c r="G67" s="69">
        <f>(G66-E66)*10000</f>
        <v>-103.18233061642135</v>
      </c>
      <c r="H67" s="3"/>
    </row>
    <row r="68">
      <c r="A68" s="41" t="s">
        <v>94</v>
      </c>
      <c r="B68" s="66">
        <f>(B66-B100)*10000</f>
        <v>100</v>
      </c>
      <c r="C68" s="66">
        <f>(C66-C100)*10000</f>
        <v>0</v>
      </c>
      <c r="D68" s="66">
        <f>(D66-D100)*10000</f>
        <v>0</v>
      </c>
      <c r="E68" s="66">
        <f>(E66-E100)*10000</f>
        <v>100</v>
      </c>
      <c r="F68" s="66">
        <f>(F66-F100)*10000</f>
        <v>0</v>
      </c>
      <c r="G68" s="69">
        <f>(G66-G100)*10000</f>
        <v>-3.182330616421352</v>
      </c>
      <c r="H68" s="3"/>
    </row>
    <row r="69">
      <c r="A69" s="11" t="s">
        <v>100</v>
      </c>
      <c r="B69" s="17">
        <v>0.03</v>
      </c>
      <c r="C69" s="17">
        <v>0.01</v>
      </c>
      <c r="D69" s="17">
        <v>0.07</v>
      </c>
      <c r="E69" s="17">
        <v>0.02</v>
      </c>
      <c r="F69" s="17">
        <v>0.03</v>
      </c>
      <c r="G69" s="29">
        <f>G39/B39-1</f>
        <v>0.020855177342982145</v>
      </c>
      <c r="H69" s="3" t="s">
        <v>92</v>
      </c>
    </row>
    <row r="70">
      <c r="A70" s="41" t="s">
        <v>93</v>
      </c>
      <c r="B70" s="66" t="s">
        <v>41</v>
      </c>
      <c r="C70" s="66">
        <f>(C69-B69)*10000</f>
        <v>-199.99999999999997</v>
      </c>
      <c r="D70" s="66">
        <f>(D69-C69)*10000</f>
        <v>600</v>
      </c>
      <c r="E70" s="66">
        <f>(E69-D69)*10000</f>
        <v>-500</v>
      </c>
      <c r="F70" s="66" t="s">
        <v>41</v>
      </c>
      <c r="G70" s="69">
        <f>(G69-E69)*10000</f>
        <v>8.551773429821449</v>
      </c>
      <c r="H70" s="3"/>
    </row>
    <row r="71">
      <c r="A71" s="41" t="s">
        <v>94</v>
      </c>
      <c r="B71" s="66">
        <f>(B69-B101)*10000</f>
        <v>400</v>
      </c>
      <c r="C71" s="66">
        <f>(C69-C101)*10000</f>
        <v>-100</v>
      </c>
      <c r="D71" s="66">
        <f>(D69-D101)*10000</f>
        <v>900.0000000000001</v>
      </c>
      <c r="E71" s="66">
        <f>(E69-E101)*10000</f>
        <v>0</v>
      </c>
      <c r="F71" s="66">
        <f>(F69-F101)*10000</f>
        <v>300</v>
      </c>
      <c r="G71" s="69">
        <f>(G69-G101)*10000</f>
        <v>-91.44822657017853</v>
      </c>
      <c r="H71" s="3"/>
    </row>
    <row r="72">
      <c r="A72" s="11" t="s">
        <v>101</v>
      </c>
      <c r="B72" s="17">
        <v>0.02</v>
      </c>
      <c r="C72" s="17">
        <v>0</v>
      </c>
      <c r="D72" s="17">
        <v>0.03</v>
      </c>
      <c r="E72" s="17">
        <v>0</v>
      </c>
      <c r="F72" s="17">
        <v>0.01</v>
      </c>
      <c r="G72" s="85">
        <f>('Segment - Beauty'!G24*'Segment - Beauty'!B47+'Segment - Grooming'!G24*'Segment - Grooming'!B47+'Segment - Health Care'!G24*'Segment - Health Care'!B47+'Segment - Fabric &amp; Home Care'!G24*'Segment - Fabric &amp; Home Care'!B47+'Segment - Baby Fem Family Care'!G24*'Segment - Baby Fem Family Care'!B47)/('Segment - Beauty'!B47+'Segment - Grooming'!B47+'Segment - Health Care'!B47+'Segment - Fabric &amp; Home Care'!B47+'Segment - Baby Fem Family Care'!B47)</f>
        <v>0.024337518063583818</v>
      </c>
      <c r="H72" s="3" t="s">
        <v>92</v>
      </c>
    </row>
    <row r="73">
      <c r="A73" s="41" t="s">
        <v>93</v>
      </c>
      <c r="B73" s="66" t="s">
        <v>41</v>
      </c>
      <c r="C73" s="66">
        <f>(C72-B72)*10000</f>
        <v>-200</v>
      </c>
      <c r="D73" s="66">
        <f>(D72-C72)*10000</f>
        <v>300</v>
      </c>
      <c r="E73" s="66">
        <f>(E72-D72)*10000</f>
        <v>-300</v>
      </c>
      <c r="F73" s="66" t="s">
        <v>41</v>
      </c>
      <c r="G73" s="69">
        <f>(G72-E72)*10000</f>
        <v>243.37518063583818</v>
      </c>
      <c r="H73" s="3"/>
    </row>
    <row r="74">
      <c r="A74" s="41" t="s">
        <v>94</v>
      </c>
      <c r="B74" s="66">
        <f>(B72-B102)*10000</f>
        <v>0</v>
      </c>
      <c r="C74" s="66">
        <f>(C72-C102)*10000</f>
        <v>-300</v>
      </c>
      <c r="D74" s="66">
        <f>(D72-D102)*10000</f>
        <v>199.99999999999997</v>
      </c>
      <c r="E74" s="66">
        <f>(E72-E102)*10000</f>
        <v>-200</v>
      </c>
      <c r="F74" s="66">
        <f>(F72-F102)*10000</f>
        <v>-100</v>
      </c>
      <c r="G74" s="69">
        <f>(G72-G102)*10000</f>
        <v>43.37518063583817</v>
      </c>
      <c r="H74" s="3"/>
    </row>
    <row r="75">
      <c r="A75" s="3"/>
      <c r="B75" s="26"/>
      <c r="C75" s="26"/>
      <c r="D75" s="26"/>
      <c r="E75" s="26"/>
      <c r="F75" s="26"/>
      <c r="G75" s="64"/>
      <c r="H75" s="3"/>
    </row>
    <row r="76">
      <c r="A76" s="49" t="s">
        <v>102</v>
      </c>
      <c r="B76" s="25"/>
      <c r="C76" s="25"/>
      <c r="D76" s="25"/>
      <c r="E76" s="25"/>
      <c r="F76" s="25"/>
      <c r="G76" s="61"/>
      <c r="H76" s="3"/>
    </row>
    <row r="77">
      <c r="A77" s="11" t="s">
        <v>103</v>
      </c>
      <c r="B77" s="20">
        <f>B72</f>
        <v>0.02</v>
      </c>
      <c r="C77" s="20">
        <f>C72</f>
        <v>0</v>
      </c>
      <c r="D77" s="20">
        <f>D72</f>
        <v>0.03</v>
      </c>
      <c r="E77" s="20">
        <f>E72</f>
        <v>0</v>
      </c>
      <c r="F77" s="20">
        <f>F72</f>
        <v>0.01</v>
      </c>
      <c r="G77" s="29">
        <f>G72</f>
        <v>0.024337518063583818</v>
      </c>
      <c r="H77" s="3"/>
    </row>
    <row r="78">
      <c r="A78" s="11" t="s">
        <v>104</v>
      </c>
      <c r="B78" s="17">
        <v>0</v>
      </c>
      <c r="C78" s="17">
        <v>0</v>
      </c>
      <c r="D78" s="17">
        <v>0</v>
      </c>
      <c r="E78" s="17">
        <v>0.01</v>
      </c>
      <c r="F78" s="17">
        <v>0</v>
      </c>
      <c r="G78" s="29">
        <f>G66</f>
        <v>-0.0003182330616421352</v>
      </c>
      <c r="H78" s="3" t="s">
        <v>86</v>
      </c>
    </row>
    <row r="79">
      <c r="A79" s="11" t="s">
        <v>105</v>
      </c>
      <c r="B79" s="17">
        <v>0.01</v>
      </c>
      <c r="C79" s="17">
        <v>0.01</v>
      </c>
      <c r="D79" s="17">
        <v>0.04</v>
      </c>
      <c r="E79" s="17">
        <v>0.01</v>
      </c>
      <c r="F79" s="17">
        <v>0.02</v>
      </c>
      <c r="G79" s="29">
        <f>G63</f>
        <v>-0.0031641076589595377</v>
      </c>
      <c r="H79" s="3" t="s">
        <v>86</v>
      </c>
    </row>
    <row r="80">
      <c r="A80" s="11" t="s">
        <v>106</v>
      </c>
      <c r="B80" s="20">
        <f>B69</f>
        <v>0.03</v>
      </c>
      <c r="C80" s="20">
        <f>C69</f>
        <v>0.01</v>
      </c>
      <c r="D80" s="20">
        <f>D69</f>
        <v>0.07</v>
      </c>
      <c r="E80" s="20">
        <f>E69</f>
        <v>0.02</v>
      </c>
      <c r="F80" s="20">
        <f>F69</f>
        <v>0.03</v>
      </c>
      <c r="G80" s="29">
        <f>G69</f>
        <v>0.020855177342982145</v>
      </c>
      <c r="H80" s="3"/>
    </row>
    <row r="81">
      <c r="A81" s="11" t="s">
        <v>107</v>
      </c>
      <c r="B81" s="20">
        <f>(1+B80)/((1+B78)*(1+B79))-1</f>
        <v>0.01980198019801982</v>
      </c>
      <c r="C81" s="20">
        <f>(1+C80)/((1+C78)*(1+C79))-1</f>
        <v>0</v>
      </c>
      <c r="D81" s="20">
        <f>(1+D80)/((1+D78)*(1+D79))-1</f>
        <v>0.028846153846153966</v>
      </c>
      <c r="E81" s="20">
        <f>(1+E80)/((1+E78)*(1+E79))-1</f>
        <v>-0.0000980296049406526</v>
      </c>
      <c r="F81" s="20">
        <f>(1+F80)/((1+F78)*(1+F79))-1</f>
        <v>0.009803921568627416</v>
      </c>
      <c r="G81" s="29">
        <f>(1+G80)/((1+G78)*(1+G79))-1</f>
        <v>0.02442153063990582</v>
      </c>
      <c r="H81" s="3"/>
    </row>
    <row r="82">
      <c r="A82" s="41" t="s">
        <v>108</v>
      </c>
      <c r="B82" s="66">
        <f>(B81-B77)*10000</f>
        <v>-1.9801980198018085</v>
      </c>
      <c r="C82" s="66">
        <f>(C81-C77)*10000</f>
        <v>0</v>
      </c>
      <c r="D82" s="66">
        <f>(D81-D77)*10000</f>
        <v>-11.538461538460332</v>
      </c>
      <c r="E82" s="66">
        <f>(E81-E77)*10000</f>
        <v>-0.980296049406526</v>
      </c>
      <c r="F82" s="66">
        <f>(F81-F77)*10000</f>
        <v>-1.9607843137258405</v>
      </c>
      <c r="G82" s="69">
        <f>(G81-G77)*10000</f>
        <v>0.840125763220019</v>
      </c>
      <c r="H82" s="3"/>
    </row>
    <row r="83">
      <c r="A83" s="3"/>
      <c r="B83" s="26"/>
      <c r="C83" s="26"/>
      <c r="D83" s="26"/>
      <c r="E83" s="26"/>
      <c r="F83" s="26"/>
      <c r="G83" s="64"/>
      <c r="H83" s="3"/>
    </row>
    <row r="84">
      <c r="A84" s="49" t="s">
        <v>109</v>
      </c>
      <c r="B84" s="25"/>
      <c r="C84" s="25"/>
      <c r="D84" s="25"/>
      <c r="E84" s="25"/>
      <c r="F84" s="25"/>
      <c r="G84" s="61"/>
      <c r="H84" s="3"/>
    </row>
    <row r="85">
      <c r="A85" s="3" t="s">
        <v>68</v>
      </c>
      <c r="B85" s="35">
        <f>'Segment - Beauty'!B64</f>
        <v>1132</v>
      </c>
      <c r="C85" s="35">
        <f>'Segment - Beauty'!C64</f>
        <v>992</v>
      </c>
      <c r="D85" s="35">
        <f>'Segment - Beauty'!D64</f>
        <v>761</v>
      </c>
      <c r="E85" s="35">
        <f>'Segment - Beauty'!E64</f>
        <v>588</v>
      </c>
      <c r="F85" s="35">
        <f>'Segment - Beauty'!F64</f>
        <v>3473</v>
      </c>
      <c r="G85" s="56">
        <f>'Segment - Beauty'!G64</f>
        <v>1116.9170880000001</v>
      </c>
      <c r="H85" s="3"/>
    </row>
    <row r="86">
      <c r="A86" s="3" t="s">
        <v>74</v>
      </c>
      <c r="B86" s="35">
        <f>'Segment - Grooming'!B60</f>
        <v>585</v>
      </c>
      <c r="C86" s="35">
        <f>'Segment - Grooming'!C60</f>
        <v>531</v>
      </c>
      <c r="D86" s="35">
        <f>'Segment - Grooming'!D60</f>
        <v>436</v>
      </c>
      <c r="E86" s="35">
        <f>'Segment - Grooming'!E60</f>
        <v>414</v>
      </c>
      <c r="F86" s="35">
        <f>'Segment - Grooming'!F60</f>
        <v>1966</v>
      </c>
      <c r="G86" s="56">
        <f>'Segment - Grooming'!G60</f>
        <v>566.01198</v>
      </c>
      <c r="H86" s="3"/>
    </row>
    <row r="87">
      <c r="A87" s="3" t="s">
        <v>75</v>
      </c>
      <c r="B87" s="35">
        <f>'Segment - Health Care'!B62</f>
        <v>937</v>
      </c>
      <c r="C87" s="35">
        <f>'Segment - Health Care'!C62</f>
        <v>1009</v>
      </c>
      <c r="D87" s="35">
        <f>'Segment - Health Care'!D62</f>
        <v>768</v>
      </c>
      <c r="E87" s="35">
        <f>'Segment - Health Care'!E62</f>
        <v>449</v>
      </c>
      <c r="F87" s="35">
        <f>'Segment - Health Care'!F62</f>
        <v>3163</v>
      </c>
      <c r="G87" s="56">
        <f>'Segment - Health Care'!G62</f>
        <v>903.8078999999998</v>
      </c>
      <c r="H87" s="3"/>
    </row>
    <row r="88">
      <c r="A88" s="3" t="s">
        <v>76</v>
      </c>
      <c r="B88" s="35">
        <f>'Segment - Fabric &amp; Home Care'!B62</f>
        <v>2042</v>
      </c>
      <c r="C88" s="35">
        <f>'Segment - Fabric &amp; Home Care'!C62</f>
        <v>1961</v>
      </c>
      <c r="D88" s="35">
        <f>'Segment - Fabric &amp; Home Care'!D62</f>
        <v>1689</v>
      </c>
      <c r="E88" s="35">
        <f>'Segment - Fabric &amp; Home Care'!E62</f>
        <v>1598</v>
      </c>
      <c r="F88" s="35">
        <f>'Segment - Fabric &amp; Home Care'!F62</f>
        <v>7290</v>
      </c>
      <c r="G88" s="56">
        <f>'Segment - Fabric &amp; Home Care'!G62</f>
        <v>1921.0589579999998</v>
      </c>
      <c r="H88" s="3"/>
    </row>
    <row r="89">
      <c r="A89" s="3" t="s">
        <v>77</v>
      </c>
      <c r="B89" s="35">
        <f>'Segment - Baby Fem Family Care'!B64</f>
        <v>1446</v>
      </c>
      <c r="C89" s="35">
        <f>'Segment - Baby Fem Family Care'!C64</f>
        <v>1338</v>
      </c>
      <c r="D89" s="35">
        <f>'Segment - Baby Fem Family Care'!D64</f>
        <v>1282</v>
      </c>
      <c r="E89" s="35">
        <f>'Segment - Baby Fem Family Care'!E64</f>
        <v>1078</v>
      </c>
      <c r="F89" s="35">
        <f>'Segment - Baby Fem Family Care'!F64</f>
        <v>5144</v>
      </c>
      <c r="G89" s="56">
        <f>'Segment - Baby Fem Family Care'!G64</f>
        <v>1348.2248559999998</v>
      </c>
      <c r="H89" s="3"/>
    </row>
    <row r="90">
      <c r="A90" s="3" t="s">
        <v>110</v>
      </c>
      <c r="B90" s="44">
        <v>-108</v>
      </c>
      <c r="C90" s="44">
        <v>-412</v>
      </c>
      <c r="D90" s="44">
        <v>54</v>
      </c>
      <c r="E90" s="44">
        <v>-194</v>
      </c>
      <c r="F90" s="22">
        <f>SUM(B90:E90)</f>
        <v>-660</v>
      </c>
      <c r="G90" s="56">
        <f>'Income Statement'!G32-(G85+G86+G87+G88+G89)</f>
        <v>-220.65764599999966</v>
      </c>
      <c r="H90" s="3" t="s">
        <v>86</v>
      </c>
    </row>
    <row r="91">
      <c r="A91" s="28" t="s">
        <v>111</v>
      </c>
      <c r="B91" s="52">
        <f>B85+B86+B87+B88+B89+B90</f>
        <v>6034</v>
      </c>
      <c r="C91" s="52">
        <f>C85+C86+C87+C88+C89+C90</f>
        <v>5419</v>
      </c>
      <c r="D91" s="52">
        <f>D85+D86+D87+D88+D89+D90</f>
        <v>4990</v>
      </c>
      <c r="E91" s="52">
        <f>E85+E86+E87+E88+E89+E90</f>
        <v>3933</v>
      </c>
      <c r="F91" s="52">
        <f>F85+F86+F87+F88+F89+F90</f>
        <v>20376</v>
      </c>
      <c r="G91" s="51">
        <f>G85+G86+G87+G88+G89+G90</f>
        <v>5635.363136</v>
      </c>
      <c r="H91" s="3"/>
    </row>
    <row r="92">
      <c r="A92" s="41" t="s">
        <v>112</v>
      </c>
      <c r="B92" s="35" t="b">
        <f>ABS(B91-'Income Statement'!B32)&lt;=$B$45</f>
        <v>1</v>
      </c>
      <c r="C92" s="35" t="b">
        <f>ABS(C91-'Income Statement'!C32)&lt;=$B$45</f>
        <v>1</v>
      </c>
      <c r="D92" s="35" t="b">
        <f>ABS(D91-'Income Statement'!D32)&lt;=$B$45</f>
        <v>1</v>
      </c>
      <c r="E92" s="35" t="b">
        <f>ABS(E91-'Income Statement'!E32)&lt;=$B$45</f>
        <v>1</v>
      </c>
      <c r="F92" s="35" t="b">
        <f>ABS(F91-'Income Statement'!F32)&lt;=$B$45</f>
        <v>1</v>
      </c>
      <c r="G92" s="56" t="b">
        <f>ABS(G91-'Income Statement'!G32)&lt;=$B$45</f>
        <v>1</v>
      </c>
      <c r="H92" s="3"/>
    </row>
    <row r="93">
      <c r="A93" s="3" t="s">
        <v>113</v>
      </c>
      <c r="B93" s="26"/>
      <c r="C93" s="26"/>
      <c r="D93" s="26"/>
      <c r="E93" s="26"/>
      <c r="F93" s="26"/>
      <c r="G93" s="112">
        <f>G90-F90/4</f>
        <v>-55.65764599999966</v>
      </c>
      <c r="H93" s="3" t="str">
        <f>"FY26A quarterly range "&amp;TEXT(MIN(B90:E90),"#,##0")&amp;" to "&amp;TEXT(MAX(B90:E90),"#,##0")</f>
        <v>FY26A quarterly range -412 to 54</v>
      </c>
    </row>
    <row r="94">
      <c r="A94" s="49" t="s">
        <v>114</v>
      </c>
      <c r="B94" s="25"/>
      <c r="C94" s="25"/>
      <c r="D94" s="25"/>
      <c r="E94" s="25"/>
      <c r="F94" s="25"/>
      <c r="G94" s="61"/>
      <c r="H94" s="3"/>
    </row>
    <row r="95">
      <c r="A95" s="46" t="s">
        <v>115</v>
      </c>
      <c r="B95" s="17">
        <v>0</v>
      </c>
      <c r="C95" s="17">
        <v>0.01</v>
      </c>
      <c r="D95" s="17">
        <v>-0.01</v>
      </c>
      <c r="E95" s="17">
        <v>0</v>
      </c>
      <c r="F95" s="17">
        <v>0</v>
      </c>
      <c r="G95" s="29">
        <f>B51</f>
        <v>0</v>
      </c>
      <c r="H95" s="3" t="s">
        <v>116</v>
      </c>
    </row>
    <row r="96">
      <c r="A96" s="46" t="s">
        <v>117</v>
      </c>
      <c r="B96" s="17">
        <v>0.01</v>
      </c>
      <c r="C96" s="17">
        <v>0.02</v>
      </c>
      <c r="D96" s="17">
        <v>0</v>
      </c>
      <c r="E96" s="17">
        <v>0</v>
      </c>
      <c r="F96" s="17">
        <v>0.01</v>
      </c>
      <c r="G96" s="29">
        <f>B54</f>
        <v>0</v>
      </c>
      <c r="H96" s="3" t="s">
        <v>116</v>
      </c>
    </row>
    <row r="97">
      <c r="A97" s="46" t="s">
        <v>118</v>
      </c>
      <c r="B97" s="17">
        <v>0.01</v>
      </c>
      <c r="C97" s="17">
        <v>0</v>
      </c>
      <c r="D97" s="17">
        <v>0.01</v>
      </c>
      <c r="E97" s="17">
        <v>0.01</v>
      </c>
      <c r="F97" s="17">
        <v>0.01</v>
      </c>
      <c r="G97" s="29">
        <f>B57</f>
        <v>0.01</v>
      </c>
      <c r="H97" s="3" t="s">
        <v>116</v>
      </c>
    </row>
    <row r="98">
      <c r="A98" s="46" t="s">
        <v>119</v>
      </c>
      <c r="B98" s="17">
        <v>0</v>
      </c>
      <c r="C98" s="17">
        <v>0.01</v>
      </c>
      <c r="D98" s="17">
        <v>0</v>
      </c>
      <c r="E98" s="17">
        <v>0.01</v>
      </c>
      <c r="F98" s="17">
        <v>0</v>
      </c>
      <c r="G98" s="29">
        <f>B60</f>
        <v>0.01</v>
      </c>
      <c r="H98" s="3" t="s">
        <v>116</v>
      </c>
    </row>
    <row r="99">
      <c r="A99" s="46" t="s">
        <v>120</v>
      </c>
      <c r="B99" s="17">
        <v>-0.01</v>
      </c>
      <c r="C99" s="17">
        <v>0</v>
      </c>
      <c r="D99" s="17">
        <v>-0.02</v>
      </c>
      <c r="E99" s="17">
        <v>0</v>
      </c>
      <c r="F99" s="17">
        <v>-0.01</v>
      </c>
      <c r="G99" s="29">
        <f>B63</f>
        <v>0.01</v>
      </c>
      <c r="H99" s="3" t="s">
        <v>116</v>
      </c>
    </row>
    <row r="100">
      <c r="A100" s="46" t="s">
        <v>121</v>
      </c>
      <c r="B100" s="17">
        <v>-0.01</v>
      </c>
      <c r="C100" s="17">
        <v>0</v>
      </c>
      <c r="D100" s="17">
        <v>0</v>
      </c>
      <c r="E100" s="17">
        <v>0</v>
      </c>
      <c r="F100" s="17">
        <v>0</v>
      </c>
      <c r="G100" s="29">
        <f>B66</f>
        <v>0</v>
      </c>
      <c r="H100" s="3" t="s">
        <v>116</v>
      </c>
    </row>
    <row r="101">
      <c r="A101" s="46" t="s">
        <v>122</v>
      </c>
      <c r="B101" s="17">
        <v>-0.01</v>
      </c>
      <c r="C101" s="17">
        <v>0.02</v>
      </c>
      <c r="D101" s="17">
        <v>-0.02</v>
      </c>
      <c r="E101" s="17">
        <v>0.02</v>
      </c>
      <c r="F101" s="17">
        <v>0</v>
      </c>
      <c r="G101" s="29">
        <f>B69</f>
        <v>0.03</v>
      </c>
      <c r="H101" s="3" t="s">
        <v>116</v>
      </c>
    </row>
    <row r="102">
      <c r="A102" s="46" t="s">
        <v>123</v>
      </c>
      <c r="B102" s="17">
        <v>0.02</v>
      </c>
      <c r="C102" s="17">
        <v>0.03</v>
      </c>
      <c r="D102" s="17">
        <v>0.01</v>
      </c>
      <c r="E102" s="17">
        <v>0.02</v>
      </c>
      <c r="F102" s="17">
        <v>0.02</v>
      </c>
      <c r="G102" s="29">
        <f>B72</f>
        <v>0.02</v>
      </c>
      <c r="H102" s="3" t="s">
        <v>116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3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124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125</v>
      </c>
      <c r="B8" s="25"/>
      <c r="C8" s="25"/>
      <c r="D8" s="25"/>
      <c r="E8" s="25"/>
      <c r="F8" s="25"/>
      <c r="G8" s="61"/>
      <c r="H8" s="3"/>
    </row>
    <row r="9">
      <c r="A9" s="11" t="s">
        <v>95</v>
      </c>
      <c r="B9" s="17">
        <v>0.04</v>
      </c>
      <c r="C9" s="17">
        <v>0.03</v>
      </c>
      <c r="D9" s="17">
        <v>0.05</v>
      </c>
      <c r="E9" s="17">
        <v>0.03</v>
      </c>
      <c r="F9" s="17">
        <v>0.04</v>
      </c>
      <c r="G9" s="72">
        <v>0.025</v>
      </c>
      <c r="H9" s="3" t="s">
        <v>126</v>
      </c>
    </row>
    <row r="10">
      <c r="A10" s="41" t="s">
        <v>93</v>
      </c>
      <c r="B10" s="66" t="s">
        <v>41</v>
      </c>
      <c r="C10" s="66">
        <f>(C9-B9)*10000</f>
        <v>-100.00000000000001</v>
      </c>
      <c r="D10" s="66">
        <f>(D9-C9)*10000</f>
        <v>200.00000000000003</v>
      </c>
      <c r="E10" s="66">
        <f>(E9-D9)*10000</f>
        <v>-200.00000000000003</v>
      </c>
      <c r="F10" s="66" t="s">
        <v>41</v>
      </c>
      <c r="G10" s="69">
        <f>(G9-E9)*10000</f>
        <v>-49.99999999999997</v>
      </c>
      <c r="H10" s="3"/>
    </row>
    <row r="11">
      <c r="A11" s="41" t="s">
        <v>94</v>
      </c>
      <c r="B11" s="66">
        <f>IFERROR((B9-B87)*10000,"n/a")</f>
        <v>400</v>
      </c>
      <c r="C11" s="66">
        <f>IFERROR((C9-C87)*10000,"n/a")</f>
        <v>300</v>
      </c>
      <c r="D11" s="66">
        <f>IFERROR((D9-D87)*10000,"n/a")</f>
        <v>400</v>
      </c>
      <c r="E11" s="66">
        <f>IFERROR((E9-E87)*10000,"n/a")</f>
        <v>199.99999999999997</v>
      </c>
      <c r="F11" s="66">
        <f>IFERROR((F9-F87)*10000,"n/a")</f>
        <v>300</v>
      </c>
      <c r="G11" s="69">
        <f>IFERROR((G9-G87)*10000,"n/a")</f>
        <v>-150</v>
      </c>
      <c r="H11" s="3"/>
    </row>
    <row r="12">
      <c r="A12" s="11" t="s">
        <v>127</v>
      </c>
      <c r="B12" s="20">
        <f>B15-B9</f>
        <v>0</v>
      </c>
      <c r="C12" s="20">
        <f>C15-C9</f>
        <v>0</v>
      </c>
      <c r="D12" s="20">
        <f>D15-D9</f>
        <v>0</v>
      </c>
      <c r="E12" s="20">
        <f>E15-E9</f>
        <v>0</v>
      </c>
      <c r="F12" s="20">
        <f>F15-F9</f>
        <v>0</v>
      </c>
      <c r="G12" s="72">
        <v>0</v>
      </c>
      <c r="H12" s="3"/>
    </row>
    <row r="13">
      <c r="A13" s="41" t="s">
        <v>93</v>
      </c>
      <c r="B13" s="66" t="s">
        <v>41</v>
      </c>
      <c r="C13" s="66">
        <f>(C12-B12)*10000</f>
        <v>0</v>
      </c>
      <c r="D13" s="66">
        <f>(D12-C12)*10000</f>
        <v>0</v>
      </c>
      <c r="E13" s="66">
        <f>(E12-D12)*10000</f>
        <v>0</v>
      </c>
      <c r="F13" s="66" t="s">
        <v>41</v>
      </c>
      <c r="G13" s="69">
        <f>(G12-E12)*10000</f>
        <v>0</v>
      </c>
      <c r="H13" s="3"/>
    </row>
    <row r="14">
      <c r="A14" s="41" t="s">
        <v>94</v>
      </c>
      <c r="B14" s="66">
        <f>(B12-(B86-B87))*10000</f>
        <v>200</v>
      </c>
      <c r="C14" s="66">
        <f>(C12-(C86-C87))*10000</f>
        <v>100</v>
      </c>
      <c r="D14" s="66">
        <f>(D12-(D86-D87))*10000</f>
        <v>100</v>
      </c>
      <c r="E14" s="66">
        <f>(E12-(E86-E87))*10000</f>
        <v>0</v>
      </c>
      <c r="F14" s="66">
        <f>(F12-(F86-F87))*10000</f>
        <v>200</v>
      </c>
      <c r="G14" s="69">
        <f>(G12-(G86-G87))*10000</f>
        <v>0</v>
      </c>
      <c r="H14" s="3"/>
    </row>
    <row r="15">
      <c r="A15" s="11" t="s">
        <v>91</v>
      </c>
      <c r="B15" s="17">
        <v>0.04</v>
      </c>
      <c r="C15" s="17">
        <v>0.03</v>
      </c>
      <c r="D15" s="17">
        <v>0.05</v>
      </c>
      <c r="E15" s="17">
        <v>0.03</v>
      </c>
      <c r="F15" s="17">
        <v>0.04</v>
      </c>
      <c r="G15" s="29">
        <f>G9+G12</f>
        <v>0.025</v>
      </c>
      <c r="H15" s="3" t="s">
        <v>92</v>
      </c>
    </row>
    <row r="16">
      <c r="A16" s="41" t="s">
        <v>93</v>
      </c>
      <c r="B16" s="66" t="s">
        <v>41</v>
      </c>
      <c r="C16" s="66">
        <f>(C15-B15)*10000</f>
        <v>-100.00000000000001</v>
      </c>
      <c r="D16" s="66">
        <f>(D15-C15)*10000</f>
        <v>200.00000000000003</v>
      </c>
      <c r="E16" s="66">
        <f>(E15-D15)*10000</f>
        <v>-200.00000000000003</v>
      </c>
      <c r="F16" s="66" t="s">
        <v>41</v>
      </c>
      <c r="G16" s="69">
        <f>(G15-E15)*10000</f>
        <v>-49.99999999999997</v>
      </c>
      <c r="H16" s="3"/>
    </row>
    <row r="17">
      <c r="A17" s="41" t="s">
        <v>94</v>
      </c>
      <c r="B17" s="66">
        <f>IFERROR((B15-B86)*10000,"n/a")</f>
        <v>600</v>
      </c>
      <c r="C17" s="66">
        <f>IFERROR((C15-C86)*10000,"n/a")</f>
        <v>400</v>
      </c>
      <c r="D17" s="66">
        <f>IFERROR((D15-D86)*10000,"n/a")</f>
        <v>500</v>
      </c>
      <c r="E17" s="66">
        <f>IFERROR((E15-E86)*10000,"n/a")</f>
        <v>199.99999999999997</v>
      </c>
      <c r="F17" s="66">
        <f>IFERROR((F15-F86)*10000,"n/a")</f>
        <v>500</v>
      </c>
      <c r="G17" s="69">
        <f>IFERROR((G15-G86)*10000,"n/a")</f>
        <v>-150</v>
      </c>
      <c r="H17" s="3"/>
    </row>
    <row r="18">
      <c r="A18" s="11" t="s">
        <v>96</v>
      </c>
      <c r="B18" s="17">
        <v>0.02</v>
      </c>
      <c r="C18" s="17">
        <v>0.02</v>
      </c>
      <c r="D18" s="17">
        <v>0.01</v>
      </c>
      <c r="E18" s="17">
        <v>0.01</v>
      </c>
      <c r="F18" s="17">
        <v>0.01</v>
      </c>
      <c r="G18" s="72">
        <v>0.01</v>
      </c>
      <c r="H18" s="3" t="s">
        <v>126</v>
      </c>
    </row>
    <row r="19">
      <c r="A19" s="41" t="s">
        <v>93</v>
      </c>
      <c r="B19" s="66" t="s">
        <v>41</v>
      </c>
      <c r="C19" s="66">
        <f>(C18-B18)*10000</f>
        <v>0</v>
      </c>
      <c r="D19" s="66">
        <f>(D18-C18)*10000</f>
        <v>-100</v>
      </c>
      <c r="E19" s="66">
        <f>(E18-D18)*10000</f>
        <v>0</v>
      </c>
      <c r="F19" s="66" t="s">
        <v>41</v>
      </c>
      <c r="G19" s="69">
        <f>(G18-E18)*10000</f>
        <v>0</v>
      </c>
      <c r="H19" s="3"/>
    </row>
    <row r="20">
      <c r="A20" s="41" t="s">
        <v>94</v>
      </c>
      <c r="B20" s="66">
        <f>IFERROR((B18-B88)*10000,"n/a")</f>
        <v>100</v>
      </c>
      <c r="C20" s="66">
        <f>IFERROR((C18-C88)*10000,"n/a")</f>
        <v>0</v>
      </c>
      <c r="D20" s="66">
        <f>IFERROR((D18-D88)*10000,"n/a")</f>
        <v>-199.99999999999997</v>
      </c>
      <c r="E20" s="66">
        <f>IFERROR((E18-E88)*10000,"n/a")</f>
        <v>0</v>
      </c>
      <c r="F20" s="66">
        <f>IFERROR((F18-F88)*10000,"n/a")</f>
        <v>-100</v>
      </c>
      <c r="G20" s="69">
        <f>IFERROR((G18-G88)*10000,"n/a")</f>
        <v>-100</v>
      </c>
      <c r="H20" s="3"/>
    </row>
    <row r="21">
      <c r="A21" s="11" t="s">
        <v>97</v>
      </c>
      <c r="B21" s="17">
        <v>-0.01</v>
      </c>
      <c r="C21" s="17">
        <v>-0.01</v>
      </c>
      <c r="D21" s="17">
        <v>0.01</v>
      </c>
      <c r="E21" s="17">
        <v>0</v>
      </c>
      <c r="F21" s="17">
        <v>0</v>
      </c>
      <c r="G21" s="72">
        <v>0</v>
      </c>
      <c r="H21" s="3" t="s">
        <v>126</v>
      </c>
    </row>
    <row r="22">
      <c r="A22" s="41" t="s">
        <v>93</v>
      </c>
      <c r="B22" s="66" t="s">
        <v>41</v>
      </c>
      <c r="C22" s="66">
        <f>(C21-B21)*10000</f>
        <v>0</v>
      </c>
      <c r="D22" s="66">
        <f>(D21-C21)*10000</f>
        <v>200</v>
      </c>
      <c r="E22" s="66">
        <f>(E21-D21)*10000</f>
        <v>-100</v>
      </c>
      <c r="F22" s="66" t="s">
        <v>41</v>
      </c>
      <c r="G22" s="69">
        <f>(G21-E21)*10000</f>
        <v>0</v>
      </c>
      <c r="H22" s="3"/>
    </row>
    <row r="23">
      <c r="A23" s="41" t="s">
        <v>94</v>
      </c>
      <c r="B23" s="66">
        <f>IFERROR((B21-B89)*10000,"n/a")</f>
        <v>199.99999999999997</v>
      </c>
      <c r="C23" s="66">
        <f>IFERROR((C21-C89)*10000,"n/a")</f>
        <v>-100</v>
      </c>
      <c r="D23" s="66">
        <f>IFERROR((D21-D89)*10000,"n/a")</f>
        <v>300</v>
      </c>
      <c r="E23" s="66">
        <f>IFERROR((E21-E89)*10000,"n/a")</f>
        <v>100</v>
      </c>
      <c r="F23" s="66">
        <f>IFERROR((F21-F89)*10000,"n/a")</f>
        <v>200</v>
      </c>
      <c r="G23" s="69">
        <f>IFERROR((G21-G89)*10000,"n/a")</f>
        <v>100</v>
      </c>
      <c r="H23" s="3"/>
    </row>
    <row r="24">
      <c r="A24" s="11" t="s">
        <v>101</v>
      </c>
      <c r="B24" s="17">
        <v>0.06</v>
      </c>
      <c r="C24" s="17">
        <v>0.04</v>
      </c>
      <c r="D24" s="17">
        <v>0.07</v>
      </c>
      <c r="E24" s="17">
        <v>0.04</v>
      </c>
      <c r="F24" s="20" t="s">
        <v>41</v>
      </c>
      <c r="G24" s="29">
        <f>G9+G18+G21</f>
        <v>0.035</v>
      </c>
      <c r="H24" s="3" t="s">
        <v>86</v>
      </c>
    </row>
    <row r="25">
      <c r="A25" s="41" t="s">
        <v>93</v>
      </c>
      <c r="B25" s="66" t="s">
        <v>41</v>
      </c>
      <c r="C25" s="66">
        <f>(C24-B24)*10000</f>
        <v>-199.99999999999997</v>
      </c>
      <c r="D25" s="66">
        <f>(D24-C24)*10000</f>
        <v>300.00000000000006</v>
      </c>
      <c r="E25" s="66">
        <f>(E24-D24)*10000</f>
        <v>-300.00000000000006</v>
      </c>
      <c r="F25" s="66" t="s">
        <v>41</v>
      </c>
      <c r="G25" s="69">
        <f>(G24-E24)*10000</f>
        <v>-49.99999999999997</v>
      </c>
      <c r="H25" s="3"/>
    </row>
    <row r="26">
      <c r="A26" s="41" t="s">
        <v>94</v>
      </c>
      <c r="B26" s="66">
        <f>IFERROR((B24-B93)*10000,"n/a")</f>
        <v>800</v>
      </c>
      <c r="C26" s="66">
        <f>IFERROR((C24-C93)*10000,"n/a")</f>
        <v>200</v>
      </c>
      <c r="D26" s="66">
        <f>IFERROR((D24-D93)*10000,"n/a")</f>
        <v>500</v>
      </c>
      <c r="E26" s="66">
        <f>IFERROR((E24-E93)*10000,"n/a")</f>
        <v>300</v>
      </c>
      <c r="F26" s="66" t="str">
        <f>IFERROR((F24-F93)*10000,"n/a")</f>
        <v>n/a</v>
      </c>
      <c r="G26" s="69">
        <f>IFERROR((G24-G93)*10000,"n/a")</f>
        <v>-249.99999999999994</v>
      </c>
      <c r="H26" s="3"/>
    </row>
    <row r="27">
      <c r="A27" s="11" t="s">
        <v>98</v>
      </c>
      <c r="B27" s="17">
        <v>0.01</v>
      </c>
      <c r="C27" s="17">
        <v>0.01</v>
      </c>
      <c r="D27" s="17">
        <v>0.04</v>
      </c>
      <c r="E27" s="17">
        <v>0.02</v>
      </c>
      <c r="F27" s="17">
        <v>0.02</v>
      </c>
      <c r="G27" s="72">
        <v>-0.003</v>
      </c>
      <c r="H27" s="3" t="s">
        <v>128</v>
      </c>
    </row>
    <row r="28">
      <c r="A28" s="41" t="s">
        <v>93</v>
      </c>
      <c r="B28" s="66" t="s">
        <v>41</v>
      </c>
      <c r="C28" s="66">
        <f>(C27-B27)*10000</f>
        <v>0</v>
      </c>
      <c r="D28" s="66">
        <f>(D27-C27)*10000</f>
        <v>300</v>
      </c>
      <c r="E28" s="66">
        <f>(E27-D27)*10000</f>
        <v>-200</v>
      </c>
      <c r="F28" s="66" t="s">
        <v>41</v>
      </c>
      <c r="G28" s="69">
        <f>(G27-E27)*10000</f>
        <v>-230</v>
      </c>
      <c r="H28" s="3"/>
    </row>
    <row r="29">
      <c r="A29" s="41" t="s">
        <v>94</v>
      </c>
      <c r="B29" s="66">
        <f>IFERROR((B27-B90)*10000,"n/a")</f>
        <v>200</v>
      </c>
      <c r="C29" s="66">
        <f>IFERROR((C27-C90)*10000,"n/a")</f>
        <v>200</v>
      </c>
      <c r="D29" s="66">
        <f>IFERROR((D27-D90)*10000,"n/a")</f>
        <v>700.0000000000001</v>
      </c>
      <c r="E29" s="66">
        <f>IFERROR((E27-E90)*10000,"n/a")</f>
        <v>300</v>
      </c>
      <c r="F29" s="66">
        <f>IFERROR((F27-F90)*10000,"n/a")</f>
        <v>300</v>
      </c>
      <c r="G29" s="69">
        <f>IFERROR((G27-G90)*10000,"n/a")</f>
        <v>-130</v>
      </c>
      <c r="H29" s="3"/>
    </row>
    <row r="30">
      <c r="A30" s="11" t="s">
        <v>129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72">
        <v>0</v>
      </c>
      <c r="H30" s="3" t="s">
        <v>92</v>
      </c>
    </row>
    <row r="31">
      <c r="A31" s="41" t="s">
        <v>93</v>
      </c>
      <c r="B31" s="66" t="s">
        <v>41</v>
      </c>
      <c r="C31" s="66">
        <f>(C30-B30)*10000</f>
        <v>0</v>
      </c>
      <c r="D31" s="66">
        <f>(D30-C30)*10000</f>
        <v>0</v>
      </c>
      <c r="E31" s="66">
        <f>(E30-D30)*10000</f>
        <v>0</v>
      </c>
      <c r="F31" s="66" t="s">
        <v>41</v>
      </c>
      <c r="G31" s="69">
        <f>(G30-E30)*10000</f>
        <v>0</v>
      </c>
      <c r="H31" s="3"/>
    </row>
    <row r="32">
      <c r="A32" s="41" t="s">
        <v>94</v>
      </c>
      <c r="B32" s="66">
        <f>(B30-B91)*10000</f>
        <v>0</v>
      </c>
      <c r="C32" s="66">
        <f>(C30-C91)*10000</f>
        <v>0</v>
      </c>
      <c r="D32" s="66">
        <f>(D30-D91)*10000</f>
        <v>0</v>
      </c>
      <c r="E32" s="66">
        <f>(E30-E91)*10000</f>
        <v>0</v>
      </c>
      <c r="F32" s="66">
        <f>(F30-F91)*10000</f>
        <v>0</v>
      </c>
      <c r="G32" s="69">
        <f>(G30-G91)*10000</f>
        <v>0</v>
      </c>
      <c r="H32" s="3"/>
    </row>
    <row r="33">
      <c r="A33" s="62" t="s">
        <v>100</v>
      </c>
      <c r="B33" s="75">
        <v>0.06</v>
      </c>
      <c r="C33" s="75">
        <v>0.05</v>
      </c>
      <c r="D33" s="75">
        <v>0.11</v>
      </c>
      <c r="E33" s="75">
        <v>0.06</v>
      </c>
      <c r="F33" s="75">
        <v>0.07</v>
      </c>
      <c r="G33" s="73">
        <f>G15+G27+G18+G21+G30</f>
        <v>0.032</v>
      </c>
      <c r="H33" s="3" t="s">
        <v>92</v>
      </c>
    </row>
    <row r="34">
      <c r="A34" s="41" t="s">
        <v>93</v>
      </c>
      <c r="B34" s="66" t="s">
        <v>41</v>
      </c>
      <c r="C34" s="66">
        <f>(C33-B33)*10000</f>
        <v>-99.99999999999994</v>
      </c>
      <c r="D34" s="66">
        <f>(D33-C33)*10000</f>
        <v>600</v>
      </c>
      <c r="E34" s="66">
        <f>(E33-D33)*10000</f>
        <v>-500</v>
      </c>
      <c r="F34" s="66" t="s">
        <v>41</v>
      </c>
      <c r="G34" s="69">
        <f>(G33-E33)*10000</f>
        <v>-279.99999999999994</v>
      </c>
      <c r="H34" s="3"/>
    </row>
    <row r="35">
      <c r="A35" s="41" t="s">
        <v>94</v>
      </c>
      <c r="B35" s="66">
        <f>IFERROR((B33-B92)*10000,"n/a")</f>
        <v>1100</v>
      </c>
      <c r="C35" s="66">
        <f>IFERROR((C33-C92)*10000,"n/a")</f>
        <v>500</v>
      </c>
      <c r="D35" s="66">
        <f>IFERROR((D33-D92)*10000,"n/a")</f>
        <v>1300</v>
      </c>
      <c r="E35" s="66">
        <f>IFERROR((E33-E92)*10000,"n/a")</f>
        <v>600</v>
      </c>
      <c r="F35" s="66">
        <f>IFERROR((F33-F92)*10000,"n/a")</f>
        <v>900.0000000000001</v>
      </c>
      <c r="G35" s="69">
        <f>IFERROR((G33-G92)*10000,"n/a")</f>
        <v>-279.99999999999994</v>
      </c>
      <c r="H35" s="3"/>
    </row>
    <row r="36">
      <c r="A36" s="3"/>
      <c r="B36" s="26"/>
      <c r="C36" s="26"/>
      <c r="D36" s="26"/>
      <c r="E36" s="26"/>
      <c r="F36" s="26"/>
      <c r="G36" s="64"/>
      <c r="H36" s="3"/>
    </row>
    <row r="37">
      <c r="A37" s="49" t="s">
        <v>130</v>
      </c>
      <c r="B37" s="25"/>
      <c r="C37" s="25"/>
      <c r="D37" s="25"/>
      <c r="E37" s="25"/>
      <c r="F37" s="25"/>
      <c r="G37" s="61"/>
      <c r="H37" s="3"/>
    </row>
    <row r="38">
      <c r="A38" s="11" t="s">
        <v>131</v>
      </c>
      <c r="B38" s="17">
        <v>-0.01</v>
      </c>
      <c r="C38" s="17">
        <v>-0.01</v>
      </c>
      <c r="D38" s="17">
        <v>-0.04</v>
      </c>
      <c r="E38" s="17">
        <v>-0.02</v>
      </c>
      <c r="F38" s="20" t="s">
        <v>41</v>
      </c>
      <c r="G38" s="29">
        <f>-G27</f>
        <v>0.003</v>
      </c>
      <c r="H38" s="3" t="s">
        <v>86</v>
      </c>
    </row>
    <row r="39">
      <c r="A39" s="11" t="s">
        <v>132</v>
      </c>
      <c r="B39" s="17">
        <v>0.01</v>
      </c>
      <c r="C39" s="17">
        <v>0</v>
      </c>
      <c r="D39" s="17">
        <v>0</v>
      </c>
      <c r="E39" s="17">
        <v>0</v>
      </c>
      <c r="F39" s="20" t="s">
        <v>41</v>
      </c>
      <c r="G39" s="29">
        <f>-(G12+G30)</f>
        <v>0</v>
      </c>
      <c r="H39" s="3" t="s">
        <v>86</v>
      </c>
    </row>
    <row r="40">
      <c r="A40" s="11" t="s">
        <v>133</v>
      </c>
      <c r="B40" s="20">
        <f>B24</f>
        <v>0.06</v>
      </c>
      <c r="C40" s="20">
        <f>C24</f>
        <v>0.04</v>
      </c>
      <c r="D40" s="20">
        <f>D24</f>
        <v>0.07</v>
      </c>
      <c r="E40" s="20">
        <f>E24</f>
        <v>0.04</v>
      </c>
      <c r="F40" s="20" t="str">
        <f>F24</f>
        <v>n/a</v>
      </c>
      <c r="G40" s="29">
        <f>G24</f>
        <v>0.035</v>
      </c>
      <c r="H40" s="3"/>
    </row>
    <row r="41">
      <c r="A41" s="11" t="s">
        <v>104</v>
      </c>
      <c r="B41" s="20">
        <f>IFERROR(-B39,"n/a")</f>
        <v>-0.01</v>
      </c>
      <c r="C41" s="20">
        <f>IFERROR(-C39,"n/a")</f>
        <v>0</v>
      </c>
      <c r="D41" s="20">
        <f>IFERROR(-D39,"n/a")</f>
        <v>0</v>
      </c>
      <c r="E41" s="20">
        <f>IFERROR(-E39,"n/a")</f>
        <v>0</v>
      </c>
      <c r="F41" s="20" t="str">
        <f>IFERROR(-F39,"n/a")</f>
        <v>n/a</v>
      </c>
      <c r="G41" s="29">
        <f>IFERROR(-G39,"n/a")</f>
        <v>0</v>
      </c>
      <c r="H41" s="3"/>
    </row>
    <row r="42">
      <c r="A42" s="11" t="s">
        <v>134</v>
      </c>
      <c r="B42" s="20">
        <f>IFERROR(-B38,"n/a")</f>
        <v>0.01</v>
      </c>
      <c r="C42" s="20">
        <f>IFERROR(-C38,"n/a")</f>
        <v>0.01</v>
      </c>
      <c r="D42" s="20">
        <f>IFERROR(-D38,"n/a")</f>
        <v>0.04</v>
      </c>
      <c r="E42" s="20">
        <f>IFERROR(-E38,"n/a")</f>
        <v>0.02</v>
      </c>
      <c r="F42" s="20" t="str">
        <f>IFERROR(-F38,"n/a")</f>
        <v>n/a</v>
      </c>
      <c r="G42" s="29">
        <f>IFERROR(-G38,"n/a")</f>
        <v>-0.003</v>
      </c>
      <c r="H42" s="3"/>
    </row>
    <row r="43">
      <c r="A43" s="11" t="s">
        <v>106</v>
      </c>
      <c r="B43" s="20">
        <f>B33</f>
        <v>0.06</v>
      </c>
      <c r="C43" s="20">
        <f>C33</f>
        <v>0.05</v>
      </c>
      <c r="D43" s="20">
        <f>D33</f>
        <v>0.11</v>
      </c>
      <c r="E43" s="20">
        <f>E33</f>
        <v>0.06</v>
      </c>
      <c r="F43" s="20">
        <f>F33</f>
        <v>0.07</v>
      </c>
      <c r="G43" s="29">
        <f>G33</f>
        <v>0.032</v>
      </c>
      <c r="H43" s="3"/>
    </row>
    <row r="44">
      <c r="A44" s="11" t="s">
        <v>107</v>
      </c>
      <c r="B44" s="20">
        <f>IFERROR((1+B43)/((1+B41)*(1+B42))-1,"n/a")</f>
        <v>0.060106010601060245</v>
      </c>
      <c r="C44" s="20">
        <f>IFERROR((1+C43)/((1+C41)*(1+C42))-1,"n/a")</f>
        <v>0.03960396039603964</v>
      </c>
      <c r="D44" s="20">
        <f>IFERROR((1+D43)/((1+D41)*(1+D42))-1,"n/a")</f>
        <v>0.06730769230769229</v>
      </c>
      <c r="E44" s="20">
        <f>IFERROR((1+E43)/((1+E41)*(1+E42))-1,"n/a")</f>
        <v>0.03921568627450989</v>
      </c>
      <c r="F44" s="20" t="str">
        <f>IFERROR((1+F43)/((1+F41)*(1+F42))-1,"n/a")</f>
        <v>n/a</v>
      </c>
      <c r="G44" s="29">
        <f>IFERROR((1+G43)/((1+G41)*(1+G42))-1,"n/a")</f>
        <v>0.03510531594784361</v>
      </c>
      <c r="H44" s="3"/>
    </row>
    <row r="45">
      <c r="A45" s="3"/>
      <c r="B45" s="26"/>
      <c r="C45" s="26"/>
      <c r="D45" s="26"/>
      <c r="E45" s="26"/>
      <c r="F45" s="26"/>
      <c r="G45" s="64"/>
      <c r="H45" s="3"/>
    </row>
    <row r="46">
      <c r="A46" s="49" t="s">
        <v>33</v>
      </c>
      <c r="B46" s="25"/>
      <c r="C46" s="25"/>
      <c r="D46" s="25"/>
      <c r="E46" s="25"/>
      <c r="F46" s="25"/>
      <c r="G46" s="61"/>
      <c r="H46" s="3"/>
    </row>
    <row r="47">
      <c r="A47" s="28" t="s">
        <v>33</v>
      </c>
      <c r="B47" s="63">
        <v>4143</v>
      </c>
      <c r="C47" s="63">
        <v>4039</v>
      </c>
      <c r="D47" s="63">
        <v>3866</v>
      </c>
      <c r="E47" s="63">
        <v>3975</v>
      </c>
      <c r="F47" s="52">
        <f>SUM(B47:E47)</f>
        <v>16023</v>
      </c>
      <c r="G47" s="51">
        <f>B47*(1+G33)</f>
        <v>4275.576</v>
      </c>
      <c r="H47" s="3" t="s">
        <v>135</v>
      </c>
    </row>
    <row r="48">
      <c r="A48" s="46" t="s">
        <v>70</v>
      </c>
      <c r="B48" s="20">
        <f>B47/B83-1</f>
        <v>0.06449126413155182</v>
      </c>
      <c r="C48" s="20">
        <f>C47/C83-1</f>
        <v>0.049636174636174646</v>
      </c>
      <c r="D48" s="20">
        <f>D47/D83-1</f>
        <v>0.1077363896848138</v>
      </c>
      <c r="E48" s="20">
        <f>E47/E83-1</f>
        <v>0.06482721671577818</v>
      </c>
      <c r="F48" s="20">
        <f>F47/F83-1</f>
        <v>0.07076984763432237</v>
      </c>
      <c r="G48" s="29">
        <f>G47/G83-1</f>
        <v>0.03200000000000003</v>
      </c>
      <c r="H48" s="3"/>
    </row>
    <row r="49">
      <c r="A49" s="46" t="s">
        <v>71</v>
      </c>
      <c r="B49" s="20" t="s">
        <v>41</v>
      </c>
      <c r="C49" s="20">
        <f>C47/B47-1</f>
        <v>-0.02510258266956311</v>
      </c>
      <c r="D49" s="20">
        <f>D47/C47-1</f>
        <v>-0.04283238425352809</v>
      </c>
      <c r="E49" s="20">
        <f>E47/D47-1</f>
        <v>0.028194516295913186</v>
      </c>
      <c r="F49" s="20" t="s">
        <v>41</v>
      </c>
      <c r="G49" s="29">
        <f>G47/E47-1</f>
        <v>0.07561660377358481</v>
      </c>
      <c r="H49" s="3"/>
    </row>
    <row r="50">
      <c r="A50" s="41" t="s">
        <v>72</v>
      </c>
      <c r="B50" s="22" t="s">
        <v>41</v>
      </c>
      <c r="C50" s="22">
        <f>C47-B47</f>
        <v>-104</v>
      </c>
      <c r="D50" s="22">
        <f>D47-C47</f>
        <v>-173</v>
      </c>
      <c r="E50" s="22">
        <f>E47-D47</f>
        <v>109</v>
      </c>
      <c r="F50" s="22" t="s">
        <v>41</v>
      </c>
      <c r="G50" s="27">
        <f>G47-E47</f>
        <v>300.576</v>
      </c>
      <c r="H50" s="3"/>
    </row>
    <row r="51">
      <c r="A51" s="46" t="s">
        <v>136</v>
      </c>
      <c r="B51" s="21">
        <f>B47/'Revenue summary'!B39</f>
        <v>0.18507102653444116</v>
      </c>
      <c r="C51" s="21">
        <f>C47/'Revenue summary'!C39</f>
        <v>0.18187139769452448</v>
      </c>
      <c r="D51" s="21">
        <f>D47/'Revenue summary'!D39</f>
        <v>0.18205792323993408</v>
      </c>
      <c r="E51" s="21">
        <f>E47/'Revenue summary'!E39</f>
        <v>0.18747347073527332</v>
      </c>
      <c r="F51" s="21">
        <f>F47/'Revenue summary'!F39</f>
        <v>0.18410469712289732</v>
      </c>
      <c r="G51" s="85">
        <f>G47/'Revenue summary'!G39</f>
        <v>0.18709147352384367</v>
      </c>
      <c r="H51" s="3"/>
    </row>
    <row r="52">
      <c r="A52" s="3"/>
      <c r="B52" s="26"/>
      <c r="C52" s="26"/>
      <c r="D52" s="26"/>
      <c r="E52" s="26"/>
      <c r="F52" s="26"/>
      <c r="G52" s="64"/>
      <c r="H52" s="3"/>
    </row>
    <row r="53">
      <c r="A53" s="49" t="s">
        <v>137</v>
      </c>
      <c r="B53" s="25"/>
      <c r="C53" s="25"/>
      <c r="D53" s="25"/>
      <c r="E53" s="25"/>
      <c r="F53" s="25"/>
      <c r="G53" s="61"/>
      <c r="H53" s="3"/>
    </row>
    <row r="54">
      <c r="A54" s="11" t="s">
        <v>138</v>
      </c>
      <c r="B54" s="20" t="s">
        <v>41</v>
      </c>
      <c r="C54" s="20" t="s">
        <v>41</v>
      </c>
      <c r="D54" s="20" t="s">
        <v>41</v>
      </c>
      <c r="E54" s="20" t="s">
        <v>41</v>
      </c>
      <c r="F54" s="17">
        <v>0.09</v>
      </c>
      <c r="G54" s="29" t="s">
        <v>41</v>
      </c>
      <c r="H54" s="3" t="s">
        <v>139</v>
      </c>
    </row>
    <row r="55">
      <c r="A55" s="41" t="s">
        <v>140</v>
      </c>
      <c r="B55" s="22" t="s">
        <v>41</v>
      </c>
      <c r="C55" s="22" t="s">
        <v>41</v>
      </c>
      <c r="D55" s="22" t="s">
        <v>41</v>
      </c>
      <c r="E55" s="22" t="s">
        <v>41</v>
      </c>
      <c r="F55" s="35">
        <f>F54*'Revenue summary'!F39</f>
        <v>7832.88</v>
      </c>
      <c r="G55" s="27" t="s">
        <v>41</v>
      </c>
      <c r="H55" s="3"/>
    </row>
    <row r="56">
      <c r="A56" s="11" t="s">
        <v>141</v>
      </c>
      <c r="B56" s="20" t="s">
        <v>41</v>
      </c>
      <c r="C56" s="20" t="s">
        <v>41</v>
      </c>
      <c r="D56" s="20" t="s">
        <v>41</v>
      </c>
      <c r="E56" s="20" t="s">
        <v>41</v>
      </c>
      <c r="F56" s="17">
        <v>0.06</v>
      </c>
      <c r="G56" s="29" t="s">
        <v>41</v>
      </c>
      <c r="H56" s="3" t="s">
        <v>139</v>
      </c>
    </row>
    <row r="57">
      <c r="A57" s="41" t="s">
        <v>142</v>
      </c>
      <c r="B57" s="22" t="s">
        <v>41</v>
      </c>
      <c r="C57" s="22" t="s">
        <v>41</v>
      </c>
      <c r="D57" s="22" t="s">
        <v>41</v>
      </c>
      <c r="E57" s="22" t="s">
        <v>41</v>
      </c>
      <c r="F57" s="35">
        <f>F56*'Revenue summary'!F39</f>
        <v>5221.92</v>
      </c>
      <c r="G57" s="27" t="s">
        <v>41</v>
      </c>
      <c r="H57" s="3"/>
    </row>
    <row r="58">
      <c r="A58" s="11" t="s">
        <v>143</v>
      </c>
      <c r="B58" s="20" t="s">
        <v>41</v>
      </c>
      <c r="C58" s="20" t="s">
        <v>41</v>
      </c>
      <c r="D58" s="20" t="s">
        <v>41</v>
      </c>
      <c r="E58" s="20" t="s">
        <v>41</v>
      </c>
      <c r="F58" s="17">
        <v>0.04</v>
      </c>
      <c r="G58" s="29" t="s">
        <v>41</v>
      </c>
      <c r="H58" s="3" t="s">
        <v>139</v>
      </c>
    </row>
    <row r="59">
      <c r="A59" s="41" t="s">
        <v>144</v>
      </c>
      <c r="B59" s="22" t="s">
        <v>41</v>
      </c>
      <c r="C59" s="22" t="s">
        <v>41</v>
      </c>
      <c r="D59" s="22" t="s">
        <v>41</v>
      </c>
      <c r="E59" s="22" t="s">
        <v>41</v>
      </c>
      <c r="F59" s="35">
        <f>F58*'Revenue summary'!F39</f>
        <v>3481.28</v>
      </c>
      <c r="G59" s="27" t="s">
        <v>41</v>
      </c>
      <c r="H59" s="3"/>
    </row>
    <row r="60">
      <c r="A60" s="28" t="s">
        <v>145</v>
      </c>
      <c r="B60" s="52" t="s">
        <v>41</v>
      </c>
      <c r="C60" s="52" t="s">
        <v>41</v>
      </c>
      <c r="D60" s="52" t="s">
        <v>41</v>
      </c>
      <c r="E60" s="52" t="s">
        <v>41</v>
      </c>
      <c r="F60" s="52">
        <f>F55+F57+F59</f>
        <v>16536.079999999998</v>
      </c>
      <c r="G60" s="51" t="s">
        <v>41</v>
      </c>
      <c r="H60" s="3"/>
    </row>
    <row r="61">
      <c r="A61" s="41" t="s">
        <v>146</v>
      </c>
      <c r="B61" s="22" t="s">
        <v>41</v>
      </c>
      <c r="C61" s="22" t="s">
        <v>41</v>
      </c>
      <c r="D61" s="22" t="s">
        <v>41</v>
      </c>
      <c r="E61" s="22" t="s">
        <v>41</v>
      </c>
      <c r="F61" s="22">
        <f>F47-F60</f>
        <v>-513.0799999999981</v>
      </c>
      <c r="G61" s="27" t="s">
        <v>41</v>
      </c>
      <c r="H61" s="3"/>
    </row>
    <row r="62">
      <c r="A62" s="3"/>
      <c r="B62" s="26"/>
      <c r="C62" s="26"/>
      <c r="D62" s="26"/>
      <c r="E62" s="26"/>
      <c r="F62" s="26"/>
      <c r="G62" s="64"/>
      <c r="H62" s="3"/>
    </row>
    <row r="63">
      <c r="A63" s="49" t="s">
        <v>147</v>
      </c>
      <c r="B63" s="25"/>
      <c r="C63" s="25"/>
      <c r="D63" s="25"/>
      <c r="E63" s="25"/>
      <c r="F63" s="25"/>
      <c r="G63" s="61"/>
      <c r="H63" s="3"/>
    </row>
    <row r="64">
      <c r="A64" s="28" t="s">
        <v>148</v>
      </c>
      <c r="B64" s="63">
        <v>1132</v>
      </c>
      <c r="C64" s="63">
        <v>992</v>
      </c>
      <c r="D64" s="63">
        <v>761</v>
      </c>
      <c r="E64" s="63">
        <v>588</v>
      </c>
      <c r="F64" s="52">
        <f>SUM(B64:E64)</f>
        <v>3473</v>
      </c>
      <c r="G64" s="51">
        <f>G47*G68</f>
        <v>1116.9170880000001</v>
      </c>
      <c r="H64" s="3" t="s">
        <v>149</v>
      </c>
    </row>
    <row r="65">
      <c r="A65" s="46" t="s">
        <v>70</v>
      </c>
      <c r="B65" s="20">
        <f>B64/B84-1</f>
        <v>0.060918462980318555</v>
      </c>
      <c r="C65" s="20">
        <f>C64/C84-1</f>
        <v>-0.004016064257028162</v>
      </c>
      <c r="D65" s="20">
        <f>D64/D84-1</f>
        <v>0.11257309941520477</v>
      </c>
      <c r="E65" s="20">
        <f>E64/E84-1</f>
        <v>-0.1694915254237288</v>
      </c>
      <c r="F65" s="20">
        <f>F64/F84-1</f>
        <v>0.005500868558193428</v>
      </c>
      <c r="G65" s="29">
        <f>G64/G84-1</f>
        <v>-0.013324127208480419</v>
      </c>
      <c r="H65" s="3"/>
    </row>
    <row r="66">
      <c r="A66" s="46" t="s">
        <v>71</v>
      </c>
      <c r="B66" s="20" t="s">
        <v>41</v>
      </c>
      <c r="C66" s="20">
        <f>C64/B64-1</f>
        <v>-0.12367491166077738</v>
      </c>
      <c r="D66" s="20">
        <f>D64/C64-1</f>
        <v>-0.2328629032258065</v>
      </c>
      <c r="E66" s="20">
        <f>E64/D64-1</f>
        <v>-0.22733245729303553</v>
      </c>
      <c r="F66" s="20" t="s">
        <v>41</v>
      </c>
      <c r="G66" s="29">
        <f>G64/E64-1</f>
        <v>0.8995188571428574</v>
      </c>
      <c r="H66" s="3"/>
    </row>
    <row r="67">
      <c r="A67" s="41" t="s">
        <v>72</v>
      </c>
      <c r="B67" s="22" t="s">
        <v>41</v>
      </c>
      <c r="C67" s="22">
        <f>C64-B64</f>
        <v>-140</v>
      </c>
      <c r="D67" s="22">
        <f>D64-C64</f>
        <v>-231</v>
      </c>
      <c r="E67" s="22">
        <f>E64-D64</f>
        <v>-173</v>
      </c>
      <c r="F67" s="22" t="s">
        <v>41</v>
      </c>
      <c r="G67" s="27">
        <f>G64-E64</f>
        <v>528.9170880000001</v>
      </c>
      <c r="H67" s="3"/>
    </row>
    <row r="68">
      <c r="A68" s="11" t="s">
        <v>150</v>
      </c>
      <c r="B68" s="20">
        <f>IFERROR(B64/B47,"n/a")</f>
        <v>0.27323195751870627</v>
      </c>
      <c r="C68" s="20">
        <f>IFERROR(C64/C47,"n/a")</f>
        <v>0.24560534785838078</v>
      </c>
      <c r="D68" s="20">
        <f>IFERROR(D64/D47,"n/a")</f>
        <v>0.1968442834971547</v>
      </c>
      <c r="E68" s="20">
        <f>IFERROR(E64/E47,"n/a")</f>
        <v>0.1479245283018868</v>
      </c>
      <c r="F68" s="20">
        <f>IFERROR(F64/F47,"n/a")</f>
        <v>0.21675092055170692</v>
      </c>
      <c r="G68" s="29">
        <f>B68+G70/10000</f>
        <v>0.26123195751870626</v>
      </c>
      <c r="H68" s="3"/>
    </row>
    <row r="69">
      <c r="A69" s="41" t="s">
        <v>151</v>
      </c>
      <c r="B69" s="66" t="s">
        <v>41</v>
      </c>
      <c r="C69" s="66">
        <f>(C68-B68)*10000</f>
        <v>-276.2660966032548</v>
      </c>
      <c r="D69" s="66">
        <f>(D68-C68)*10000</f>
        <v>-487.61064361226096</v>
      </c>
      <c r="E69" s="66">
        <f>(E68-D68)*10000</f>
        <v>-489.19755195267896</v>
      </c>
      <c r="F69" s="66" t="s">
        <v>41</v>
      </c>
      <c r="G69" s="69">
        <f>(G68-E68)*10000</f>
        <v>1133.0742921681947</v>
      </c>
      <c r="H69" s="3"/>
    </row>
    <row r="70">
      <c r="A70" s="41" t="s">
        <v>152</v>
      </c>
      <c r="B70" s="66">
        <f>(B68-B84/B83)*10000</f>
        <v>-9.20149367213574</v>
      </c>
      <c r="C70" s="66">
        <f>(C68-C84/C83)*10000</f>
        <v>-132.30410977378037</v>
      </c>
      <c r="D70" s="66">
        <f>(D68-D84/D83)*10000</f>
        <v>8.557448152062552</v>
      </c>
      <c r="E70" s="66">
        <f>(E68-E84/E83)*10000</f>
        <v>-417.35262750885767</v>
      </c>
      <c r="F70" s="66">
        <f>(F68-F84/F83)*10000</f>
        <v>-140.69715641824214</v>
      </c>
      <c r="G70" s="78">
        <v>-120</v>
      </c>
      <c r="H70" s="3"/>
    </row>
    <row r="71">
      <c r="A71" s="28" t="s">
        <v>153</v>
      </c>
      <c r="B71" s="63">
        <v>879</v>
      </c>
      <c r="C71" s="63">
        <v>763</v>
      </c>
      <c r="D71" s="63">
        <v>579</v>
      </c>
      <c r="E71" s="63">
        <v>450</v>
      </c>
      <c r="F71" s="52">
        <f>SUM(B71:E71)</f>
        <v>2671</v>
      </c>
      <c r="G71" s="51">
        <f>G64*(1-G78)</f>
        <v>867.2880921837457</v>
      </c>
      <c r="H71" s="3" t="s">
        <v>86</v>
      </c>
    </row>
    <row r="72">
      <c r="A72" s="46" t="s">
        <v>70</v>
      </c>
      <c r="B72" s="20">
        <f>B71/B85-1</f>
        <v>0.046428571428571486</v>
      </c>
      <c r="C72" s="20">
        <f>C71/C85-1</f>
        <v>-0.02179487179487183</v>
      </c>
      <c r="D72" s="20">
        <f>D71/D85-1</f>
        <v>0.07421150278293132</v>
      </c>
      <c r="E72" s="20">
        <f>E71/E85-1</f>
        <v>-0.19210053859964094</v>
      </c>
      <c r="F72" s="20">
        <f>F71/F85-1</f>
        <v>-0.01620626151012894</v>
      </c>
      <c r="G72" s="29">
        <f>G71/G85-1</f>
        <v>-0.013324127208480419</v>
      </c>
      <c r="H72" s="3"/>
    </row>
    <row r="73">
      <c r="A73" s="46" t="s">
        <v>71</v>
      </c>
      <c r="B73" s="20" t="s">
        <v>41</v>
      </c>
      <c r="C73" s="20">
        <f>C71/B71-1</f>
        <v>-0.1319681456200228</v>
      </c>
      <c r="D73" s="20">
        <f>D71/C71-1</f>
        <v>-0.2411533420707732</v>
      </c>
      <c r="E73" s="20">
        <f>E71/D71-1</f>
        <v>-0.2227979274611399</v>
      </c>
      <c r="F73" s="20" t="s">
        <v>41</v>
      </c>
      <c r="G73" s="29">
        <f>G71/E71-1</f>
        <v>0.9273068715194348</v>
      </c>
      <c r="H73" s="3"/>
    </row>
    <row r="74">
      <c r="A74" s="41" t="s">
        <v>72</v>
      </c>
      <c r="B74" s="22" t="s">
        <v>41</v>
      </c>
      <c r="C74" s="22">
        <f>C71-B71</f>
        <v>-116</v>
      </c>
      <c r="D74" s="22">
        <f>D71-C71</f>
        <v>-184</v>
      </c>
      <c r="E74" s="22">
        <f>E71-D71</f>
        <v>-129</v>
      </c>
      <c r="F74" s="22" t="s">
        <v>41</v>
      </c>
      <c r="G74" s="27">
        <f>G71-E71</f>
        <v>417.2880921837457</v>
      </c>
      <c r="H74" s="3"/>
    </row>
    <row r="75">
      <c r="A75" s="11" t="s">
        <v>154</v>
      </c>
      <c r="B75" s="20">
        <f>IFERROR(B71/B47,"n/a")</f>
        <v>0.21216509775524983</v>
      </c>
      <c r="C75" s="20">
        <f>IFERROR(C71/C47,"n/a")</f>
        <v>0.18890814558058924</v>
      </c>
      <c r="D75" s="20">
        <f>IFERROR(D71/D47,"n/a")</f>
        <v>0.14976720124159337</v>
      </c>
      <c r="E75" s="20">
        <f>IFERROR(E71/E47,"n/a")</f>
        <v>0.11320754716981132</v>
      </c>
      <c r="F75" s="20">
        <f>IFERROR(F71/F47,"n/a")</f>
        <v>0.16669787180927417</v>
      </c>
      <c r="G75" s="29">
        <f>IFERROR(G71/G47,"n/a")</f>
        <v>0.2028470765538364</v>
      </c>
      <c r="H75" s="3"/>
    </row>
    <row r="76">
      <c r="A76" s="41" t="s">
        <v>151</v>
      </c>
      <c r="B76" s="66" t="s">
        <v>41</v>
      </c>
      <c r="C76" s="66">
        <f>(C75-B75)*10000</f>
        <v>-232.5695217466059</v>
      </c>
      <c r="D76" s="66">
        <f>(D75-C75)*10000</f>
        <v>-391.4094433899587</v>
      </c>
      <c r="E76" s="66">
        <f>(E75-D75)*10000</f>
        <v>-365.5965407178205</v>
      </c>
      <c r="F76" s="66" t="s">
        <v>41</v>
      </c>
      <c r="G76" s="69">
        <f>(G75-E75)*10000</f>
        <v>896.3952938402508</v>
      </c>
      <c r="H76" s="3"/>
    </row>
    <row r="77">
      <c r="A77" s="41" t="s">
        <v>152</v>
      </c>
      <c r="B77" s="66">
        <f>(B75-B85/B83)*10000</f>
        <v>-36.622403742465615</v>
      </c>
      <c r="C77" s="66">
        <f>(C75-C85/C83)*10000</f>
        <v>-137.9455712211347</v>
      </c>
      <c r="D77" s="66">
        <f>(D75-D85/D83)*10000</f>
        <v>-46.740595033923086</v>
      </c>
      <c r="E77" s="66">
        <f>(E75-E85/E83)*10000</f>
        <v>-360.0220370080212</v>
      </c>
      <c r="F77" s="66">
        <f>(F75-F85/F83)*10000</f>
        <v>-147.37573258889412</v>
      </c>
      <c r="G77" s="69">
        <f>(G75-G85/G83)*10000</f>
        <v>-93.18021201413423</v>
      </c>
      <c r="H77" s="3"/>
    </row>
    <row r="78">
      <c r="A78" s="11" t="s">
        <v>155</v>
      </c>
      <c r="B78" s="20">
        <f>1-B71/B64</f>
        <v>0.22349823321554774</v>
      </c>
      <c r="C78" s="20">
        <f>1-C71/C64</f>
        <v>0.23084677419354838</v>
      </c>
      <c r="D78" s="20">
        <f>1-D71/D64</f>
        <v>0.23915900131406043</v>
      </c>
      <c r="E78" s="20">
        <f>1-E71/E64</f>
        <v>0.23469387755102045</v>
      </c>
      <c r="F78" s="20">
        <f>1-F71/F64</f>
        <v>0.23092427296285634</v>
      </c>
      <c r="G78" s="29">
        <f>B78</f>
        <v>0.22349823321554774</v>
      </c>
      <c r="H78" s="3"/>
    </row>
    <row r="79">
      <c r="A79" s="41" t="s">
        <v>156</v>
      </c>
      <c r="B79" s="66" t="s">
        <v>41</v>
      </c>
      <c r="C79" s="66">
        <f>(C78-B78)*10000</f>
        <v>73.48540978000639</v>
      </c>
      <c r="D79" s="66">
        <f>(D78-C78)*10000</f>
        <v>83.1222712051205</v>
      </c>
      <c r="E79" s="66">
        <f>(E78-D78)*10000</f>
        <v>-44.6512376303998</v>
      </c>
      <c r="F79" s="66" t="s">
        <v>41</v>
      </c>
      <c r="G79" s="69">
        <f>(G78-E78)*10000</f>
        <v>-111.9564433547271</v>
      </c>
      <c r="H79" s="3"/>
    </row>
    <row r="80">
      <c r="A80" s="41" t="s">
        <v>157</v>
      </c>
      <c r="B80" s="66">
        <f>(B78-(1-B85/B84))*10000</f>
        <v>107.52216345819576</v>
      </c>
      <c r="C80" s="66">
        <f>(C78-(1-C85/C84))*10000</f>
        <v>139.79304314030273</v>
      </c>
      <c r="D80" s="66">
        <f>(D78-(1-D85/D84))*10000</f>
        <v>271.70697220493145</v>
      </c>
      <c r="E80" s="66">
        <f>(E78-(1-E85/E84))*10000</f>
        <v>214.17041392828406</v>
      </c>
      <c r="F80" s="66">
        <f>(F78-(1-F85/F84))*10000</f>
        <v>169.69437988913037</v>
      </c>
      <c r="G80" s="69">
        <f>(G78-(1-G85/G84))*10000</f>
        <v>0</v>
      </c>
      <c r="H80" s="3"/>
    </row>
    <row r="81">
      <c r="A81" s="3"/>
      <c r="B81" s="26"/>
      <c r="C81" s="26"/>
      <c r="D81" s="26"/>
      <c r="E81" s="26"/>
      <c r="F81" s="26"/>
      <c r="G81" s="64"/>
      <c r="H81" s="3"/>
    </row>
    <row r="82">
      <c r="A82" s="49" t="s">
        <v>158</v>
      </c>
      <c r="B82" s="25"/>
      <c r="C82" s="25"/>
      <c r="D82" s="25"/>
      <c r="E82" s="25"/>
      <c r="F82" s="25"/>
      <c r="G82" s="61"/>
      <c r="H82" s="3"/>
    </row>
    <row r="83">
      <c r="A83" s="41" t="s">
        <v>159</v>
      </c>
      <c r="B83" s="44">
        <v>3892</v>
      </c>
      <c r="C83" s="44">
        <v>3848</v>
      </c>
      <c r="D83" s="44">
        <v>3490</v>
      </c>
      <c r="E83" s="44">
        <v>3733</v>
      </c>
      <c r="F83" s="44">
        <v>14964</v>
      </c>
      <c r="G83" s="27">
        <f>B47</f>
        <v>4143</v>
      </c>
      <c r="H83" s="3" t="s">
        <v>160</v>
      </c>
    </row>
    <row r="84">
      <c r="A84" s="41" t="s">
        <v>161</v>
      </c>
      <c r="B84" s="44">
        <v>1067</v>
      </c>
      <c r="C84" s="44">
        <v>996</v>
      </c>
      <c r="D84" s="44">
        <v>684</v>
      </c>
      <c r="E84" s="44">
        <v>708</v>
      </c>
      <c r="F84" s="44">
        <v>3454</v>
      </c>
      <c r="G84" s="27">
        <f>B64</f>
        <v>1132</v>
      </c>
      <c r="H84" s="3" t="s">
        <v>160</v>
      </c>
    </row>
    <row r="85">
      <c r="A85" s="41" t="s">
        <v>162</v>
      </c>
      <c r="B85" s="44">
        <v>840</v>
      </c>
      <c r="C85" s="44">
        <v>780</v>
      </c>
      <c r="D85" s="44">
        <v>539</v>
      </c>
      <c r="E85" s="44">
        <v>557</v>
      </c>
      <c r="F85" s="44">
        <v>2715</v>
      </c>
      <c r="G85" s="27">
        <f>B71</f>
        <v>879</v>
      </c>
      <c r="H85" s="3" t="s">
        <v>160</v>
      </c>
    </row>
    <row r="86">
      <c r="A86" s="46" t="s">
        <v>115</v>
      </c>
      <c r="B86" s="17">
        <v>-0.02</v>
      </c>
      <c r="C86" s="17">
        <v>-0.01</v>
      </c>
      <c r="D86" s="17">
        <v>0</v>
      </c>
      <c r="E86" s="17">
        <v>0.01</v>
      </c>
      <c r="F86" s="17">
        <v>-0.01</v>
      </c>
      <c r="G86" s="29">
        <f>B15</f>
        <v>0.04</v>
      </c>
      <c r="H86" s="3" t="s">
        <v>160</v>
      </c>
    </row>
    <row r="87">
      <c r="A87" s="46" t="s">
        <v>117</v>
      </c>
      <c r="B87" s="17">
        <v>0</v>
      </c>
      <c r="C87" s="17">
        <v>0</v>
      </c>
      <c r="D87" s="17">
        <v>0.01</v>
      </c>
      <c r="E87" s="17">
        <v>0.01</v>
      </c>
      <c r="F87" s="17">
        <v>0.01</v>
      </c>
      <c r="G87" s="29">
        <f>B9</f>
        <v>0.04</v>
      </c>
      <c r="H87" s="3" t="s">
        <v>160</v>
      </c>
    </row>
    <row r="88">
      <c r="A88" s="46" t="s">
        <v>118</v>
      </c>
      <c r="B88" s="17">
        <v>0.01</v>
      </c>
      <c r="C88" s="17">
        <v>0.02</v>
      </c>
      <c r="D88" s="17">
        <v>0.03</v>
      </c>
      <c r="E88" s="17">
        <v>0.01</v>
      </c>
      <c r="F88" s="17">
        <v>0.02</v>
      </c>
      <c r="G88" s="29">
        <f>B18</f>
        <v>0.02</v>
      </c>
      <c r="H88" s="3" t="s">
        <v>160</v>
      </c>
    </row>
    <row r="89">
      <c r="A89" s="46" t="s">
        <v>119</v>
      </c>
      <c r="B89" s="17">
        <v>-0.03</v>
      </c>
      <c r="C89" s="17">
        <v>0</v>
      </c>
      <c r="D89" s="17">
        <v>-0.02</v>
      </c>
      <c r="E89" s="17">
        <v>-0.01</v>
      </c>
      <c r="F89" s="17">
        <v>-0.02</v>
      </c>
      <c r="G89" s="29">
        <f>B21</f>
        <v>-0.01</v>
      </c>
      <c r="H89" s="3" t="s">
        <v>160</v>
      </c>
    </row>
    <row r="90">
      <c r="A90" s="46" t="s">
        <v>120</v>
      </c>
      <c r="B90" s="17">
        <v>-0.01</v>
      </c>
      <c r="C90" s="17">
        <v>-0.01</v>
      </c>
      <c r="D90" s="17">
        <v>-0.03</v>
      </c>
      <c r="E90" s="17">
        <v>-0.01</v>
      </c>
      <c r="F90" s="17">
        <v>-0.01</v>
      </c>
      <c r="G90" s="29">
        <f>B27</f>
        <v>0.01</v>
      </c>
      <c r="H90" s="3" t="s">
        <v>160</v>
      </c>
    </row>
    <row r="91">
      <c r="A91" s="46" t="s">
        <v>121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29">
        <f>B30</f>
        <v>0</v>
      </c>
      <c r="H91" s="3" t="s">
        <v>160</v>
      </c>
    </row>
    <row r="92">
      <c r="A92" s="46" t="s">
        <v>122</v>
      </c>
      <c r="B92" s="17">
        <v>-0.05</v>
      </c>
      <c r="C92" s="17">
        <v>0</v>
      </c>
      <c r="D92" s="17">
        <v>-0.02</v>
      </c>
      <c r="E92" s="17">
        <v>0</v>
      </c>
      <c r="F92" s="17">
        <v>-0.02</v>
      </c>
      <c r="G92" s="29">
        <f>B33</f>
        <v>0.06</v>
      </c>
      <c r="H92" s="3" t="s">
        <v>160</v>
      </c>
    </row>
    <row r="93">
      <c r="A93" s="46" t="s">
        <v>123</v>
      </c>
      <c r="B93" s="17">
        <v>-0.02</v>
      </c>
      <c r="C93" s="17">
        <v>0.02</v>
      </c>
      <c r="D93" s="17">
        <v>0.02</v>
      </c>
      <c r="E93" s="17">
        <v>0.01</v>
      </c>
      <c r="F93" s="20" t="s">
        <v>41</v>
      </c>
      <c r="G93" s="29">
        <f>B24</f>
        <v>0.06</v>
      </c>
      <c r="H93" s="3" t="s">
        <v>160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9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163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125</v>
      </c>
      <c r="B8" s="25"/>
      <c r="C8" s="25"/>
      <c r="D8" s="25"/>
      <c r="E8" s="25"/>
      <c r="F8" s="25"/>
      <c r="G8" s="61"/>
      <c r="H8" s="3"/>
    </row>
    <row r="9">
      <c r="A9" s="11" t="s">
        <v>95</v>
      </c>
      <c r="B9" s="17">
        <v>0.01</v>
      </c>
      <c r="C9" s="17">
        <v>-0.02</v>
      </c>
      <c r="D9" s="17">
        <v>-0.02</v>
      </c>
      <c r="E9" s="17">
        <v>-0.01</v>
      </c>
      <c r="F9" s="17">
        <v>-0.01</v>
      </c>
      <c r="G9" s="72">
        <v>-0.01</v>
      </c>
      <c r="H9" s="3" t="s">
        <v>126</v>
      </c>
    </row>
    <row r="10">
      <c r="A10" s="41" t="s">
        <v>93</v>
      </c>
      <c r="B10" s="66" t="s">
        <v>41</v>
      </c>
      <c r="C10" s="66">
        <f>(C9-B9)*10000</f>
        <v>-300</v>
      </c>
      <c r="D10" s="66">
        <f>(D9-C9)*10000</f>
        <v>0</v>
      </c>
      <c r="E10" s="66">
        <f>(E9-D9)*10000</f>
        <v>100</v>
      </c>
      <c r="F10" s="66" t="s">
        <v>41</v>
      </c>
      <c r="G10" s="69">
        <f>(G9-E9)*10000</f>
        <v>0</v>
      </c>
      <c r="H10" s="3"/>
    </row>
    <row r="11">
      <c r="A11" s="41" t="s">
        <v>94</v>
      </c>
      <c r="B11" s="66">
        <f>IFERROR((B9-B83)*10000,"n/a")</f>
        <v>-400</v>
      </c>
      <c r="C11" s="66">
        <f>IFERROR((C9-C83)*10000,"n/a")</f>
        <v>-400</v>
      </c>
      <c r="D11" s="66">
        <f>IFERROR((D9-D83)*10000,"n/a")</f>
        <v>-300</v>
      </c>
      <c r="E11" s="66">
        <f>IFERROR((E9-E83)*10000,"n/a")</f>
        <v>0</v>
      </c>
      <c r="F11" s="66">
        <f>IFERROR((F9-F83)*10000,"n/a")</f>
        <v>-300</v>
      </c>
      <c r="G11" s="69">
        <f>IFERROR((G9-G83)*10000,"n/a")</f>
        <v>-200</v>
      </c>
      <c r="H11" s="3"/>
    </row>
    <row r="12">
      <c r="A12" s="11" t="s">
        <v>127</v>
      </c>
      <c r="B12" s="20">
        <f>B15-B9</f>
        <v>0</v>
      </c>
      <c r="C12" s="20">
        <f>C15-C9</f>
        <v>0</v>
      </c>
      <c r="D12" s="20">
        <f>D15-D9</f>
        <v>0</v>
      </c>
      <c r="E12" s="20">
        <f>E15-E9</f>
        <v>0</v>
      </c>
      <c r="F12" s="20">
        <f>F15-F9</f>
        <v>0</v>
      </c>
      <c r="G12" s="72">
        <v>0</v>
      </c>
      <c r="H12" s="3"/>
    </row>
    <row r="13">
      <c r="A13" s="41" t="s">
        <v>93</v>
      </c>
      <c r="B13" s="66" t="s">
        <v>41</v>
      </c>
      <c r="C13" s="66">
        <f>(C12-B12)*10000</f>
        <v>0</v>
      </c>
      <c r="D13" s="66">
        <f>(D12-C12)*10000</f>
        <v>0</v>
      </c>
      <c r="E13" s="66">
        <f>(E12-D12)*10000</f>
        <v>0</v>
      </c>
      <c r="F13" s="66" t="s">
        <v>41</v>
      </c>
      <c r="G13" s="69">
        <f>(G12-E12)*10000</f>
        <v>0</v>
      </c>
      <c r="H13" s="3"/>
    </row>
    <row r="14">
      <c r="A14" s="41" t="s">
        <v>94</v>
      </c>
      <c r="B14" s="66">
        <f>(B12-(B82-B83))*10000</f>
        <v>100.00000000000001</v>
      </c>
      <c r="C14" s="66">
        <f>(C12-(C82-C83))*10000</f>
        <v>0</v>
      </c>
      <c r="D14" s="66">
        <f>(D12-(D82-D83))*10000</f>
        <v>0</v>
      </c>
      <c r="E14" s="66">
        <f>(E12-(E82-E83))*10000</f>
        <v>-100</v>
      </c>
      <c r="F14" s="66">
        <f>(F12-(F82-F83))*10000</f>
        <v>0</v>
      </c>
      <c r="G14" s="69">
        <f>(G12-(G82-G83))*10000</f>
        <v>0</v>
      </c>
      <c r="H14" s="3"/>
    </row>
    <row r="15">
      <c r="A15" s="11" t="s">
        <v>91</v>
      </c>
      <c r="B15" s="17">
        <v>0.01</v>
      </c>
      <c r="C15" s="17">
        <v>-0.02</v>
      </c>
      <c r="D15" s="17">
        <v>-0.02</v>
      </c>
      <c r="E15" s="17">
        <v>-0.01</v>
      </c>
      <c r="F15" s="17">
        <v>-0.01</v>
      </c>
      <c r="G15" s="29">
        <f>G9+G12</f>
        <v>-0.01</v>
      </c>
      <c r="H15" s="3" t="s">
        <v>92</v>
      </c>
    </row>
    <row r="16">
      <c r="A16" s="41" t="s">
        <v>93</v>
      </c>
      <c r="B16" s="66" t="s">
        <v>41</v>
      </c>
      <c r="C16" s="66">
        <f>(C15-B15)*10000</f>
        <v>-300</v>
      </c>
      <c r="D16" s="66">
        <f>(D15-C15)*10000</f>
        <v>0</v>
      </c>
      <c r="E16" s="66">
        <f>(E15-D15)*10000</f>
        <v>100</v>
      </c>
      <c r="F16" s="66" t="s">
        <v>41</v>
      </c>
      <c r="G16" s="69">
        <f>(G15-E15)*10000</f>
        <v>0</v>
      </c>
      <c r="H16" s="3"/>
    </row>
    <row r="17">
      <c r="A17" s="41" t="s">
        <v>94</v>
      </c>
      <c r="B17" s="66">
        <f>IFERROR((B15-B82)*10000,"n/a")</f>
        <v>-300</v>
      </c>
      <c r="C17" s="66">
        <f>IFERROR((C15-C82)*10000,"n/a")</f>
        <v>-400</v>
      </c>
      <c r="D17" s="66">
        <f>IFERROR((D15-D82)*10000,"n/a")</f>
        <v>-300</v>
      </c>
      <c r="E17" s="66">
        <f>IFERROR((E15-E82)*10000,"n/a")</f>
        <v>-100</v>
      </c>
      <c r="F17" s="66">
        <f>IFERROR((F15-F82)*10000,"n/a")</f>
        <v>-300</v>
      </c>
      <c r="G17" s="69">
        <f>IFERROR((G15-G82)*10000,"n/a")</f>
        <v>-200</v>
      </c>
      <c r="H17" s="3"/>
    </row>
    <row r="18">
      <c r="A18" s="11" t="s">
        <v>96</v>
      </c>
      <c r="B18" s="17">
        <v>0.04</v>
      </c>
      <c r="C18" s="17">
        <v>0.02</v>
      </c>
      <c r="D18" s="17">
        <v>0.03</v>
      </c>
      <c r="E18" s="17">
        <v>0.01</v>
      </c>
      <c r="F18" s="17">
        <v>0.02</v>
      </c>
      <c r="G18" s="72">
        <v>0.02</v>
      </c>
      <c r="H18" s="3" t="s">
        <v>126</v>
      </c>
    </row>
    <row r="19">
      <c r="A19" s="41" t="s">
        <v>93</v>
      </c>
      <c r="B19" s="66" t="s">
        <v>41</v>
      </c>
      <c r="C19" s="66">
        <f>(C18-B18)*10000</f>
        <v>-200</v>
      </c>
      <c r="D19" s="66">
        <f>(D18-C18)*10000</f>
        <v>99.99999999999999</v>
      </c>
      <c r="E19" s="66">
        <f>(E18-D18)*10000</f>
        <v>-199.99999999999997</v>
      </c>
      <c r="F19" s="66" t="s">
        <v>41</v>
      </c>
      <c r="G19" s="69">
        <f>(G18-E18)*10000</f>
        <v>100</v>
      </c>
      <c r="H19" s="3"/>
    </row>
    <row r="20">
      <c r="A20" s="41" t="s">
        <v>94</v>
      </c>
      <c r="B20" s="66">
        <f>IFERROR((B18-B84)*10000,"n/a")</f>
        <v>300</v>
      </c>
      <c r="C20" s="66">
        <f>IFERROR((C18-C84)*10000,"n/a")</f>
        <v>100</v>
      </c>
      <c r="D20" s="66">
        <f>IFERROR((D18-D84)*10000,"n/a")</f>
        <v>99.99999999999999</v>
      </c>
      <c r="E20" s="66">
        <f>IFERROR((E18-E84)*10000,"n/a")</f>
        <v>-300</v>
      </c>
      <c r="F20" s="66">
        <f>IFERROR((F18-F84)*10000,"n/a")</f>
        <v>0</v>
      </c>
      <c r="G20" s="69">
        <f>IFERROR((G18-G84)*10000,"n/a")</f>
        <v>-200</v>
      </c>
      <c r="H20" s="3"/>
    </row>
    <row r="21">
      <c r="A21" s="11" t="s">
        <v>97</v>
      </c>
      <c r="B21" s="17">
        <v>-0.02</v>
      </c>
      <c r="C21" s="17">
        <v>0</v>
      </c>
      <c r="D21" s="17">
        <v>0</v>
      </c>
      <c r="E21" s="17">
        <v>-0.01</v>
      </c>
      <c r="F21" s="17">
        <v>0</v>
      </c>
      <c r="G21" s="72">
        <v>0</v>
      </c>
      <c r="H21" s="3" t="s">
        <v>126</v>
      </c>
    </row>
    <row r="22">
      <c r="A22" s="41" t="s">
        <v>93</v>
      </c>
      <c r="B22" s="66" t="s">
        <v>41</v>
      </c>
      <c r="C22" s="66">
        <f>(C21-B21)*10000</f>
        <v>200</v>
      </c>
      <c r="D22" s="66">
        <f>(D21-C21)*10000</f>
        <v>0</v>
      </c>
      <c r="E22" s="66">
        <f>(E21-D21)*10000</f>
        <v>-100</v>
      </c>
      <c r="F22" s="66" t="s">
        <v>41</v>
      </c>
      <c r="G22" s="69">
        <f>(G21-E21)*10000</f>
        <v>100</v>
      </c>
      <c r="H22" s="3"/>
    </row>
    <row r="23">
      <c r="A23" s="41" t="s">
        <v>94</v>
      </c>
      <c r="B23" s="66">
        <f>IFERROR((B21-B85)*10000,"n/a")</f>
        <v>99.99999999999999</v>
      </c>
      <c r="C23" s="66">
        <f>IFERROR((C21-C85)*10000,"n/a")</f>
        <v>100</v>
      </c>
      <c r="D23" s="66">
        <f>IFERROR((D21-D85)*10000,"n/a")</f>
        <v>0</v>
      </c>
      <c r="E23" s="66">
        <f>IFERROR((E21-E85)*10000,"n/a")</f>
        <v>0</v>
      </c>
      <c r="F23" s="66">
        <f>IFERROR((F21-F85)*10000,"n/a")</f>
        <v>100</v>
      </c>
      <c r="G23" s="69">
        <f>IFERROR((G21-G85)*10000,"n/a")</f>
        <v>200</v>
      </c>
      <c r="H23" s="3"/>
    </row>
    <row r="24">
      <c r="A24" s="11" t="s">
        <v>101</v>
      </c>
      <c r="B24" s="17">
        <v>0.03</v>
      </c>
      <c r="C24" s="17">
        <v>0</v>
      </c>
      <c r="D24" s="17">
        <v>0.01</v>
      </c>
      <c r="E24" s="17">
        <v>0</v>
      </c>
      <c r="F24" s="17">
        <v>0.01</v>
      </c>
      <c r="G24" s="29">
        <f>G9+G18+G21</f>
        <v>0.01</v>
      </c>
      <c r="H24" s="3" t="s">
        <v>86</v>
      </c>
    </row>
    <row r="25">
      <c r="A25" s="41" t="s">
        <v>93</v>
      </c>
      <c r="B25" s="66" t="s">
        <v>41</v>
      </c>
      <c r="C25" s="66">
        <f>(C24-B24)*10000</f>
        <v>-300</v>
      </c>
      <c r="D25" s="66">
        <f>(D24-C24)*10000</f>
        <v>100</v>
      </c>
      <c r="E25" s="66">
        <f>(E24-D24)*10000</f>
        <v>-100</v>
      </c>
      <c r="F25" s="66" t="s">
        <v>41</v>
      </c>
      <c r="G25" s="69">
        <f>(G24-E24)*10000</f>
        <v>100</v>
      </c>
      <c r="H25" s="3"/>
    </row>
    <row r="26">
      <c r="A26" s="41" t="s">
        <v>94</v>
      </c>
      <c r="B26" s="66">
        <f>IFERROR((B24-B89)*10000,"n/a")</f>
        <v>0</v>
      </c>
      <c r="C26" s="66">
        <f>IFERROR((C24-C89)*10000,"n/a")</f>
        <v>-200</v>
      </c>
      <c r="D26" s="66">
        <f>IFERROR((D24-D89)*10000,"n/a")</f>
        <v>-199.99999999999997</v>
      </c>
      <c r="E26" s="66">
        <f>IFERROR((E24-E89)*10000,"n/a")</f>
        <v>-100</v>
      </c>
      <c r="F26" s="66" t="str">
        <f>IFERROR((F24-F89)*10000,"n/a")</f>
        <v>n/a</v>
      </c>
      <c r="G26" s="69">
        <f>IFERROR((G24-G89)*10000,"n/a")</f>
        <v>-199.99999999999997</v>
      </c>
      <c r="H26" s="3"/>
    </row>
    <row r="27">
      <c r="A27" s="11" t="s">
        <v>98</v>
      </c>
      <c r="B27" s="17">
        <v>0.02</v>
      </c>
      <c r="C27" s="17">
        <v>0.02</v>
      </c>
      <c r="D27" s="17">
        <v>0.06</v>
      </c>
      <c r="E27" s="17">
        <v>0.01</v>
      </c>
      <c r="F27" s="17">
        <v>0.03</v>
      </c>
      <c r="G27" s="72">
        <v>-0.005</v>
      </c>
      <c r="H27" s="3" t="s">
        <v>128</v>
      </c>
    </row>
    <row r="28">
      <c r="A28" s="41" t="s">
        <v>93</v>
      </c>
      <c r="B28" s="66" t="s">
        <v>41</v>
      </c>
      <c r="C28" s="66">
        <f>(C27-B27)*10000</f>
        <v>0</v>
      </c>
      <c r="D28" s="66">
        <f>(D27-C27)*10000</f>
        <v>399.99999999999994</v>
      </c>
      <c r="E28" s="66">
        <f>(E27-D27)*10000</f>
        <v>-499.99999999999994</v>
      </c>
      <c r="F28" s="66" t="s">
        <v>41</v>
      </c>
      <c r="G28" s="69">
        <f>(G27-E27)*10000</f>
        <v>-150</v>
      </c>
      <c r="H28" s="3"/>
    </row>
    <row r="29">
      <c r="A29" s="41" t="s">
        <v>94</v>
      </c>
      <c r="B29" s="66">
        <f>IFERROR((B27-B86)*10000,"n/a")</f>
        <v>400</v>
      </c>
      <c r="C29" s="66">
        <f>IFERROR((C27-C86)*10000,"n/a")</f>
        <v>300</v>
      </c>
      <c r="D29" s="66">
        <f>IFERROR((D27-D86)*10000,"n/a")</f>
        <v>1000</v>
      </c>
      <c r="E29" s="66">
        <f>IFERROR((E27-E86)*10000,"n/a")</f>
        <v>100</v>
      </c>
      <c r="F29" s="66">
        <f>IFERROR((F27-F86)*10000,"n/a")</f>
        <v>500</v>
      </c>
      <c r="G29" s="69">
        <f>IFERROR((G27-G86)*10000,"n/a")</f>
        <v>-250</v>
      </c>
      <c r="H29" s="3"/>
    </row>
    <row r="30">
      <c r="A30" s="11" t="s">
        <v>129</v>
      </c>
      <c r="B30" s="17">
        <v>0</v>
      </c>
      <c r="C30" s="17">
        <v>0</v>
      </c>
      <c r="D30" s="17">
        <v>0</v>
      </c>
      <c r="E30" s="17">
        <v>0.01</v>
      </c>
      <c r="F30" s="17">
        <v>0</v>
      </c>
      <c r="G30" s="72">
        <v>0</v>
      </c>
      <c r="H30" s="3" t="s">
        <v>92</v>
      </c>
    </row>
    <row r="31">
      <c r="A31" s="41" t="s">
        <v>93</v>
      </c>
      <c r="B31" s="66" t="s">
        <v>41</v>
      </c>
      <c r="C31" s="66">
        <f>(C30-B30)*10000</f>
        <v>0</v>
      </c>
      <c r="D31" s="66">
        <f>(D30-C30)*10000</f>
        <v>0</v>
      </c>
      <c r="E31" s="66">
        <f>(E30-D30)*10000</f>
        <v>100</v>
      </c>
      <c r="F31" s="66" t="s">
        <v>41</v>
      </c>
      <c r="G31" s="69">
        <f>(G30-E30)*10000</f>
        <v>-100</v>
      </c>
      <c r="H31" s="3"/>
    </row>
    <row r="32">
      <c r="A32" s="41" t="s">
        <v>94</v>
      </c>
      <c r="B32" s="66">
        <f>(B30-B87)*10000</f>
        <v>0</v>
      </c>
      <c r="C32" s="66">
        <f>(C30-C87)*10000</f>
        <v>0</v>
      </c>
      <c r="D32" s="66">
        <f>(D30-D87)*10000</f>
        <v>100</v>
      </c>
      <c r="E32" s="66">
        <f>(E30-E87)*10000</f>
        <v>200</v>
      </c>
      <c r="F32" s="66">
        <f>(F30-F87)*10000</f>
        <v>100</v>
      </c>
      <c r="G32" s="69">
        <f>(G30-G87)*10000</f>
        <v>0</v>
      </c>
      <c r="H32" s="3"/>
    </row>
    <row r="33">
      <c r="A33" s="62" t="s">
        <v>100</v>
      </c>
      <c r="B33" s="75">
        <v>0.05</v>
      </c>
      <c r="C33" s="75">
        <v>0.02</v>
      </c>
      <c r="D33" s="75">
        <v>0.07</v>
      </c>
      <c r="E33" s="75">
        <v>0.01</v>
      </c>
      <c r="F33" s="75">
        <v>0.04</v>
      </c>
      <c r="G33" s="73">
        <f>G15+G27+G18+G21+G30</f>
        <v>0.005000000000000001</v>
      </c>
      <c r="H33" s="3" t="s">
        <v>92</v>
      </c>
    </row>
    <row r="34">
      <c r="A34" s="41" t="s">
        <v>93</v>
      </c>
      <c r="B34" s="66" t="s">
        <v>41</v>
      </c>
      <c r="C34" s="66">
        <f>(C33-B33)*10000</f>
        <v>-300</v>
      </c>
      <c r="D34" s="66">
        <f>(D33-C33)*10000</f>
        <v>500</v>
      </c>
      <c r="E34" s="66">
        <f>(E33-D33)*10000</f>
        <v>-600</v>
      </c>
      <c r="F34" s="66" t="s">
        <v>41</v>
      </c>
      <c r="G34" s="69">
        <f>(G33-E33)*10000</f>
        <v>-49.99999999999999</v>
      </c>
      <c r="H34" s="3"/>
    </row>
    <row r="35">
      <c r="A35" s="41" t="s">
        <v>94</v>
      </c>
      <c r="B35" s="66">
        <f>IFERROR((B33-B88)*10000,"n/a")</f>
        <v>500</v>
      </c>
      <c r="C35" s="66">
        <f>IFERROR((C33-C88)*10000,"n/a")</f>
        <v>100</v>
      </c>
      <c r="D35" s="66">
        <f>IFERROR((D33-D88)*10000,"n/a")</f>
        <v>900.0000000000001</v>
      </c>
      <c r="E35" s="66">
        <f>IFERROR((E33-E88)*10000,"n/a")</f>
        <v>-100</v>
      </c>
      <c r="F35" s="66">
        <f>IFERROR((F33-F88)*10000,"n/a")</f>
        <v>400</v>
      </c>
      <c r="G35" s="69">
        <f>IFERROR((G33-G88)*10000,"n/a")</f>
        <v>-450</v>
      </c>
      <c r="H35" s="3"/>
    </row>
    <row r="36">
      <c r="A36" s="3"/>
      <c r="B36" s="26"/>
      <c r="C36" s="26"/>
      <c r="D36" s="26"/>
      <c r="E36" s="26"/>
      <c r="F36" s="26"/>
      <c r="G36" s="64"/>
      <c r="H36" s="3"/>
    </row>
    <row r="37">
      <c r="A37" s="49" t="s">
        <v>130</v>
      </c>
      <c r="B37" s="25"/>
      <c r="C37" s="25"/>
      <c r="D37" s="25"/>
      <c r="E37" s="25"/>
      <c r="F37" s="25"/>
      <c r="G37" s="61"/>
      <c r="H37" s="3"/>
    </row>
    <row r="38">
      <c r="A38" s="11" t="s">
        <v>131</v>
      </c>
      <c r="B38" s="17">
        <v>-0.02</v>
      </c>
      <c r="C38" s="17">
        <v>-0.02</v>
      </c>
      <c r="D38" s="17">
        <v>-0.06</v>
      </c>
      <c r="E38" s="17">
        <v>-0.01</v>
      </c>
      <c r="F38" s="20" t="s">
        <v>41</v>
      </c>
      <c r="G38" s="29">
        <f>-G27</f>
        <v>0.005</v>
      </c>
      <c r="H38" s="3" t="s">
        <v>86</v>
      </c>
    </row>
    <row r="39">
      <c r="A39" s="11" t="s">
        <v>132</v>
      </c>
      <c r="B39" s="17">
        <v>0</v>
      </c>
      <c r="C39" s="17">
        <v>0</v>
      </c>
      <c r="D39" s="17">
        <v>0</v>
      </c>
      <c r="E39" s="17">
        <v>0</v>
      </c>
      <c r="F39" s="20" t="s">
        <v>41</v>
      </c>
      <c r="G39" s="29">
        <f>-(G12+G30)</f>
        <v>0</v>
      </c>
      <c r="H39" s="3" t="s">
        <v>86</v>
      </c>
    </row>
    <row r="40">
      <c r="A40" s="11" t="s">
        <v>133</v>
      </c>
      <c r="B40" s="20">
        <f>B24</f>
        <v>0.03</v>
      </c>
      <c r="C40" s="20">
        <f>C24</f>
        <v>0</v>
      </c>
      <c r="D40" s="20">
        <f>D24</f>
        <v>0.01</v>
      </c>
      <c r="E40" s="20">
        <f>E24</f>
        <v>0</v>
      </c>
      <c r="F40" s="20">
        <f>F24</f>
        <v>0.01</v>
      </c>
      <c r="G40" s="29">
        <f>G24</f>
        <v>0.01</v>
      </c>
      <c r="H40" s="3"/>
    </row>
    <row r="41">
      <c r="A41" s="11" t="s">
        <v>104</v>
      </c>
      <c r="B41" s="20">
        <f>IFERROR(-B39,"n/a")</f>
        <v>0</v>
      </c>
      <c r="C41" s="20">
        <f>IFERROR(-C39,"n/a")</f>
        <v>0</v>
      </c>
      <c r="D41" s="20">
        <f>IFERROR(-D39,"n/a")</f>
        <v>0</v>
      </c>
      <c r="E41" s="20">
        <f>IFERROR(-E39,"n/a")</f>
        <v>0</v>
      </c>
      <c r="F41" s="20" t="str">
        <f>IFERROR(-F39,"n/a")</f>
        <v>n/a</v>
      </c>
      <c r="G41" s="29">
        <f>IFERROR(-G39,"n/a")</f>
        <v>0</v>
      </c>
      <c r="H41" s="3"/>
    </row>
    <row r="42">
      <c r="A42" s="11" t="s">
        <v>134</v>
      </c>
      <c r="B42" s="20">
        <f>IFERROR(-B38,"n/a")</f>
        <v>0.02</v>
      </c>
      <c r="C42" s="20">
        <f>IFERROR(-C38,"n/a")</f>
        <v>0.02</v>
      </c>
      <c r="D42" s="20">
        <f>IFERROR(-D38,"n/a")</f>
        <v>0.06</v>
      </c>
      <c r="E42" s="20">
        <f>IFERROR(-E38,"n/a")</f>
        <v>0.01</v>
      </c>
      <c r="F42" s="20" t="str">
        <f>IFERROR(-F38,"n/a")</f>
        <v>n/a</v>
      </c>
      <c r="G42" s="29">
        <f>IFERROR(-G38,"n/a")</f>
        <v>-0.005</v>
      </c>
      <c r="H42" s="3"/>
    </row>
    <row r="43">
      <c r="A43" s="11" t="s">
        <v>106</v>
      </c>
      <c r="B43" s="20">
        <f>B33</f>
        <v>0.05</v>
      </c>
      <c r="C43" s="20">
        <f>C33</f>
        <v>0.02</v>
      </c>
      <c r="D43" s="20">
        <f>D33</f>
        <v>0.07</v>
      </c>
      <c r="E43" s="20">
        <f>E33</f>
        <v>0.01</v>
      </c>
      <c r="F43" s="20">
        <f>F33</f>
        <v>0.04</v>
      </c>
      <c r="G43" s="29">
        <f>G33</f>
        <v>0.005000000000000001</v>
      </c>
      <c r="H43" s="3"/>
    </row>
    <row r="44">
      <c r="A44" s="11" t="s">
        <v>107</v>
      </c>
      <c r="B44" s="20">
        <f>IFERROR((1+B43)/((1+B41)*(1+B42))-1,"n/a")</f>
        <v>0.02941176470588247</v>
      </c>
      <c r="C44" s="20">
        <f>IFERROR((1+C43)/((1+C41)*(1+C42))-1,"n/a")</f>
        <v>0</v>
      </c>
      <c r="D44" s="20">
        <f>IFERROR((1+D43)/((1+D41)*(1+D42))-1,"n/a")</f>
        <v>0.009433962264151052</v>
      </c>
      <c r="E44" s="20">
        <f>IFERROR((1+E43)/((1+E41)*(1+E42))-1,"n/a")</f>
        <v>0</v>
      </c>
      <c r="F44" s="20" t="str">
        <f>IFERROR((1+F43)/((1+F41)*(1+F42))-1,"n/a")</f>
        <v>n/a</v>
      </c>
      <c r="G44" s="29">
        <f>IFERROR((1+G43)/((1+G41)*(1+G42))-1,"n/a")</f>
        <v>0.010050251256281229</v>
      </c>
      <c r="H44" s="3"/>
    </row>
    <row r="45">
      <c r="A45" s="3"/>
      <c r="B45" s="26"/>
      <c r="C45" s="26"/>
      <c r="D45" s="26"/>
      <c r="E45" s="26"/>
      <c r="F45" s="26"/>
      <c r="G45" s="64"/>
      <c r="H45" s="3"/>
    </row>
    <row r="46">
      <c r="A46" s="49" t="s">
        <v>33</v>
      </c>
      <c r="B46" s="25"/>
      <c r="C46" s="25"/>
      <c r="D46" s="25"/>
      <c r="E46" s="25"/>
      <c r="F46" s="25"/>
      <c r="G46" s="61"/>
      <c r="H46" s="3"/>
    </row>
    <row r="47">
      <c r="A47" s="28" t="s">
        <v>33</v>
      </c>
      <c r="B47" s="63">
        <v>1817</v>
      </c>
      <c r="C47" s="63">
        <v>1794</v>
      </c>
      <c r="D47" s="63">
        <v>1608</v>
      </c>
      <c r="E47" s="63">
        <v>1699</v>
      </c>
      <c r="F47" s="52">
        <f>SUM(B47:E47)</f>
        <v>6918</v>
      </c>
      <c r="G47" s="51">
        <f>B47*(1+G33)</f>
        <v>1826.0849999999998</v>
      </c>
      <c r="H47" s="3" t="s">
        <v>135</v>
      </c>
    </row>
    <row r="48">
      <c r="A48" s="46" t="s">
        <v>70</v>
      </c>
      <c r="B48" s="20">
        <f>B47/B79-1</f>
        <v>0.054556006964596726</v>
      </c>
      <c r="C48" s="20">
        <f>C47/C79-1</f>
        <v>0.023972602739726012</v>
      </c>
      <c r="D48" s="20">
        <f>D47/D79-1</f>
        <v>0.06843853820598</v>
      </c>
      <c r="E48" s="20">
        <f>E47/E79-1</f>
        <v>0.009506833036244888</v>
      </c>
      <c r="F48" s="20">
        <f>F47/F79-1</f>
        <v>0.03842689882918049</v>
      </c>
      <c r="G48" s="29">
        <f>G47/G79-1</f>
        <v>0.004999999999999893</v>
      </c>
      <c r="H48" s="3"/>
    </row>
    <row r="49">
      <c r="A49" s="46" t="s">
        <v>71</v>
      </c>
      <c r="B49" s="20" t="s">
        <v>41</v>
      </c>
      <c r="C49" s="20">
        <f>C47/B47-1</f>
        <v>-0.012658227848101222</v>
      </c>
      <c r="D49" s="20">
        <f>D47/C47-1</f>
        <v>-0.10367892976588633</v>
      </c>
      <c r="E49" s="20">
        <f>E47/D47-1</f>
        <v>0.05659203980099492</v>
      </c>
      <c r="F49" s="20" t="s">
        <v>41</v>
      </c>
      <c r="G49" s="29">
        <f>G47/E47-1</f>
        <v>0.07479988228369616</v>
      </c>
      <c r="H49" s="3"/>
    </row>
    <row r="50">
      <c r="A50" s="41" t="s">
        <v>72</v>
      </c>
      <c r="B50" s="22" t="s">
        <v>41</v>
      </c>
      <c r="C50" s="22">
        <f>C47-B47</f>
        <v>-23</v>
      </c>
      <c r="D50" s="22">
        <f>D47-C47</f>
        <v>-186</v>
      </c>
      <c r="E50" s="22">
        <f>E47-D47</f>
        <v>91</v>
      </c>
      <c r="F50" s="22" t="s">
        <v>41</v>
      </c>
      <c r="G50" s="27">
        <f>G47-E47</f>
        <v>127.08499999999981</v>
      </c>
      <c r="H50" s="3"/>
    </row>
    <row r="51">
      <c r="A51" s="46" t="s">
        <v>136</v>
      </c>
      <c r="B51" s="21">
        <f>B47/'Revenue summary'!B39</f>
        <v>0.0811668006789958</v>
      </c>
      <c r="C51" s="21">
        <f>C47/'Revenue summary'!C39</f>
        <v>0.08078170028818443</v>
      </c>
      <c r="D51" s="21">
        <f>D47/'Revenue summary'!D39</f>
        <v>0.07572404049917589</v>
      </c>
      <c r="E51" s="21">
        <f>E47/'Revenue summary'!E39</f>
        <v>0.08013017025892562</v>
      </c>
      <c r="F51" s="21">
        <f>F47/'Revenue summary'!F39</f>
        <v>0.07948800441217023</v>
      </c>
      <c r="G51" s="85">
        <f>G47/'Revenue summary'!G39</f>
        <v>0.07990617718636929</v>
      </c>
      <c r="H51" s="3"/>
    </row>
    <row r="52">
      <c r="A52" s="3"/>
      <c r="B52" s="26"/>
      <c r="C52" s="26"/>
      <c r="D52" s="26"/>
      <c r="E52" s="26"/>
      <c r="F52" s="26"/>
      <c r="G52" s="64"/>
      <c r="H52" s="3"/>
    </row>
    <row r="53">
      <c r="A53" s="49" t="s">
        <v>137</v>
      </c>
      <c r="B53" s="25"/>
      <c r="C53" s="25"/>
      <c r="D53" s="25"/>
      <c r="E53" s="25"/>
      <c r="F53" s="25"/>
      <c r="G53" s="61"/>
      <c r="H53" s="3"/>
    </row>
    <row r="54">
      <c r="A54" s="11" t="s">
        <v>164</v>
      </c>
      <c r="B54" s="20" t="s">
        <v>41</v>
      </c>
      <c r="C54" s="20" t="s">
        <v>41</v>
      </c>
      <c r="D54" s="20" t="s">
        <v>41</v>
      </c>
      <c r="E54" s="20" t="s">
        <v>41</v>
      </c>
      <c r="F54" s="17">
        <v>0.08</v>
      </c>
      <c r="G54" s="29" t="s">
        <v>41</v>
      </c>
      <c r="H54" s="3" t="s">
        <v>139</v>
      </c>
    </row>
    <row r="55">
      <c r="A55" s="41" t="s">
        <v>165</v>
      </c>
      <c r="B55" s="22" t="s">
        <v>41</v>
      </c>
      <c r="C55" s="22" t="s">
        <v>41</v>
      </c>
      <c r="D55" s="22" t="s">
        <v>41</v>
      </c>
      <c r="E55" s="22" t="s">
        <v>41</v>
      </c>
      <c r="F55" s="35">
        <f>F54*'Revenue summary'!F39</f>
        <v>6962.56</v>
      </c>
      <c r="G55" s="27" t="s">
        <v>41</v>
      </c>
      <c r="H55" s="3"/>
    </row>
    <row r="56">
      <c r="A56" s="28" t="s">
        <v>145</v>
      </c>
      <c r="B56" s="52" t="s">
        <v>41</v>
      </c>
      <c r="C56" s="52" t="s">
        <v>41</v>
      </c>
      <c r="D56" s="52" t="s">
        <v>41</v>
      </c>
      <c r="E56" s="52" t="s">
        <v>41</v>
      </c>
      <c r="F56" s="52">
        <f>F55</f>
        <v>6962.56</v>
      </c>
      <c r="G56" s="51" t="s">
        <v>41</v>
      </c>
      <c r="H56" s="3"/>
    </row>
    <row r="57">
      <c r="A57" s="41" t="s">
        <v>146</v>
      </c>
      <c r="B57" s="22" t="s">
        <v>41</v>
      </c>
      <c r="C57" s="22" t="s">
        <v>41</v>
      </c>
      <c r="D57" s="22" t="s">
        <v>41</v>
      </c>
      <c r="E57" s="22" t="s">
        <v>41</v>
      </c>
      <c r="F57" s="22">
        <f>F47-F56</f>
        <v>-44.5600000000004</v>
      </c>
      <c r="G57" s="27" t="s">
        <v>41</v>
      </c>
      <c r="H57" s="3"/>
    </row>
    <row r="58">
      <c r="A58" s="3"/>
      <c r="B58" s="26"/>
      <c r="C58" s="26"/>
      <c r="D58" s="26"/>
      <c r="E58" s="26"/>
      <c r="F58" s="26"/>
      <c r="G58" s="64"/>
      <c r="H58" s="3"/>
    </row>
    <row r="59">
      <c r="A59" s="49" t="s">
        <v>147</v>
      </c>
      <c r="B59" s="25"/>
      <c r="C59" s="25"/>
      <c r="D59" s="25"/>
      <c r="E59" s="25"/>
      <c r="F59" s="25"/>
      <c r="G59" s="61"/>
      <c r="H59" s="3"/>
    </row>
    <row r="60">
      <c r="A60" s="28" t="s">
        <v>148</v>
      </c>
      <c r="B60" s="63">
        <v>585</v>
      </c>
      <c r="C60" s="63">
        <v>531</v>
      </c>
      <c r="D60" s="63">
        <v>436</v>
      </c>
      <c r="E60" s="63">
        <v>414</v>
      </c>
      <c r="F60" s="52">
        <f>SUM(B60:E60)</f>
        <v>1966</v>
      </c>
      <c r="G60" s="51">
        <f>G47*G64</f>
        <v>566.01198</v>
      </c>
      <c r="H60" s="3" t="s">
        <v>149</v>
      </c>
    </row>
    <row r="61">
      <c r="A61" s="46" t="s">
        <v>70</v>
      </c>
      <c r="B61" s="20">
        <f>B60/B80-1</f>
        <v>0.1206896551724137</v>
      </c>
      <c r="C61" s="20">
        <f>C60/C80-1</f>
        <v>-0.0651408450704225</v>
      </c>
      <c r="D61" s="20">
        <f>D60/D80-1</f>
        <v>0.07920792079207928</v>
      </c>
      <c r="E61" s="20">
        <f>E60/E80-1</f>
        <v>-0.09606986899563319</v>
      </c>
      <c r="F61" s="20">
        <f>F60/F80-1</f>
        <v>0.0071721311475410054</v>
      </c>
      <c r="G61" s="29">
        <f>G60/G80-1</f>
        <v>-0.0324581538461538</v>
      </c>
      <c r="H61" s="3"/>
    </row>
    <row r="62">
      <c r="A62" s="46" t="s">
        <v>71</v>
      </c>
      <c r="B62" s="20" t="s">
        <v>41</v>
      </c>
      <c r="C62" s="20">
        <f>C60/B60-1</f>
        <v>-0.09230769230769231</v>
      </c>
      <c r="D62" s="20">
        <f>D60/C60-1</f>
        <v>-0.17890772128060262</v>
      </c>
      <c r="E62" s="20">
        <f>E60/D60-1</f>
        <v>-0.050458715596330306</v>
      </c>
      <c r="F62" s="20" t="s">
        <v>41</v>
      </c>
      <c r="G62" s="29">
        <f>G60/E60-1</f>
        <v>0.36717869565217387</v>
      </c>
      <c r="H62" s="3"/>
    </row>
    <row r="63">
      <c r="A63" s="41" t="s">
        <v>72</v>
      </c>
      <c r="B63" s="22" t="s">
        <v>41</v>
      </c>
      <c r="C63" s="22">
        <f>C60-B60</f>
        <v>-54</v>
      </c>
      <c r="D63" s="22">
        <f>D60-C60</f>
        <v>-95</v>
      </c>
      <c r="E63" s="22">
        <f>E60-D60</f>
        <v>-22</v>
      </c>
      <c r="F63" s="22" t="s">
        <v>41</v>
      </c>
      <c r="G63" s="27">
        <f>G60-E60</f>
        <v>152.01198</v>
      </c>
      <c r="H63" s="3"/>
    </row>
    <row r="64">
      <c r="A64" s="11" t="s">
        <v>150</v>
      </c>
      <c r="B64" s="20">
        <f>IFERROR(B60/B47,"n/a")</f>
        <v>0.3219592735277931</v>
      </c>
      <c r="C64" s="20">
        <f>IFERROR(C60/C47,"n/a")</f>
        <v>0.2959866220735786</v>
      </c>
      <c r="D64" s="20">
        <f>IFERROR(D60/D47,"n/a")</f>
        <v>0.27114427860696516</v>
      </c>
      <c r="E64" s="20">
        <f>IFERROR(E60/E47,"n/a")</f>
        <v>0.24367274867569158</v>
      </c>
      <c r="F64" s="20">
        <f>IFERROR(F60/F47,"n/a")</f>
        <v>0.28418618097716103</v>
      </c>
      <c r="G64" s="29">
        <f>B64+G66/10000</f>
        <v>0.30995927352779307</v>
      </c>
      <c r="H64" s="3"/>
    </row>
    <row r="65">
      <c r="A65" s="41" t="s">
        <v>151</v>
      </c>
      <c r="B65" s="66" t="s">
        <v>41</v>
      </c>
      <c r="C65" s="66">
        <f>(C64-B64)*10000</f>
        <v>-259.72651454214457</v>
      </c>
      <c r="D65" s="66">
        <f>(D64-C64)*10000</f>
        <v>-248.4234346661346</v>
      </c>
      <c r="E65" s="66">
        <f>(E64-D64)*10000</f>
        <v>-274.7152993127358</v>
      </c>
      <c r="F65" s="66" t="s">
        <v>41</v>
      </c>
      <c r="G65" s="69">
        <f>(G64-E64)*10000</f>
        <v>662.8652485210149</v>
      </c>
      <c r="H65" s="3"/>
    </row>
    <row r="66">
      <c r="A66" s="41" t="s">
        <v>152</v>
      </c>
      <c r="B66" s="66">
        <f>(B64-B80/B79)*10000</f>
        <v>189.9931995843729</v>
      </c>
      <c r="C66" s="66">
        <f>(C64-C80/C79)*10000</f>
        <v>-282.1429116843049</v>
      </c>
      <c r="D66" s="66">
        <f>(D64-D80/D79)*10000</f>
        <v>27.057404009850906</v>
      </c>
      <c r="E66" s="66">
        <f>(E64-E80/E79)*10000</f>
        <v>-284.60346986815847</v>
      </c>
      <c r="F66" s="66">
        <f>(F64-F80/F79)*10000</f>
        <v>-88.18922595339728</v>
      </c>
      <c r="G66" s="78">
        <v>-120</v>
      </c>
      <c r="H66" s="3"/>
    </row>
    <row r="67">
      <c r="A67" s="28" t="s">
        <v>153</v>
      </c>
      <c r="B67" s="63">
        <v>463</v>
      </c>
      <c r="C67" s="63">
        <v>417</v>
      </c>
      <c r="D67" s="63">
        <v>331</v>
      </c>
      <c r="E67" s="63">
        <v>317</v>
      </c>
      <c r="F67" s="52">
        <f>SUM(B67:E67)</f>
        <v>1528</v>
      </c>
      <c r="G67" s="51">
        <f>G60*(1-G74)</f>
        <v>447.97187476923074</v>
      </c>
      <c r="H67" s="3" t="s">
        <v>86</v>
      </c>
    </row>
    <row r="68">
      <c r="A68" s="46" t="s">
        <v>70</v>
      </c>
      <c r="B68" s="20">
        <f>B67/B81-1</f>
        <v>0.08685446009389675</v>
      </c>
      <c r="C68" s="20">
        <f>C67/C81-1</f>
        <v>-0.09150326797385622</v>
      </c>
      <c r="D68" s="20">
        <f>D67/D81-1</f>
        <v>0.031152647975077885</v>
      </c>
      <c r="E68" s="20">
        <f>E67/E81-1</f>
        <v>-0.14555256064690025</v>
      </c>
      <c r="F68" s="20">
        <f>F67/F81-1</f>
        <v>-0.03107165504121745</v>
      </c>
      <c r="G68" s="29">
        <f>G67/G81-1</f>
        <v>-0.032458153846153914</v>
      </c>
      <c r="H68" s="3"/>
    </row>
    <row r="69">
      <c r="A69" s="46" t="s">
        <v>71</v>
      </c>
      <c r="B69" s="20" t="s">
        <v>41</v>
      </c>
      <c r="C69" s="20">
        <f>C67/B67-1</f>
        <v>-0.09935205183585316</v>
      </c>
      <c r="D69" s="20">
        <f>D67/C67-1</f>
        <v>-0.20623501199040772</v>
      </c>
      <c r="E69" s="20">
        <f>E67/D67-1</f>
        <v>-0.04229607250755285</v>
      </c>
      <c r="F69" s="20" t="s">
        <v>41</v>
      </c>
      <c r="G69" s="29">
        <f>G67/E67-1</f>
        <v>0.4131604882310118</v>
      </c>
      <c r="H69" s="3"/>
    </row>
    <row r="70">
      <c r="A70" s="41" t="s">
        <v>72</v>
      </c>
      <c r="B70" s="22" t="s">
        <v>41</v>
      </c>
      <c r="C70" s="22">
        <f>C67-B67</f>
        <v>-46</v>
      </c>
      <c r="D70" s="22">
        <f>D67-C67</f>
        <v>-86</v>
      </c>
      <c r="E70" s="22">
        <f>E67-D67</f>
        <v>-14</v>
      </c>
      <c r="F70" s="22" t="s">
        <v>41</v>
      </c>
      <c r="G70" s="27">
        <f>G67-E67</f>
        <v>130.97187476923074</v>
      </c>
      <c r="H70" s="3"/>
    </row>
    <row r="71">
      <c r="A71" s="11" t="s">
        <v>154</v>
      </c>
      <c r="B71" s="20">
        <f>IFERROR(B67/B47,"n/a")</f>
        <v>0.25481563015960373</v>
      </c>
      <c r="C71" s="20">
        <f>IFERROR(C67/C47,"n/a")</f>
        <v>0.23244147157190637</v>
      </c>
      <c r="D71" s="20">
        <f>IFERROR(D67/D47,"n/a")</f>
        <v>0.2058457711442786</v>
      </c>
      <c r="E71" s="20">
        <f>IFERROR(E67/E47,"n/a")</f>
        <v>0.18658034137728075</v>
      </c>
      <c r="F71" s="20">
        <f>IFERROR(F67/F47,"n/a")</f>
        <v>0.22087308470656258</v>
      </c>
      <c r="G71" s="29">
        <f>IFERROR(G67/G47,"n/a")</f>
        <v>0.24531819426216786</v>
      </c>
      <c r="H71" s="3"/>
    </row>
    <row r="72">
      <c r="A72" s="41" t="s">
        <v>151</v>
      </c>
      <c r="B72" s="66" t="s">
        <v>41</v>
      </c>
      <c r="C72" s="66">
        <f>(C71-B71)*10000</f>
        <v>-223.7415858769737</v>
      </c>
      <c r="D72" s="66">
        <f>(D71-C71)*10000</f>
        <v>-265.95700427627764</v>
      </c>
      <c r="E72" s="66">
        <f>(E71-D71)*10000</f>
        <v>-192.65429766997855</v>
      </c>
      <c r="F72" s="66" t="s">
        <v>41</v>
      </c>
      <c r="G72" s="69">
        <f>(G71-E71)*10000</f>
        <v>587.3785288488712</v>
      </c>
      <c r="H72" s="3"/>
    </row>
    <row r="73">
      <c r="A73" s="41" t="s">
        <v>152</v>
      </c>
      <c r="B73" s="66">
        <f>(B71-B81/B79)*10000</f>
        <v>75.72449660474295</v>
      </c>
      <c r="C73" s="66">
        <f>(C71-C81/C79)*10000</f>
        <v>-295.4482979795664</v>
      </c>
      <c r="D73" s="66">
        <f>(D71-D81/D79)*10000</f>
        <v>-74.43265400571886</v>
      </c>
      <c r="E73" s="66">
        <f>(E71-E81/E79)*10000</f>
        <v>-338.5934965064558</v>
      </c>
      <c r="F73" s="66">
        <f>(F71-F81/F79)*10000</f>
        <v>-158.4261628413089</v>
      </c>
      <c r="G73" s="69">
        <f>(G71-G81/G79)*10000</f>
        <v>-94.97435897435874</v>
      </c>
      <c r="H73" s="3"/>
    </row>
    <row r="74">
      <c r="A74" s="11" t="s">
        <v>155</v>
      </c>
      <c r="B74" s="20">
        <f>1-B67/B60</f>
        <v>0.20854700854700858</v>
      </c>
      <c r="C74" s="20">
        <f>1-C67/C60</f>
        <v>0.21468926553672318</v>
      </c>
      <c r="D74" s="20">
        <f>1-D67/D60</f>
        <v>0.24082568807339455</v>
      </c>
      <c r="E74" s="20">
        <f>1-E67/E60</f>
        <v>0.2342995169082126</v>
      </c>
      <c r="F74" s="20">
        <f>1-F67/F60</f>
        <v>0.22278738555442523</v>
      </c>
      <c r="G74" s="29">
        <f>B74</f>
        <v>0.20854700854700858</v>
      </c>
      <c r="H74" s="3"/>
    </row>
    <row r="75">
      <c r="A75" s="41" t="s">
        <v>156</v>
      </c>
      <c r="B75" s="66" t="s">
        <v>41</v>
      </c>
      <c r="C75" s="66">
        <f>(C74-B74)*10000</f>
        <v>61.422569897146005</v>
      </c>
      <c r="D75" s="66">
        <f>(D74-C74)*10000</f>
        <v>261.36422536671364</v>
      </c>
      <c r="E75" s="66">
        <f>(E74-D74)*10000</f>
        <v>-65.26171165181948</v>
      </c>
      <c r="F75" s="66" t="s">
        <v>41</v>
      </c>
      <c r="G75" s="69">
        <f>(G74-E74)*10000</f>
        <v>-257.5250836120402</v>
      </c>
      <c r="H75" s="3"/>
    </row>
    <row r="76">
      <c r="A76" s="41" t="s">
        <v>157</v>
      </c>
      <c r="B76" s="66">
        <f>(B74-(1-B81/B80))*10000</f>
        <v>246.3896256999709</v>
      </c>
      <c r="C76" s="66">
        <f>(C74-(1-C81/C80))*10000</f>
        <v>227.87857086018937</v>
      </c>
      <c r="D76" s="66">
        <f>(D74-(1-D81/D80))*10000</f>
        <v>353.80143518939144</v>
      </c>
      <c r="E76" s="66">
        <f>(E74-(1-E81/E80))*10000</f>
        <v>443.4318503048329</v>
      </c>
      <c r="F76" s="66">
        <f>(F74-(1-F81/F80))*10000</f>
        <v>306.76729816720314</v>
      </c>
      <c r="G76" s="69">
        <f>(G74-(1-G81/G80))*10000</f>
        <v>0</v>
      </c>
      <c r="H76" s="3"/>
    </row>
    <row r="77">
      <c r="A77" s="3"/>
      <c r="B77" s="26"/>
      <c r="C77" s="26"/>
      <c r="D77" s="26"/>
      <c r="E77" s="26"/>
      <c r="F77" s="26"/>
      <c r="G77" s="64"/>
      <c r="H77" s="3"/>
    </row>
    <row r="78">
      <c r="A78" s="49" t="s">
        <v>158</v>
      </c>
      <c r="B78" s="25"/>
      <c r="C78" s="25"/>
      <c r="D78" s="25"/>
      <c r="E78" s="25"/>
      <c r="F78" s="25"/>
      <c r="G78" s="61"/>
      <c r="H78" s="3"/>
    </row>
    <row r="79">
      <c r="A79" s="41" t="s">
        <v>159</v>
      </c>
      <c r="B79" s="44">
        <v>1723</v>
      </c>
      <c r="C79" s="44">
        <v>1752</v>
      </c>
      <c r="D79" s="44">
        <v>1505</v>
      </c>
      <c r="E79" s="44">
        <v>1683</v>
      </c>
      <c r="F79" s="44">
        <v>6662</v>
      </c>
      <c r="G79" s="27">
        <f>B47</f>
        <v>1817</v>
      </c>
      <c r="H79" s="3" t="s">
        <v>160</v>
      </c>
    </row>
    <row r="80">
      <c r="A80" s="41" t="s">
        <v>161</v>
      </c>
      <c r="B80" s="44">
        <v>522</v>
      </c>
      <c r="C80" s="44">
        <v>568</v>
      </c>
      <c r="D80" s="44">
        <v>404</v>
      </c>
      <c r="E80" s="44">
        <v>458</v>
      </c>
      <c r="F80" s="44">
        <v>1952</v>
      </c>
      <c r="G80" s="27">
        <f>B60</f>
        <v>585</v>
      </c>
      <c r="H80" s="3" t="s">
        <v>160</v>
      </c>
    </row>
    <row r="81">
      <c r="A81" s="41" t="s">
        <v>162</v>
      </c>
      <c r="B81" s="44">
        <v>426</v>
      </c>
      <c r="C81" s="44">
        <v>459</v>
      </c>
      <c r="D81" s="44">
        <v>321</v>
      </c>
      <c r="E81" s="44">
        <v>371</v>
      </c>
      <c r="F81" s="44">
        <v>1577</v>
      </c>
      <c r="G81" s="27">
        <f>B67</f>
        <v>463</v>
      </c>
      <c r="H81" s="3" t="s">
        <v>160</v>
      </c>
    </row>
    <row r="82">
      <c r="A82" s="46" t="s">
        <v>115</v>
      </c>
      <c r="B82" s="17">
        <v>0.04</v>
      </c>
      <c r="C82" s="17">
        <v>0.02</v>
      </c>
      <c r="D82" s="17">
        <v>0.01</v>
      </c>
      <c r="E82" s="17">
        <v>0</v>
      </c>
      <c r="F82" s="17">
        <v>0.02</v>
      </c>
      <c r="G82" s="29">
        <f>B15</f>
        <v>0.01</v>
      </c>
      <c r="H82" s="3" t="s">
        <v>160</v>
      </c>
    </row>
    <row r="83">
      <c r="A83" s="46" t="s">
        <v>117</v>
      </c>
      <c r="B83" s="17">
        <v>0.05</v>
      </c>
      <c r="C83" s="17">
        <v>0.02</v>
      </c>
      <c r="D83" s="17">
        <v>0.01</v>
      </c>
      <c r="E83" s="17">
        <v>-0.01</v>
      </c>
      <c r="F83" s="17">
        <v>0.02</v>
      </c>
      <c r="G83" s="29">
        <f>B9</f>
        <v>0.01</v>
      </c>
      <c r="H83" s="3" t="s">
        <v>160</v>
      </c>
    </row>
    <row r="84">
      <c r="A84" s="46" t="s">
        <v>118</v>
      </c>
      <c r="B84" s="17">
        <v>0.01</v>
      </c>
      <c r="C84" s="17">
        <v>0.01</v>
      </c>
      <c r="D84" s="17">
        <v>0.02</v>
      </c>
      <c r="E84" s="17">
        <v>0.04</v>
      </c>
      <c r="F84" s="17">
        <v>0.02</v>
      </c>
      <c r="G84" s="29">
        <f>B18</f>
        <v>0.04</v>
      </c>
      <c r="H84" s="3" t="s">
        <v>160</v>
      </c>
    </row>
    <row r="85">
      <c r="A85" s="46" t="s">
        <v>119</v>
      </c>
      <c r="B85" s="17">
        <v>-0.03</v>
      </c>
      <c r="C85" s="17">
        <v>-0.01</v>
      </c>
      <c r="D85" s="17">
        <v>0</v>
      </c>
      <c r="E85" s="17">
        <v>-0.01</v>
      </c>
      <c r="F85" s="17">
        <v>-0.01</v>
      </c>
      <c r="G85" s="29">
        <f>B21</f>
        <v>-0.02</v>
      </c>
      <c r="H85" s="3" t="s">
        <v>160</v>
      </c>
    </row>
    <row r="86">
      <c r="A86" s="46" t="s">
        <v>120</v>
      </c>
      <c r="B86" s="17">
        <v>-0.02</v>
      </c>
      <c r="C86" s="17">
        <v>-0.01</v>
      </c>
      <c r="D86" s="17">
        <v>-0.04</v>
      </c>
      <c r="E86" s="17">
        <v>0</v>
      </c>
      <c r="F86" s="17">
        <v>-0.02</v>
      </c>
      <c r="G86" s="29">
        <f>B27</f>
        <v>0.02</v>
      </c>
      <c r="H86" s="3" t="s">
        <v>160</v>
      </c>
    </row>
    <row r="87">
      <c r="A87" s="46" t="s">
        <v>121</v>
      </c>
      <c r="B87" s="17">
        <v>0</v>
      </c>
      <c r="C87" s="17">
        <v>0</v>
      </c>
      <c r="D87" s="17">
        <v>-0.01</v>
      </c>
      <c r="E87" s="17">
        <v>-0.01</v>
      </c>
      <c r="F87" s="17">
        <v>-0.01</v>
      </c>
      <c r="G87" s="29">
        <f>B30</f>
        <v>0</v>
      </c>
      <c r="H87" s="3" t="s">
        <v>160</v>
      </c>
    </row>
    <row r="88">
      <c r="A88" s="46" t="s">
        <v>122</v>
      </c>
      <c r="B88" s="17">
        <v>0</v>
      </c>
      <c r="C88" s="17">
        <v>0.01</v>
      </c>
      <c r="D88" s="17">
        <v>-0.02</v>
      </c>
      <c r="E88" s="17">
        <v>0.02</v>
      </c>
      <c r="F88" s="17">
        <v>0</v>
      </c>
      <c r="G88" s="29">
        <f>B33</f>
        <v>0.05</v>
      </c>
      <c r="H88" s="3" t="s">
        <v>160</v>
      </c>
    </row>
    <row r="89">
      <c r="A89" s="46" t="s">
        <v>123</v>
      </c>
      <c r="B89" s="17">
        <v>0.03</v>
      </c>
      <c r="C89" s="17">
        <v>0.02</v>
      </c>
      <c r="D89" s="17">
        <v>0.03</v>
      </c>
      <c r="E89" s="17">
        <v>0.01</v>
      </c>
      <c r="F89" s="20" t="s">
        <v>41</v>
      </c>
      <c r="G89" s="29">
        <f>B24</f>
        <v>0.03</v>
      </c>
      <c r="H89" s="3" t="s">
        <v>160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1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166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125</v>
      </c>
      <c r="B8" s="25"/>
      <c r="C8" s="25"/>
      <c r="D8" s="25"/>
      <c r="E8" s="25"/>
      <c r="F8" s="25"/>
      <c r="G8" s="61"/>
      <c r="H8" s="3"/>
    </row>
    <row r="9">
      <c r="A9" s="11" t="s">
        <v>95</v>
      </c>
      <c r="B9" s="17">
        <v>-0.02</v>
      </c>
      <c r="C9" s="17">
        <v>-0.01</v>
      </c>
      <c r="D9" s="17">
        <v>-0.02</v>
      </c>
      <c r="E9" s="17">
        <v>-0.03</v>
      </c>
      <c r="F9" s="17">
        <v>-0.02</v>
      </c>
      <c r="G9" s="72">
        <v>-0.01</v>
      </c>
      <c r="H9" s="3" t="s">
        <v>126</v>
      </c>
    </row>
    <row r="10">
      <c r="A10" s="41" t="s">
        <v>93</v>
      </c>
      <c r="B10" s="66" t="s">
        <v>41</v>
      </c>
      <c r="C10" s="66">
        <f>(C9-B9)*10000</f>
        <v>100</v>
      </c>
      <c r="D10" s="66">
        <f>(D9-C9)*10000</f>
        <v>-100</v>
      </c>
      <c r="E10" s="66">
        <f>(E9-D9)*10000</f>
        <v>-99.99999999999999</v>
      </c>
      <c r="F10" s="66" t="s">
        <v>41</v>
      </c>
      <c r="G10" s="69">
        <f>(G9-E9)*10000</f>
        <v>199.99999999999997</v>
      </c>
      <c r="H10" s="3"/>
    </row>
    <row r="11">
      <c r="A11" s="41" t="s">
        <v>94</v>
      </c>
      <c r="B11" s="66">
        <f>IFERROR((B9-B85)*10000,"n/a")</f>
        <v>-100</v>
      </c>
      <c r="C11" s="66">
        <f>IFERROR((C9-C85)*10000,"n/a")</f>
        <v>-100</v>
      </c>
      <c r="D11" s="66">
        <f>IFERROR((D9-D85)*10000,"n/a")</f>
        <v>-100</v>
      </c>
      <c r="E11" s="66">
        <f>IFERROR((E9-E85)*10000,"n/a")</f>
        <v>-99.99999999999999</v>
      </c>
      <c r="F11" s="66">
        <f>IFERROR((F9-F85)*10000,"n/a")</f>
        <v>-100</v>
      </c>
      <c r="G11" s="69">
        <f>IFERROR((G9-G85)*10000,"n/a")</f>
        <v>100</v>
      </c>
      <c r="H11" s="3"/>
    </row>
    <row r="12">
      <c r="A12" s="11" t="s">
        <v>127</v>
      </c>
      <c r="B12" s="20">
        <f>B15-B9</f>
        <v>0</v>
      </c>
      <c r="C12" s="20">
        <f>C15-C9</f>
        <v>0</v>
      </c>
      <c r="D12" s="20">
        <f>D15-D9</f>
        <v>0</v>
      </c>
      <c r="E12" s="20">
        <f>E15-E9</f>
        <v>0</v>
      </c>
      <c r="F12" s="20">
        <f>F15-F9</f>
        <v>0</v>
      </c>
      <c r="G12" s="72">
        <v>0</v>
      </c>
      <c r="H12" s="3"/>
    </row>
    <row r="13">
      <c r="A13" s="41" t="s">
        <v>93</v>
      </c>
      <c r="B13" s="66" t="s">
        <v>41</v>
      </c>
      <c r="C13" s="66">
        <f>(C12-B12)*10000</f>
        <v>0</v>
      </c>
      <c r="D13" s="66">
        <f>(D12-C12)*10000</f>
        <v>0</v>
      </c>
      <c r="E13" s="66">
        <f>(E12-D12)*10000</f>
        <v>0</v>
      </c>
      <c r="F13" s="66" t="s">
        <v>41</v>
      </c>
      <c r="G13" s="69">
        <f>(G12-E12)*10000</f>
        <v>0</v>
      </c>
      <c r="H13" s="3"/>
    </row>
    <row r="14">
      <c r="A14" s="41" t="s">
        <v>94</v>
      </c>
      <c r="B14" s="66">
        <f>(B12-(B84-B85))*10000</f>
        <v>0</v>
      </c>
      <c r="C14" s="66">
        <f>(C12-(C84-C85))*10000</f>
        <v>0</v>
      </c>
      <c r="D14" s="66">
        <f>(D12-(D84-D85))*10000</f>
        <v>0</v>
      </c>
      <c r="E14" s="66">
        <f>(E12-(E84-E85))*10000</f>
        <v>0</v>
      </c>
      <c r="F14" s="66">
        <f>(F12-(F84-F85))*10000</f>
        <v>0</v>
      </c>
      <c r="G14" s="69">
        <f>(G12-(G84-G85))*10000</f>
        <v>0</v>
      </c>
      <c r="H14" s="3"/>
    </row>
    <row r="15">
      <c r="A15" s="11" t="s">
        <v>91</v>
      </c>
      <c r="B15" s="17">
        <v>-0.02</v>
      </c>
      <c r="C15" s="17">
        <v>-0.01</v>
      </c>
      <c r="D15" s="17">
        <v>-0.02</v>
      </c>
      <c r="E15" s="17">
        <v>-0.03</v>
      </c>
      <c r="F15" s="17">
        <v>-0.02</v>
      </c>
      <c r="G15" s="29">
        <f>G9+G12</f>
        <v>-0.01</v>
      </c>
      <c r="H15" s="3" t="s">
        <v>92</v>
      </c>
    </row>
    <row r="16">
      <c r="A16" s="41" t="s">
        <v>93</v>
      </c>
      <c r="B16" s="66" t="s">
        <v>41</v>
      </c>
      <c r="C16" s="66">
        <f>(C15-B15)*10000</f>
        <v>100</v>
      </c>
      <c r="D16" s="66">
        <f>(D15-C15)*10000</f>
        <v>-100</v>
      </c>
      <c r="E16" s="66">
        <f>(E15-D15)*10000</f>
        <v>-99.99999999999999</v>
      </c>
      <c r="F16" s="66" t="s">
        <v>41</v>
      </c>
      <c r="G16" s="69">
        <f>(G15-E15)*10000</f>
        <v>199.99999999999997</v>
      </c>
      <c r="H16" s="3"/>
    </row>
    <row r="17">
      <c r="A17" s="41" t="s">
        <v>94</v>
      </c>
      <c r="B17" s="66">
        <f>IFERROR((B15-B84)*10000,"n/a")</f>
        <v>-100</v>
      </c>
      <c r="C17" s="66">
        <f>IFERROR((C15-C84)*10000,"n/a")</f>
        <v>-100</v>
      </c>
      <c r="D17" s="66">
        <f>IFERROR((D15-D84)*10000,"n/a")</f>
        <v>-100</v>
      </c>
      <c r="E17" s="66">
        <f>IFERROR((E15-E84)*10000,"n/a")</f>
        <v>-99.99999999999999</v>
      </c>
      <c r="F17" s="66">
        <f>IFERROR((F15-F84)*10000,"n/a")</f>
        <v>-100</v>
      </c>
      <c r="G17" s="69">
        <f>IFERROR((G15-G84)*10000,"n/a")</f>
        <v>100</v>
      </c>
      <c r="H17" s="3"/>
    </row>
    <row r="18">
      <c r="A18" s="11" t="s">
        <v>96</v>
      </c>
      <c r="B18" s="17">
        <v>0.01</v>
      </c>
      <c r="C18" s="17">
        <v>0.01</v>
      </c>
      <c r="D18" s="17">
        <v>0.02</v>
      </c>
      <c r="E18" s="17">
        <v>0.02</v>
      </c>
      <c r="F18" s="17">
        <v>0.02</v>
      </c>
      <c r="G18" s="72">
        <v>0.02</v>
      </c>
      <c r="H18" s="3" t="s">
        <v>126</v>
      </c>
    </row>
    <row r="19">
      <c r="A19" s="41" t="s">
        <v>93</v>
      </c>
      <c r="B19" s="66" t="s">
        <v>41</v>
      </c>
      <c r="C19" s="66">
        <f>(C18-B18)*10000</f>
        <v>0</v>
      </c>
      <c r="D19" s="66">
        <f>(D18-C18)*10000</f>
        <v>100</v>
      </c>
      <c r="E19" s="66">
        <f>(E18-D18)*10000</f>
        <v>0</v>
      </c>
      <c r="F19" s="66" t="s">
        <v>41</v>
      </c>
      <c r="G19" s="69">
        <f>(G18-E18)*10000</f>
        <v>0</v>
      </c>
      <c r="H19" s="3"/>
    </row>
    <row r="20">
      <c r="A20" s="41" t="s">
        <v>94</v>
      </c>
      <c r="B20" s="66">
        <f>IFERROR((B18-B86)*10000,"n/a")</f>
        <v>0</v>
      </c>
      <c r="C20" s="66">
        <f>IFERROR((C18-C86)*10000,"n/a")</f>
        <v>0</v>
      </c>
      <c r="D20" s="66">
        <f>IFERROR((D18-D86)*10000,"n/a")</f>
        <v>100</v>
      </c>
      <c r="E20" s="66">
        <f>IFERROR((E18-E86)*10000,"n/a")</f>
        <v>100</v>
      </c>
      <c r="F20" s="66">
        <f>IFERROR((F18-F86)*10000,"n/a")</f>
        <v>100</v>
      </c>
      <c r="G20" s="69">
        <f>IFERROR((G18-G86)*10000,"n/a")</f>
        <v>100</v>
      </c>
      <c r="H20" s="3"/>
    </row>
    <row r="21">
      <c r="A21" s="11" t="s">
        <v>97</v>
      </c>
      <c r="B21" s="17">
        <v>0.02</v>
      </c>
      <c r="C21" s="17">
        <v>0.02</v>
      </c>
      <c r="D21" s="17">
        <v>0.01</v>
      </c>
      <c r="E21" s="17">
        <v>0.01</v>
      </c>
      <c r="F21" s="17">
        <v>0.01</v>
      </c>
      <c r="G21" s="72">
        <v>0.01</v>
      </c>
      <c r="H21" s="3" t="s">
        <v>126</v>
      </c>
    </row>
    <row r="22">
      <c r="A22" s="41" t="s">
        <v>93</v>
      </c>
      <c r="B22" s="66" t="s">
        <v>41</v>
      </c>
      <c r="C22" s="66">
        <f>(C21-B21)*10000</f>
        <v>0</v>
      </c>
      <c r="D22" s="66">
        <f>(D21-C21)*10000</f>
        <v>-100</v>
      </c>
      <c r="E22" s="66">
        <f>(E21-D21)*10000</f>
        <v>0</v>
      </c>
      <c r="F22" s="66" t="s">
        <v>41</v>
      </c>
      <c r="G22" s="69">
        <f>(G21-E21)*10000</f>
        <v>0</v>
      </c>
      <c r="H22" s="3"/>
    </row>
    <row r="23">
      <c r="A23" s="41" t="s">
        <v>94</v>
      </c>
      <c r="B23" s="66">
        <f>IFERROR((B21-B87)*10000,"n/a")</f>
        <v>-200</v>
      </c>
      <c r="C23" s="66">
        <f>IFERROR((C21-C87)*10000,"n/a")</f>
        <v>0</v>
      </c>
      <c r="D23" s="66">
        <f>IFERROR((D21-D87)*10000,"n/a")</f>
        <v>-199.99999999999997</v>
      </c>
      <c r="E23" s="66">
        <f>IFERROR((E21-E87)*10000,"n/a")</f>
        <v>-199.99999999999997</v>
      </c>
      <c r="F23" s="66">
        <f>IFERROR((F21-F87)*10000,"n/a")</f>
        <v>-199.99999999999997</v>
      </c>
      <c r="G23" s="69">
        <f>IFERROR((G21-G87)*10000,"n/a")</f>
        <v>-100</v>
      </c>
      <c r="H23" s="3"/>
    </row>
    <row r="24">
      <c r="A24" s="11" t="s">
        <v>101</v>
      </c>
      <c r="B24" s="17">
        <v>0.01</v>
      </c>
      <c r="C24" s="17">
        <v>0.03</v>
      </c>
      <c r="D24" s="17">
        <v>0.02</v>
      </c>
      <c r="E24" s="17">
        <v>-0.01</v>
      </c>
      <c r="F24" s="20" t="s">
        <v>41</v>
      </c>
      <c r="G24" s="29">
        <f>G9+G18+G21</f>
        <v>0.02</v>
      </c>
      <c r="H24" s="3" t="s">
        <v>86</v>
      </c>
    </row>
    <row r="25">
      <c r="A25" s="41" t="s">
        <v>93</v>
      </c>
      <c r="B25" s="66" t="s">
        <v>41</v>
      </c>
      <c r="C25" s="66">
        <f>(C24-B24)*10000</f>
        <v>199.99999999999997</v>
      </c>
      <c r="D25" s="66">
        <f>(D24-C24)*10000</f>
        <v>-99.99999999999999</v>
      </c>
      <c r="E25" s="66">
        <f>(E24-D24)*10000</f>
        <v>-300</v>
      </c>
      <c r="F25" s="66" t="s">
        <v>41</v>
      </c>
      <c r="G25" s="69">
        <f>(G24-E24)*10000</f>
        <v>300</v>
      </c>
      <c r="H25" s="3"/>
    </row>
    <row r="26">
      <c r="A26" s="41" t="s">
        <v>94</v>
      </c>
      <c r="B26" s="66">
        <f>IFERROR((B24-B91)*10000,"n/a")</f>
        <v>-300</v>
      </c>
      <c r="C26" s="66">
        <f>IFERROR((C24-C91)*10000,"n/a")</f>
        <v>0</v>
      </c>
      <c r="D26" s="66">
        <f>IFERROR((D24-D91)*10000,"n/a")</f>
        <v>-200</v>
      </c>
      <c r="E26" s="66">
        <f>IFERROR((E24-E91)*10000,"n/a")</f>
        <v>-300</v>
      </c>
      <c r="F26" s="66" t="str">
        <f>IFERROR((F24-F91)*10000,"n/a")</f>
        <v>n/a</v>
      </c>
      <c r="G26" s="69">
        <f>IFERROR((G24-G91)*10000,"n/a")</f>
        <v>100</v>
      </c>
      <c r="H26" s="3"/>
    </row>
    <row r="27">
      <c r="A27" s="11" t="s">
        <v>98</v>
      </c>
      <c r="B27" s="17">
        <v>0.01</v>
      </c>
      <c r="C27" s="17">
        <v>0.02</v>
      </c>
      <c r="D27" s="17">
        <v>0.05</v>
      </c>
      <c r="E27" s="17">
        <v>0.02</v>
      </c>
      <c r="F27" s="17">
        <v>0.03</v>
      </c>
      <c r="G27" s="72">
        <v>-0.003</v>
      </c>
      <c r="H27" s="3" t="s">
        <v>128</v>
      </c>
    </row>
    <row r="28">
      <c r="A28" s="41" t="s">
        <v>93</v>
      </c>
      <c r="B28" s="66" t="s">
        <v>41</v>
      </c>
      <c r="C28" s="66">
        <f>(C27-B27)*10000</f>
        <v>100</v>
      </c>
      <c r="D28" s="66">
        <f>(D27-C27)*10000</f>
        <v>300</v>
      </c>
      <c r="E28" s="66">
        <f>(E27-D27)*10000</f>
        <v>-300</v>
      </c>
      <c r="F28" s="66" t="s">
        <v>41</v>
      </c>
      <c r="G28" s="69">
        <f>(G27-E27)*10000</f>
        <v>-230</v>
      </c>
      <c r="H28" s="3"/>
    </row>
    <row r="29">
      <c r="A29" s="41" t="s">
        <v>94</v>
      </c>
      <c r="B29" s="66">
        <f>IFERROR((B27-B88)*10000,"n/a")</f>
        <v>200</v>
      </c>
      <c r="C29" s="66">
        <f>IFERROR((C27-C88)*10000,"n/a")</f>
        <v>200</v>
      </c>
      <c r="D29" s="66">
        <f>IFERROR((D27-D88)*10000,"n/a")</f>
        <v>800</v>
      </c>
      <c r="E29" s="66">
        <f>IFERROR((E27-E88)*10000,"n/a")</f>
        <v>200</v>
      </c>
      <c r="F29" s="66">
        <f>IFERROR((F27-F88)*10000,"n/a")</f>
        <v>400</v>
      </c>
      <c r="G29" s="69">
        <f>IFERROR((G27-G88)*10000,"n/a")</f>
        <v>-130</v>
      </c>
      <c r="H29" s="3"/>
    </row>
    <row r="30">
      <c r="A30" s="11" t="s">
        <v>129</v>
      </c>
      <c r="B30" s="17">
        <v>0</v>
      </c>
      <c r="C30" s="17">
        <v>0.01</v>
      </c>
      <c r="D30" s="17">
        <v>0.01</v>
      </c>
      <c r="E30" s="17">
        <v>-0.01</v>
      </c>
      <c r="F30" s="17">
        <v>0</v>
      </c>
      <c r="G30" s="72">
        <v>0</v>
      </c>
      <c r="H30" s="3" t="s">
        <v>92</v>
      </c>
    </row>
    <row r="31">
      <c r="A31" s="41" t="s">
        <v>93</v>
      </c>
      <c r="B31" s="66" t="s">
        <v>41</v>
      </c>
      <c r="C31" s="66">
        <f>(C30-B30)*10000</f>
        <v>100</v>
      </c>
      <c r="D31" s="66">
        <f>(D30-C30)*10000</f>
        <v>0</v>
      </c>
      <c r="E31" s="66">
        <f>(E30-D30)*10000</f>
        <v>-200</v>
      </c>
      <c r="F31" s="66" t="s">
        <v>41</v>
      </c>
      <c r="G31" s="69">
        <f>(G30-E30)*10000</f>
        <v>100</v>
      </c>
      <c r="H31" s="3"/>
    </row>
    <row r="32">
      <c r="A32" s="41" t="s">
        <v>94</v>
      </c>
      <c r="B32" s="66">
        <f>(B30-B89)*10000</f>
        <v>100</v>
      </c>
      <c r="C32" s="66">
        <f>(C30-C89)*10000</f>
        <v>200</v>
      </c>
      <c r="D32" s="66">
        <f>(D30-D89)*10000</f>
        <v>100</v>
      </c>
      <c r="E32" s="66">
        <f>(E30-E89)*10000</f>
        <v>-100</v>
      </c>
      <c r="F32" s="66">
        <f>(F30-F89)*10000</f>
        <v>0</v>
      </c>
      <c r="G32" s="69">
        <f>(G30-G89)*10000</f>
        <v>0</v>
      </c>
      <c r="H32" s="3"/>
    </row>
    <row r="33">
      <c r="A33" s="62" t="s">
        <v>100</v>
      </c>
      <c r="B33" s="75">
        <v>0.02</v>
      </c>
      <c r="C33" s="75">
        <v>0.05</v>
      </c>
      <c r="D33" s="75">
        <v>0.07</v>
      </c>
      <c r="E33" s="75">
        <v>0.01</v>
      </c>
      <c r="F33" s="75">
        <v>0.04</v>
      </c>
      <c r="G33" s="73">
        <f>G15+G27+G18+G21+G30</f>
        <v>0.017</v>
      </c>
      <c r="H33" s="3" t="s">
        <v>92</v>
      </c>
    </row>
    <row r="34">
      <c r="A34" s="41" t="s">
        <v>93</v>
      </c>
      <c r="B34" s="66" t="s">
        <v>41</v>
      </c>
      <c r="C34" s="66">
        <f>(C33-B33)*10000</f>
        <v>300</v>
      </c>
      <c r="D34" s="66">
        <f>(D33-C33)*10000</f>
        <v>200.00000000000003</v>
      </c>
      <c r="E34" s="66">
        <f>(E33-D33)*10000</f>
        <v>-600</v>
      </c>
      <c r="F34" s="66" t="s">
        <v>41</v>
      </c>
      <c r="G34" s="69">
        <f>(G33-E33)*10000</f>
        <v>70.00000000000001</v>
      </c>
      <c r="H34" s="3"/>
    </row>
    <row r="35">
      <c r="A35" s="41" t="s">
        <v>94</v>
      </c>
      <c r="B35" s="66">
        <f>IFERROR((B33-B90)*10000,"n/a")</f>
        <v>0</v>
      </c>
      <c r="C35" s="66">
        <f>IFERROR((C33-C90)*10000,"n/a")</f>
        <v>300</v>
      </c>
      <c r="D35" s="66">
        <f>IFERROR((D33-D90)*10000,"n/a")</f>
        <v>700.0000000000001</v>
      </c>
      <c r="E35" s="66">
        <f>IFERROR((E33-E90)*10000,"n/a")</f>
        <v>-100</v>
      </c>
      <c r="F35" s="66">
        <f>IFERROR((F33-F90)*10000,"n/a")</f>
        <v>200</v>
      </c>
      <c r="G35" s="69">
        <f>IFERROR((G33-G90)*10000,"n/a")</f>
        <v>-29.999999999999993</v>
      </c>
      <c r="H35" s="3"/>
    </row>
    <row r="36">
      <c r="A36" s="3"/>
      <c r="B36" s="26"/>
      <c r="C36" s="26"/>
      <c r="D36" s="26"/>
      <c r="E36" s="26"/>
      <c r="F36" s="26"/>
      <c r="G36" s="64"/>
      <c r="H36" s="3"/>
    </row>
    <row r="37">
      <c r="A37" s="49" t="s">
        <v>130</v>
      </c>
      <c r="B37" s="25"/>
      <c r="C37" s="25"/>
      <c r="D37" s="25"/>
      <c r="E37" s="25"/>
      <c r="F37" s="25"/>
      <c r="G37" s="61"/>
      <c r="H37" s="3"/>
    </row>
    <row r="38">
      <c r="A38" s="11" t="s">
        <v>131</v>
      </c>
      <c r="B38" s="17">
        <v>-0.01</v>
      </c>
      <c r="C38" s="17">
        <v>-0.02</v>
      </c>
      <c r="D38" s="17">
        <v>-0.05</v>
      </c>
      <c r="E38" s="17">
        <v>-0.02</v>
      </c>
      <c r="F38" s="20" t="s">
        <v>41</v>
      </c>
      <c r="G38" s="29">
        <f>-G27</f>
        <v>0.003</v>
      </c>
      <c r="H38" s="3" t="s">
        <v>86</v>
      </c>
    </row>
    <row r="39">
      <c r="A39" s="11" t="s">
        <v>132</v>
      </c>
      <c r="B39" s="17">
        <v>0</v>
      </c>
      <c r="C39" s="17">
        <v>0</v>
      </c>
      <c r="D39" s="17">
        <v>0</v>
      </c>
      <c r="E39" s="17">
        <v>0</v>
      </c>
      <c r="F39" s="20" t="s">
        <v>41</v>
      </c>
      <c r="G39" s="29">
        <f>-(G12+G30)</f>
        <v>0</v>
      </c>
      <c r="H39" s="3" t="s">
        <v>86</v>
      </c>
    </row>
    <row r="40">
      <c r="A40" s="11" t="s">
        <v>133</v>
      </c>
      <c r="B40" s="20">
        <f>B24</f>
        <v>0.01</v>
      </c>
      <c r="C40" s="20">
        <f>C24</f>
        <v>0.03</v>
      </c>
      <c r="D40" s="20">
        <f>D24</f>
        <v>0.02</v>
      </c>
      <c r="E40" s="20">
        <f>E24</f>
        <v>-0.01</v>
      </c>
      <c r="F40" s="20" t="str">
        <f>F24</f>
        <v>n/a</v>
      </c>
      <c r="G40" s="29">
        <f>G24</f>
        <v>0.02</v>
      </c>
      <c r="H40" s="3"/>
    </row>
    <row r="41">
      <c r="A41" s="11" t="s">
        <v>104</v>
      </c>
      <c r="B41" s="20">
        <f>IFERROR(-B39,"n/a")</f>
        <v>0</v>
      </c>
      <c r="C41" s="20">
        <f>IFERROR(-C39,"n/a")</f>
        <v>0</v>
      </c>
      <c r="D41" s="20">
        <f>IFERROR(-D39,"n/a")</f>
        <v>0</v>
      </c>
      <c r="E41" s="20">
        <f>IFERROR(-E39,"n/a")</f>
        <v>0</v>
      </c>
      <c r="F41" s="20" t="str">
        <f>IFERROR(-F39,"n/a")</f>
        <v>n/a</v>
      </c>
      <c r="G41" s="29">
        <f>IFERROR(-G39,"n/a")</f>
        <v>0</v>
      </c>
      <c r="H41" s="3"/>
    </row>
    <row r="42">
      <c r="A42" s="11" t="s">
        <v>134</v>
      </c>
      <c r="B42" s="20">
        <f>IFERROR(-B38,"n/a")</f>
        <v>0.01</v>
      </c>
      <c r="C42" s="20">
        <f>IFERROR(-C38,"n/a")</f>
        <v>0.02</v>
      </c>
      <c r="D42" s="20">
        <f>IFERROR(-D38,"n/a")</f>
        <v>0.05</v>
      </c>
      <c r="E42" s="20">
        <f>IFERROR(-E38,"n/a")</f>
        <v>0.02</v>
      </c>
      <c r="F42" s="20" t="str">
        <f>IFERROR(-F38,"n/a")</f>
        <v>n/a</v>
      </c>
      <c r="G42" s="29">
        <f>IFERROR(-G38,"n/a")</f>
        <v>-0.003</v>
      </c>
      <c r="H42" s="3"/>
    </row>
    <row r="43">
      <c r="A43" s="11" t="s">
        <v>106</v>
      </c>
      <c r="B43" s="20">
        <f>B33</f>
        <v>0.02</v>
      </c>
      <c r="C43" s="20">
        <f>C33</f>
        <v>0.05</v>
      </c>
      <c r="D43" s="20">
        <f>D33</f>
        <v>0.07</v>
      </c>
      <c r="E43" s="20">
        <f>E33</f>
        <v>0.01</v>
      </c>
      <c r="F43" s="20">
        <f>F33</f>
        <v>0.04</v>
      </c>
      <c r="G43" s="29">
        <f>G33</f>
        <v>0.017</v>
      </c>
      <c r="H43" s="3"/>
    </row>
    <row r="44">
      <c r="A44" s="11" t="s">
        <v>107</v>
      </c>
      <c r="B44" s="20">
        <f>IFERROR((1+B43)/((1+B41)*(1+B42))-1,"n/a")</f>
        <v>0.00990099009900991</v>
      </c>
      <c r="C44" s="20">
        <f>IFERROR((1+C43)/((1+C41)*(1+C42))-1,"n/a")</f>
        <v>0.02941176470588247</v>
      </c>
      <c r="D44" s="20">
        <f>IFERROR((1+D43)/((1+D41)*(1+D42))-1,"n/a")</f>
        <v>0.01904761904761898</v>
      </c>
      <c r="E44" s="20">
        <f>IFERROR((1+E43)/((1+E41)*(1+E42))-1,"n/a")</f>
        <v>-0.009803921568627416</v>
      </c>
      <c r="F44" s="20" t="str">
        <f>IFERROR((1+F43)/((1+F41)*(1+F42))-1,"n/a")</f>
        <v>n/a</v>
      </c>
      <c r="G44" s="29">
        <f>IFERROR((1+G43)/((1+G41)*(1+G42))-1,"n/a")</f>
        <v>0.020060180541624728</v>
      </c>
      <c r="H44" s="3"/>
    </row>
    <row r="45">
      <c r="A45" s="3"/>
      <c r="B45" s="26"/>
      <c r="C45" s="26"/>
      <c r="D45" s="26"/>
      <c r="E45" s="26"/>
      <c r="F45" s="26"/>
      <c r="G45" s="64"/>
      <c r="H45" s="3"/>
    </row>
    <row r="46">
      <c r="A46" s="49" t="s">
        <v>33</v>
      </c>
      <c r="B46" s="25"/>
      <c r="C46" s="25"/>
      <c r="D46" s="25"/>
      <c r="E46" s="25"/>
      <c r="F46" s="25"/>
      <c r="G46" s="61"/>
      <c r="H46" s="3"/>
    </row>
    <row r="47">
      <c r="A47" s="28" t="s">
        <v>33</v>
      </c>
      <c r="B47" s="63">
        <v>3220</v>
      </c>
      <c r="C47" s="63">
        <v>3406</v>
      </c>
      <c r="D47" s="63">
        <v>3073</v>
      </c>
      <c r="E47" s="63">
        <v>2757</v>
      </c>
      <c r="F47" s="52">
        <f>SUM(B47:E47)</f>
        <v>12456</v>
      </c>
      <c r="G47" s="51">
        <f>B47*(1+G33)</f>
        <v>3274.74</v>
      </c>
      <c r="H47" s="3" t="s">
        <v>135</v>
      </c>
    </row>
    <row r="48">
      <c r="A48" s="46" t="s">
        <v>70</v>
      </c>
      <c r="B48" s="20">
        <f>B47/B81-1</f>
        <v>0.023196695265331968</v>
      </c>
      <c r="C48" s="20">
        <f>C47/C81-1</f>
        <v>0.04832256078793473</v>
      </c>
      <c r="D48" s="20">
        <f>D47/D81-1</f>
        <v>0.06701388888888893</v>
      </c>
      <c r="E48" s="20">
        <f>E47/E81-1</f>
        <v>0.01285819250551068</v>
      </c>
      <c r="F48" s="20">
        <f>F47/F81-1</f>
        <v>0.038173028838139667</v>
      </c>
      <c r="G48" s="29">
        <f>G47/G81-1</f>
        <v>0.016999999999999904</v>
      </c>
      <c r="H48" s="3"/>
    </row>
    <row r="49">
      <c r="A49" s="46" t="s">
        <v>71</v>
      </c>
      <c r="B49" s="20" t="s">
        <v>41</v>
      </c>
      <c r="C49" s="20">
        <f>C47/B47-1</f>
        <v>0.05776397515527942</v>
      </c>
      <c r="D49" s="20">
        <f>D47/C47-1</f>
        <v>-0.09776864357017023</v>
      </c>
      <c r="E49" s="20">
        <f>E47/D47-1</f>
        <v>-0.10283110966482267</v>
      </c>
      <c r="F49" s="20" t="s">
        <v>41</v>
      </c>
      <c r="G49" s="29">
        <f>G47/E47-1</f>
        <v>0.18779107725788902</v>
      </c>
      <c r="H49" s="3"/>
    </row>
    <row r="50">
      <c r="A50" s="41" t="s">
        <v>72</v>
      </c>
      <c r="B50" s="22" t="s">
        <v>41</v>
      </c>
      <c r="C50" s="22">
        <f>C47-B47</f>
        <v>186</v>
      </c>
      <c r="D50" s="22">
        <f>D47-C47</f>
        <v>-333</v>
      </c>
      <c r="E50" s="22">
        <f>E47-D47</f>
        <v>-316</v>
      </c>
      <c r="F50" s="22" t="s">
        <v>41</v>
      </c>
      <c r="G50" s="27">
        <f>G47-E47</f>
        <v>517.7399999999998</v>
      </c>
      <c r="H50" s="3"/>
    </row>
    <row r="51">
      <c r="A51" s="46" t="s">
        <v>136</v>
      </c>
      <c r="B51" s="21">
        <f>B47/'Revenue summary'!B39</f>
        <v>0.1438398999374609</v>
      </c>
      <c r="C51" s="21">
        <f>C47/'Revenue summary'!C39</f>
        <v>0.15336815561959655</v>
      </c>
      <c r="D51" s="21">
        <f>D47/'Revenue summary'!D39</f>
        <v>0.14471391570520367</v>
      </c>
      <c r="E51" s="21">
        <f>E47/'Revenue summary'!E39</f>
        <v>0.13002876951374806</v>
      </c>
      <c r="F51" s="21">
        <f>F47/'Revenue summary'!F39</f>
        <v>0.14311977203787113</v>
      </c>
      <c r="G51" s="85">
        <f>G47/'Revenue summary'!G39</f>
        <v>0.14329670014226664</v>
      </c>
      <c r="H51" s="3"/>
    </row>
    <row r="52">
      <c r="A52" s="3"/>
      <c r="B52" s="26"/>
      <c r="C52" s="26"/>
      <c r="D52" s="26"/>
      <c r="E52" s="26"/>
      <c r="F52" s="26"/>
      <c r="G52" s="64"/>
      <c r="H52" s="3"/>
    </row>
    <row r="53">
      <c r="A53" s="49" t="s">
        <v>137</v>
      </c>
      <c r="B53" s="25"/>
      <c r="C53" s="25"/>
      <c r="D53" s="25"/>
      <c r="E53" s="25"/>
      <c r="F53" s="25"/>
      <c r="G53" s="61"/>
      <c r="H53" s="3"/>
    </row>
    <row r="54">
      <c r="A54" s="11" t="s">
        <v>167</v>
      </c>
      <c r="B54" s="20" t="s">
        <v>41</v>
      </c>
      <c r="C54" s="20" t="s">
        <v>41</v>
      </c>
      <c r="D54" s="20" t="s">
        <v>41</v>
      </c>
      <c r="E54" s="20" t="s">
        <v>41</v>
      </c>
      <c r="F54" s="17">
        <v>0.08</v>
      </c>
      <c r="G54" s="29" t="s">
        <v>41</v>
      </c>
      <c r="H54" s="3" t="s">
        <v>139</v>
      </c>
    </row>
    <row r="55">
      <c r="A55" s="41" t="s">
        <v>168</v>
      </c>
      <c r="B55" s="22" t="s">
        <v>41</v>
      </c>
      <c r="C55" s="22" t="s">
        <v>41</v>
      </c>
      <c r="D55" s="22" t="s">
        <v>41</v>
      </c>
      <c r="E55" s="22" t="s">
        <v>41</v>
      </c>
      <c r="F55" s="35">
        <f>F54*'Revenue summary'!F39</f>
        <v>6962.56</v>
      </c>
      <c r="G55" s="27" t="s">
        <v>41</v>
      </c>
      <c r="H55" s="3"/>
    </row>
    <row r="56">
      <c r="A56" s="11" t="s">
        <v>169</v>
      </c>
      <c r="B56" s="20" t="s">
        <v>41</v>
      </c>
      <c r="C56" s="20" t="s">
        <v>41</v>
      </c>
      <c r="D56" s="20" t="s">
        <v>41</v>
      </c>
      <c r="E56" s="20" t="s">
        <v>41</v>
      </c>
      <c r="F56" s="17">
        <v>0.06</v>
      </c>
      <c r="G56" s="29" t="s">
        <v>41</v>
      </c>
      <c r="H56" s="3" t="s">
        <v>139</v>
      </c>
    </row>
    <row r="57">
      <c r="A57" s="41" t="s">
        <v>170</v>
      </c>
      <c r="B57" s="22" t="s">
        <v>41</v>
      </c>
      <c r="C57" s="22" t="s">
        <v>41</v>
      </c>
      <c r="D57" s="22" t="s">
        <v>41</v>
      </c>
      <c r="E57" s="22" t="s">
        <v>41</v>
      </c>
      <c r="F57" s="35">
        <f>F56*'Revenue summary'!F39</f>
        <v>5221.92</v>
      </c>
      <c r="G57" s="27" t="s">
        <v>41</v>
      </c>
      <c r="H57" s="3"/>
    </row>
    <row r="58">
      <c r="A58" s="28" t="s">
        <v>145</v>
      </c>
      <c r="B58" s="52" t="s">
        <v>41</v>
      </c>
      <c r="C58" s="52" t="s">
        <v>41</v>
      </c>
      <c r="D58" s="52" t="s">
        <v>41</v>
      </c>
      <c r="E58" s="52" t="s">
        <v>41</v>
      </c>
      <c r="F58" s="52">
        <f>F55+F57</f>
        <v>12184.48</v>
      </c>
      <c r="G58" s="51" t="s">
        <v>41</v>
      </c>
      <c r="H58" s="3"/>
    </row>
    <row r="59">
      <c r="A59" s="41" t="s">
        <v>146</v>
      </c>
      <c r="B59" s="22" t="s">
        <v>41</v>
      </c>
      <c r="C59" s="22" t="s">
        <v>41</v>
      </c>
      <c r="D59" s="22" t="s">
        <v>41</v>
      </c>
      <c r="E59" s="22" t="s">
        <v>41</v>
      </c>
      <c r="F59" s="22">
        <f>F47-F58</f>
        <v>271.52000000000044</v>
      </c>
      <c r="G59" s="27" t="s">
        <v>41</v>
      </c>
      <c r="H59" s="3"/>
    </row>
    <row r="60">
      <c r="A60" s="3"/>
      <c r="B60" s="26"/>
      <c r="C60" s="26"/>
      <c r="D60" s="26"/>
      <c r="E60" s="26"/>
      <c r="F60" s="26"/>
      <c r="G60" s="64"/>
      <c r="H60" s="3"/>
    </row>
    <row r="61">
      <c r="A61" s="49" t="s">
        <v>147</v>
      </c>
      <c r="B61" s="25"/>
      <c r="C61" s="25"/>
      <c r="D61" s="25"/>
      <c r="E61" s="25"/>
      <c r="F61" s="25"/>
      <c r="G61" s="61"/>
      <c r="H61" s="3"/>
    </row>
    <row r="62">
      <c r="A62" s="28" t="s">
        <v>148</v>
      </c>
      <c r="B62" s="63">
        <v>937</v>
      </c>
      <c r="C62" s="63">
        <v>1009</v>
      </c>
      <c r="D62" s="63">
        <v>768</v>
      </c>
      <c r="E62" s="63">
        <v>449</v>
      </c>
      <c r="F62" s="52">
        <f>SUM(B62:E62)</f>
        <v>3163</v>
      </c>
      <c r="G62" s="51">
        <f>G47*G66</f>
        <v>903.8078999999998</v>
      </c>
      <c r="H62" s="3" t="s">
        <v>149</v>
      </c>
    </row>
    <row r="63">
      <c r="A63" s="46" t="s">
        <v>70</v>
      </c>
      <c r="B63" s="20">
        <f>B62/B82-1</f>
        <v>-0.016789087093389332</v>
      </c>
      <c r="C63" s="20">
        <f>C62/C82-1</f>
        <v>0.035934291581108724</v>
      </c>
      <c r="D63" s="20">
        <f>D62/D82-1</f>
        <v>0.04632152588555849</v>
      </c>
      <c r="E63" s="20">
        <f>E62/E82-1</f>
        <v>-0.07802874743326493</v>
      </c>
      <c r="F63" s="20">
        <f>F62/F82-1</f>
        <v>0.004445855827246659</v>
      </c>
      <c r="G63" s="29">
        <f>G62/G82-1</f>
        <v>-0.03542379935965867</v>
      </c>
      <c r="H63" s="3"/>
    </row>
    <row r="64">
      <c r="A64" s="46" t="s">
        <v>71</v>
      </c>
      <c r="B64" s="20" t="s">
        <v>41</v>
      </c>
      <c r="C64" s="20">
        <f>C62/B62-1</f>
        <v>0.0768409818569904</v>
      </c>
      <c r="D64" s="20">
        <f>D62/C62-1</f>
        <v>-0.23885034687809714</v>
      </c>
      <c r="E64" s="20">
        <f>E62/D62-1</f>
        <v>-0.41536458333333337</v>
      </c>
      <c r="F64" s="20" t="s">
        <v>41</v>
      </c>
      <c r="G64" s="29">
        <f>G62/E62-1</f>
        <v>1.0129351893095762</v>
      </c>
      <c r="H64" s="3"/>
    </row>
    <row r="65">
      <c r="A65" s="41" t="s">
        <v>72</v>
      </c>
      <c r="B65" s="22" t="s">
        <v>41</v>
      </c>
      <c r="C65" s="22">
        <f>C62-B62</f>
        <v>72</v>
      </c>
      <c r="D65" s="22">
        <f>D62-C62</f>
        <v>-241</v>
      </c>
      <c r="E65" s="22">
        <f>E62-D62</f>
        <v>-319</v>
      </c>
      <c r="F65" s="22" t="s">
        <v>41</v>
      </c>
      <c r="G65" s="27">
        <f>G62-E62</f>
        <v>454.8078999999998</v>
      </c>
      <c r="H65" s="3"/>
    </row>
    <row r="66">
      <c r="A66" s="11" t="s">
        <v>150</v>
      </c>
      <c r="B66" s="20">
        <f>IFERROR(B62/B47,"n/a")</f>
        <v>0.29099378881987575</v>
      </c>
      <c r="C66" s="20">
        <f>IFERROR(C62/C47,"n/a")</f>
        <v>0.2962419260129184</v>
      </c>
      <c r="D66" s="20">
        <f>IFERROR(D62/D47,"n/a")</f>
        <v>0.24991864627399935</v>
      </c>
      <c r="E66" s="20">
        <f>IFERROR(E62/E47,"n/a")</f>
        <v>0.1628581791802684</v>
      </c>
      <c r="F66" s="20">
        <f>IFERROR(F62/F47,"n/a")</f>
        <v>0.2539338471419396</v>
      </c>
      <c r="G66" s="29">
        <f>B66+G68/10000</f>
        <v>0.27599378881987574</v>
      </c>
      <c r="H66" s="3"/>
    </row>
    <row r="67">
      <c r="A67" s="41" t="s">
        <v>151</v>
      </c>
      <c r="B67" s="66" t="s">
        <v>41</v>
      </c>
      <c r="C67" s="66">
        <f>(C66-B66)*10000</f>
        <v>52.481371930426235</v>
      </c>
      <c r="D67" s="66">
        <f>(D66-C66)*10000</f>
        <v>-463.2327973891903</v>
      </c>
      <c r="E67" s="66">
        <f>(E66-D66)*10000</f>
        <v>-870.6046709373094</v>
      </c>
      <c r="F67" s="66" t="s">
        <v>41</v>
      </c>
      <c r="G67" s="69">
        <f>(G66-E66)*10000</f>
        <v>1131.3560963960733</v>
      </c>
      <c r="H67" s="3"/>
    </row>
    <row r="68">
      <c r="A68" s="41" t="s">
        <v>152</v>
      </c>
      <c r="B68" s="66">
        <f>(B66-B82/B81)*10000</f>
        <v>-118.34301424801741</v>
      </c>
      <c r="C68" s="66">
        <f>(C66-C82/C81)*10000</f>
        <v>-35.426230791099634</v>
      </c>
      <c r="D68" s="66">
        <f>(D66-D82/D81)*10000</f>
        <v>-49.424648371117485</v>
      </c>
      <c r="E68" s="66">
        <f>(E66-E82/E81)*10000</f>
        <v>-160.54385110694125</v>
      </c>
      <c r="F68" s="66">
        <f>(F66-F82/F81)*10000</f>
        <v>-85.26562926405134</v>
      </c>
      <c r="G68" s="78">
        <v>-150</v>
      </c>
      <c r="H68" s="3"/>
    </row>
    <row r="69">
      <c r="A69" s="28" t="s">
        <v>153</v>
      </c>
      <c r="B69" s="63">
        <v>718</v>
      </c>
      <c r="C69" s="63">
        <v>770</v>
      </c>
      <c r="D69" s="63">
        <v>579</v>
      </c>
      <c r="E69" s="63">
        <v>336</v>
      </c>
      <c r="F69" s="52">
        <f>SUM(B69:E69)</f>
        <v>2403</v>
      </c>
      <c r="G69" s="51">
        <f>G62*(1-G76)</f>
        <v>692.565712059765</v>
      </c>
      <c r="H69" s="3" t="s">
        <v>86</v>
      </c>
    </row>
    <row r="70">
      <c r="A70" s="46" t="s">
        <v>70</v>
      </c>
      <c r="B70" s="20">
        <f>B69/B83-1</f>
        <v>-0.031039136302294157</v>
      </c>
      <c r="C70" s="20">
        <f>C69/C83-1</f>
        <v>0.0158311345646438</v>
      </c>
      <c r="D70" s="20">
        <f>D69/D83-1</f>
        <v>0.017574692442882345</v>
      </c>
      <c r="E70" s="20">
        <f>E69/E83-1</f>
        <v>-0.09677419354838712</v>
      </c>
      <c r="F70" s="20">
        <f>F69/F83-1</f>
        <v>-0.015163934426229542</v>
      </c>
      <c r="G70" s="29">
        <f>G69/G83-1</f>
        <v>-0.03542379935965878</v>
      </c>
      <c r="H70" s="3"/>
    </row>
    <row r="71">
      <c r="A71" s="46" t="s">
        <v>71</v>
      </c>
      <c r="B71" s="20" t="s">
        <v>41</v>
      </c>
      <c r="C71" s="20">
        <f>C69/B69-1</f>
        <v>0.07242339832869082</v>
      </c>
      <c r="D71" s="20">
        <f>D69/C69-1</f>
        <v>-0.24805194805194808</v>
      </c>
      <c r="E71" s="20">
        <f>E69/D69-1</f>
        <v>-0.4196891191709845</v>
      </c>
      <c r="F71" s="20" t="s">
        <v>41</v>
      </c>
      <c r="G71" s="29">
        <f>G69/E69-1</f>
        <v>1.0612074763683483</v>
      </c>
      <c r="H71" s="3"/>
    </row>
    <row r="72">
      <c r="A72" s="41" t="s">
        <v>72</v>
      </c>
      <c r="B72" s="22" t="s">
        <v>41</v>
      </c>
      <c r="C72" s="22">
        <f>C69-B69</f>
        <v>52</v>
      </c>
      <c r="D72" s="22">
        <f>D69-C69</f>
        <v>-191</v>
      </c>
      <c r="E72" s="22">
        <f>E69-D69</f>
        <v>-243</v>
      </c>
      <c r="F72" s="22" t="s">
        <v>41</v>
      </c>
      <c r="G72" s="27">
        <f>G69-E69</f>
        <v>356.565712059765</v>
      </c>
      <c r="H72" s="3"/>
    </row>
    <row r="73">
      <c r="A73" s="11" t="s">
        <v>154</v>
      </c>
      <c r="B73" s="20">
        <f>IFERROR(B69/B47,"n/a")</f>
        <v>0.22298136645962732</v>
      </c>
      <c r="C73" s="20">
        <f>IFERROR(C69/C47,"n/a")</f>
        <v>0.22607163828537874</v>
      </c>
      <c r="D73" s="20">
        <f>IFERROR(D69/D47,"n/a")</f>
        <v>0.18841522941750732</v>
      </c>
      <c r="E73" s="20">
        <f>IFERROR(E69/E47,"n/a")</f>
        <v>0.12187159956474429</v>
      </c>
      <c r="F73" s="20">
        <f>IFERROR(F69/F47,"n/a")</f>
        <v>0.19291907514450868</v>
      </c>
      <c r="G73" s="29">
        <f>IFERROR(G69/G47,"n/a")</f>
        <v>0.21148723625685248</v>
      </c>
      <c r="H73" s="3"/>
    </row>
    <row r="74">
      <c r="A74" s="41" t="s">
        <v>151</v>
      </c>
      <c r="B74" s="66" t="s">
        <v>41</v>
      </c>
      <c r="C74" s="66">
        <f>(C73-B73)*10000</f>
        <v>30.902718257514174</v>
      </c>
      <c r="D74" s="66">
        <f>(D73-C73)*10000</f>
        <v>-376.56408867871414</v>
      </c>
      <c r="E74" s="66">
        <f>(E73-D73)*10000</f>
        <v>-665.4362985276304</v>
      </c>
      <c r="F74" s="66" t="s">
        <v>41</v>
      </c>
      <c r="G74" s="69">
        <f>(G73-E73)*10000</f>
        <v>896.1563669210819</v>
      </c>
      <c r="H74" s="3"/>
    </row>
    <row r="75">
      <c r="A75" s="41" t="s">
        <v>152</v>
      </c>
      <c r="B75" s="66">
        <f>(B73-B83/B81)*10000</f>
        <v>-124.80978630935114</v>
      </c>
      <c r="C75" s="66">
        <f>(C73-C83/C81)*10000</f>
        <v>-72.30916346815775</v>
      </c>
      <c r="D75" s="66">
        <f>(D73-D83/D81)*10000</f>
        <v>-91.54215026937112</v>
      </c>
      <c r="E75" s="66">
        <f>(E73-E83/E81)*10000</f>
        <v>-147.92617922397514</v>
      </c>
      <c r="F75" s="66">
        <f>(F73-F83/F81)*10000</f>
        <v>-104.48152726803217</v>
      </c>
      <c r="G75" s="69">
        <f>(G73-G83/G81)*10000</f>
        <v>-114.94130202774843</v>
      </c>
      <c r="H75" s="3"/>
    </row>
    <row r="76">
      <c r="A76" s="11" t="s">
        <v>155</v>
      </c>
      <c r="B76" s="20">
        <f>1-B69/B62</f>
        <v>0.23372465314834578</v>
      </c>
      <c r="C76" s="20">
        <f>1-C69/C62</f>
        <v>0.23686818632309214</v>
      </c>
      <c r="D76" s="20">
        <f>1-D69/D62</f>
        <v>0.24609375</v>
      </c>
      <c r="E76" s="20">
        <f>1-E69/E62</f>
        <v>0.25167037861915365</v>
      </c>
      <c r="F76" s="20">
        <f>1-F69/F62</f>
        <v>0.24027821688270634</v>
      </c>
      <c r="G76" s="29">
        <f>B76</f>
        <v>0.23372465314834578</v>
      </c>
      <c r="H76" s="3"/>
    </row>
    <row r="77">
      <c r="A77" s="41" t="s">
        <v>156</v>
      </c>
      <c r="B77" s="66" t="s">
        <v>41</v>
      </c>
      <c r="C77" s="66">
        <f>(C76-B76)*10000</f>
        <v>31.4353317474636</v>
      </c>
      <c r="D77" s="66">
        <f>(D76-C76)*10000</f>
        <v>92.25563676907855</v>
      </c>
      <c r="E77" s="66">
        <f>(E76-D76)*10000</f>
        <v>55.76628619153645</v>
      </c>
      <c r="F77" s="66" t="s">
        <v>41</v>
      </c>
      <c r="G77" s="69">
        <f>(G76-E76)*10000</f>
        <v>-179.4572547080786</v>
      </c>
      <c r="H77" s="3"/>
    </row>
    <row r="78">
      <c r="A78" s="41" t="s">
        <v>157</v>
      </c>
      <c r="B78" s="66">
        <f>(B76-(1-B83/B82))*10000</f>
        <v>112.69249160937633</v>
      </c>
      <c r="C78" s="66">
        <f>(C76-(1-C83/C82))*10000</f>
        <v>151.02272565391982</v>
      </c>
      <c r="D78" s="66">
        <f>(D76-(1-D83/D82))*10000</f>
        <v>212.9810967302448</v>
      </c>
      <c r="E78" s="66">
        <f>(E76-(1-E83/E82))*10000</f>
        <v>155.30748229009905</v>
      </c>
      <c r="F78" s="66">
        <f>(F76-(1-F83/F82))*10000</f>
        <v>151.27375345710513</v>
      </c>
      <c r="G78" s="69">
        <f>(G76-(1-G83/G82))*10000</f>
        <v>0</v>
      </c>
      <c r="H78" s="3"/>
    </row>
    <row r="79">
      <c r="A79" s="3"/>
      <c r="B79" s="26"/>
      <c r="C79" s="26"/>
      <c r="D79" s="26"/>
      <c r="E79" s="26"/>
      <c r="F79" s="26"/>
      <c r="G79" s="64"/>
      <c r="H79" s="3"/>
    </row>
    <row r="80">
      <c r="A80" s="49" t="s">
        <v>158</v>
      </c>
      <c r="B80" s="25"/>
      <c r="C80" s="25"/>
      <c r="D80" s="25"/>
      <c r="E80" s="25"/>
      <c r="F80" s="25"/>
      <c r="G80" s="61"/>
      <c r="H80" s="3"/>
    </row>
    <row r="81">
      <c r="A81" s="41" t="s">
        <v>159</v>
      </c>
      <c r="B81" s="44">
        <v>3147</v>
      </c>
      <c r="C81" s="44">
        <v>3249</v>
      </c>
      <c r="D81" s="44">
        <v>2880</v>
      </c>
      <c r="E81" s="44">
        <v>2722</v>
      </c>
      <c r="F81" s="44">
        <v>11998</v>
      </c>
      <c r="G81" s="27">
        <f>B47</f>
        <v>3220</v>
      </c>
      <c r="H81" s="3" t="s">
        <v>160</v>
      </c>
    </row>
    <row r="82">
      <c r="A82" s="41" t="s">
        <v>161</v>
      </c>
      <c r="B82" s="44">
        <v>953</v>
      </c>
      <c r="C82" s="44">
        <v>974</v>
      </c>
      <c r="D82" s="44">
        <v>734</v>
      </c>
      <c r="E82" s="44">
        <v>487</v>
      </c>
      <c r="F82" s="44">
        <v>3149</v>
      </c>
      <c r="G82" s="27">
        <f>B62</f>
        <v>937</v>
      </c>
      <c r="H82" s="3" t="s">
        <v>160</v>
      </c>
    </row>
    <row r="83">
      <c r="A83" s="41" t="s">
        <v>162</v>
      </c>
      <c r="B83" s="44">
        <v>741</v>
      </c>
      <c r="C83" s="44">
        <v>758</v>
      </c>
      <c r="D83" s="44">
        <v>569</v>
      </c>
      <c r="E83" s="44">
        <v>372</v>
      </c>
      <c r="F83" s="44">
        <v>2440</v>
      </c>
      <c r="G83" s="27">
        <f>B69</f>
        <v>718</v>
      </c>
      <c r="H83" s="3" t="s">
        <v>160</v>
      </c>
    </row>
    <row r="84">
      <c r="A84" s="46" t="s">
        <v>115</v>
      </c>
      <c r="B84" s="17">
        <v>-0.01</v>
      </c>
      <c r="C84" s="17">
        <v>0</v>
      </c>
      <c r="D84" s="17">
        <v>-0.01</v>
      </c>
      <c r="E84" s="17">
        <v>-0.02</v>
      </c>
      <c r="F84" s="17">
        <v>-0.01</v>
      </c>
      <c r="G84" s="29">
        <f>B15</f>
        <v>-0.02</v>
      </c>
      <c r="H84" s="3" t="s">
        <v>160</v>
      </c>
    </row>
    <row r="85">
      <c r="A85" s="46" t="s">
        <v>117</v>
      </c>
      <c r="B85" s="17">
        <v>-0.01</v>
      </c>
      <c r="C85" s="17">
        <v>0</v>
      </c>
      <c r="D85" s="17">
        <v>-0.01</v>
      </c>
      <c r="E85" s="17">
        <v>-0.02</v>
      </c>
      <c r="F85" s="17">
        <v>-0.01</v>
      </c>
      <c r="G85" s="29">
        <f>B9</f>
        <v>-0.02</v>
      </c>
      <c r="H85" s="3" t="s">
        <v>160</v>
      </c>
    </row>
    <row r="86">
      <c r="A86" s="46" t="s">
        <v>118</v>
      </c>
      <c r="B86" s="17">
        <v>0.01</v>
      </c>
      <c r="C86" s="17">
        <v>0.01</v>
      </c>
      <c r="D86" s="17">
        <v>0.01</v>
      </c>
      <c r="E86" s="17">
        <v>0.01</v>
      </c>
      <c r="F86" s="17">
        <v>0.01</v>
      </c>
      <c r="G86" s="29">
        <f>B18</f>
        <v>0.01</v>
      </c>
      <c r="H86" s="3" t="s">
        <v>160</v>
      </c>
    </row>
    <row r="87">
      <c r="A87" s="46" t="s">
        <v>119</v>
      </c>
      <c r="B87" s="17">
        <v>0.04</v>
      </c>
      <c r="C87" s="17">
        <v>0.02</v>
      </c>
      <c r="D87" s="17">
        <v>0.03</v>
      </c>
      <c r="E87" s="17">
        <v>0.03</v>
      </c>
      <c r="F87" s="17">
        <v>0.03</v>
      </c>
      <c r="G87" s="29">
        <f>B21</f>
        <v>0.02</v>
      </c>
      <c r="H87" s="3" t="s">
        <v>160</v>
      </c>
    </row>
    <row r="88">
      <c r="A88" s="46" t="s">
        <v>120</v>
      </c>
      <c r="B88" s="17">
        <v>-0.01</v>
      </c>
      <c r="C88" s="17">
        <v>0</v>
      </c>
      <c r="D88" s="17">
        <v>-0.03</v>
      </c>
      <c r="E88" s="17">
        <v>0</v>
      </c>
      <c r="F88" s="17">
        <v>-0.01</v>
      </c>
      <c r="G88" s="29">
        <f>B27</f>
        <v>0.01</v>
      </c>
      <c r="H88" s="3" t="s">
        <v>160</v>
      </c>
    </row>
    <row r="89">
      <c r="A89" s="46" t="s">
        <v>121</v>
      </c>
      <c r="B89" s="17">
        <v>-0.01</v>
      </c>
      <c r="C89" s="17">
        <v>-0.01</v>
      </c>
      <c r="D89" s="17">
        <v>0</v>
      </c>
      <c r="E89" s="17">
        <v>0</v>
      </c>
      <c r="F89" s="17">
        <v>0</v>
      </c>
      <c r="G89" s="29">
        <f>B30</f>
        <v>0</v>
      </c>
      <c r="H89" s="3" t="s">
        <v>160</v>
      </c>
    </row>
    <row r="90">
      <c r="A90" s="46" t="s">
        <v>122</v>
      </c>
      <c r="B90" s="17">
        <v>0.02</v>
      </c>
      <c r="C90" s="17">
        <v>0.02</v>
      </c>
      <c r="D90" s="17">
        <v>0</v>
      </c>
      <c r="E90" s="17">
        <v>0.02</v>
      </c>
      <c r="F90" s="17">
        <v>0.02</v>
      </c>
      <c r="G90" s="29">
        <f>B33</f>
        <v>0.02</v>
      </c>
      <c r="H90" s="3" t="s">
        <v>160</v>
      </c>
    </row>
    <row r="91">
      <c r="A91" s="46" t="s">
        <v>123</v>
      </c>
      <c r="B91" s="17">
        <v>0.04</v>
      </c>
      <c r="C91" s="17">
        <v>0.03</v>
      </c>
      <c r="D91" s="17">
        <v>0.04</v>
      </c>
      <c r="E91" s="17">
        <v>0.02</v>
      </c>
      <c r="F91" s="20" t="s">
        <v>41</v>
      </c>
      <c r="G91" s="29">
        <f>B24</f>
        <v>0.01</v>
      </c>
      <c r="H91" s="3" t="s">
        <v>160</v>
      </c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1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171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125</v>
      </c>
      <c r="B8" s="25"/>
      <c r="C8" s="25"/>
      <c r="D8" s="25"/>
      <c r="E8" s="25"/>
      <c r="F8" s="25"/>
      <c r="G8" s="61"/>
      <c r="H8" s="3"/>
    </row>
    <row r="9">
      <c r="A9" s="11" t="s">
        <v>95</v>
      </c>
      <c r="B9" s="17">
        <v>-0.02</v>
      </c>
      <c r="C9" s="17">
        <v>0</v>
      </c>
      <c r="D9" s="17">
        <v>0.02</v>
      </c>
      <c r="E9" s="17">
        <v>0.01</v>
      </c>
      <c r="F9" s="17">
        <v>0</v>
      </c>
      <c r="G9" s="72">
        <v>0.025</v>
      </c>
      <c r="H9" s="3" t="s">
        <v>126</v>
      </c>
    </row>
    <row r="10">
      <c r="A10" s="41" t="s">
        <v>93</v>
      </c>
      <c r="B10" s="66" t="s">
        <v>41</v>
      </c>
      <c r="C10" s="66">
        <f>(C9-B9)*10000</f>
        <v>200</v>
      </c>
      <c r="D10" s="66">
        <f>(D9-C9)*10000</f>
        <v>200</v>
      </c>
      <c r="E10" s="66">
        <f>(E9-D9)*10000</f>
        <v>-100</v>
      </c>
      <c r="F10" s="66" t="s">
        <v>41</v>
      </c>
      <c r="G10" s="69">
        <f>(G9-E9)*10000</f>
        <v>150</v>
      </c>
      <c r="H10" s="3"/>
    </row>
    <row r="11">
      <c r="A11" s="41" t="s">
        <v>94</v>
      </c>
      <c r="B11" s="66">
        <f>IFERROR((B9-B85)*10000,"n/a")</f>
        <v>-300</v>
      </c>
      <c r="C11" s="66">
        <f>IFERROR((C9-C85)*10000,"n/a")</f>
        <v>-200</v>
      </c>
      <c r="D11" s="66">
        <f>IFERROR((D9-D85)*10000,"n/a")</f>
        <v>200</v>
      </c>
      <c r="E11" s="66">
        <f>IFERROR((E9-E85)*10000,"n/a")</f>
        <v>100</v>
      </c>
      <c r="F11" s="66">
        <f>IFERROR((F9-F85)*10000,"n/a")</f>
        <v>-100</v>
      </c>
      <c r="G11" s="69">
        <f>IFERROR((G9-G85)*10000,"n/a")</f>
        <v>450</v>
      </c>
      <c r="H11" s="3"/>
    </row>
    <row r="12">
      <c r="A12" s="11" t="s">
        <v>127</v>
      </c>
      <c r="B12" s="20">
        <f>B15-B9</f>
        <v>0</v>
      </c>
      <c r="C12" s="20">
        <f>C15-C9</f>
        <v>0</v>
      </c>
      <c r="D12" s="20">
        <f>D15-D9</f>
        <v>0</v>
      </c>
      <c r="E12" s="20">
        <f>E15-E9</f>
        <v>0</v>
      </c>
      <c r="F12" s="20">
        <f>F15-F9</f>
        <v>0</v>
      </c>
      <c r="G12" s="72">
        <v>0</v>
      </c>
      <c r="H12" s="3"/>
    </row>
    <row r="13">
      <c r="A13" s="41" t="s">
        <v>93</v>
      </c>
      <c r="B13" s="66" t="s">
        <v>41</v>
      </c>
      <c r="C13" s="66">
        <f>(C12-B12)*10000</f>
        <v>0</v>
      </c>
      <c r="D13" s="66">
        <f>(D12-C12)*10000</f>
        <v>0</v>
      </c>
      <c r="E13" s="66">
        <f>(E12-D12)*10000</f>
        <v>0</v>
      </c>
      <c r="F13" s="66" t="s">
        <v>41</v>
      </c>
      <c r="G13" s="69">
        <f>(G12-E12)*10000</f>
        <v>0</v>
      </c>
      <c r="H13" s="3"/>
    </row>
    <row r="14">
      <c r="A14" s="41" t="s">
        <v>94</v>
      </c>
      <c r="B14" s="66">
        <f>(B12-(B84-B85))*10000</f>
        <v>0</v>
      </c>
      <c r="C14" s="66">
        <f>(C12-(C84-C85))*10000</f>
        <v>100</v>
      </c>
      <c r="D14" s="66">
        <f>(D12-(D84-D85))*10000</f>
        <v>100</v>
      </c>
      <c r="E14" s="66">
        <f>(E12-(E84-E85))*10000</f>
        <v>0</v>
      </c>
      <c r="F14" s="66">
        <f>(F12-(F84-F85))*10000</f>
        <v>100</v>
      </c>
      <c r="G14" s="69">
        <f>(G12-(G84-G85))*10000</f>
        <v>0</v>
      </c>
      <c r="H14" s="3"/>
    </row>
    <row r="15">
      <c r="A15" s="11" t="s">
        <v>91</v>
      </c>
      <c r="B15" s="17">
        <v>-0.02</v>
      </c>
      <c r="C15" s="17">
        <v>0</v>
      </c>
      <c r="D15" s="17">
        <v>0.02</v>
      </c>
      <c r="E15" s="17">
        <v>0.01</v>
      </c>
      <c r="F15" s="17">
        <v>0</v>
      </c>
      <c r="G15" s="29">
        <f>G9+G12</f>
        <v>0.025</v>
      </c>
      <c r="H15" s="3" t="s">
        <v>92</v>
      </c>
    </row>
    <row r="16">
      <c r="A16" s="41" t="s">
        <v>93</v>
      </c>
      <c r="B16" s="66" t="s">
        <v>41</v>
      </c>
      <c r="C16" s="66">
        <f>(C15-B15)*10000</f>
        <v>200</v>
      </c>
      <c r="D16" s="66">
        <f>(D15-C15)*10000</f>
        <v>200</v>
      </c>
      <c r="E16" s="66">
        <f>(E15-D15)*10000</f>
        <v>-100</v>
      </c>
      <c r="F16" s="66" t="s">
        <v>41</v>
      </c>
      <c r="G16" s="69">
        <f>(G15-E15)*10000</f>
        <v>150</v>
      </c>
      <c r="H16" s="3"/>
    </row>
    <row r="17">
      <c r="A17" s="41" t="s">
        <v>94</v>
      </c>
      <c r="B17" s="66">
        <f>IFERROR((B15-B84)*10000,"n/a")</f>
        <v>-300</v>
      </c>
      <c r="C17" s="66">
        <f>IFERROR((C15-C84)*10000,"n/a")</f>
        <v>-100</v>
      </c>
      <c r="D17" s="66">
        <f>IFERROR((D15-D84)*10000,"n/a")</f>
        <v>300</v>
      </c>
      <c r="E17" s="66">
        <f>IFERROR((E15-E84)*10000,"n/a")</f>
        <v>100</v>
      </c>
      <c r="F17" s="66">
        <f>IFERROR((F15-F84)*10000,"n/a")</f>
        <v>0</v>
      </c>
      <c r="G17" s="69">
        <f>IFERROR((G15-G84)*10000,"n/a")</f>
        <v>450</v>
      </c>
      <c r="H17" s="3"/>
    </row>
    <row r="18">
      <c r="A18" s="11" t="s">
        <v>96</v>
      </c>
      <c r="B18" s="17">
        <v>0.01</v>
      </c>
      <c r="C18" s="17">
        <v>0.01</v>
      </c>
      <c r="D18" s="17">
        <v>0.01</v>
      </c>
      <c r="E18" s="17">
        <v>0</v>
      </c>
      <c r="F18" s="17">
        <v>0.01</v>
      </c>
      <c r="G18" s="72">
        <v>0.005</v>
      </c>
      <c r="H18" s="3" t="s">
        <v>126</v>
      </c>
    </row>
    <row r="19">
      <c r="A19" s="41" t="s">
        <v>93</v>
      </c>
      <c r="B19" s="66" t="s">
        <v>41</v>
      </c>
      <c r="C19" s="66">
        <f>(C18-B18)*10000</f>
        <v>0</v>
      </c>
      <c r="D19" s="66">
        <f>(D18-C18)*10000</f>
        <v>0</v>
      </c>
      <c r="E19" s="66">
        <f>(E18-D18)*10000</f>
        <v>-100</v>
      </c>
      <c r="F19" s="66" t="s">
        <v>41</v>
      </c>
      <c r="G19" s="69">
        <f>(G18-E18)*10000</f>
        <v>50</v>
      </c>
      <c r="H19" s="3"/>
    </row>
    <row r="20">
      <c r="A20" s="41" t="s">
        <v>94</v>
      </c>
      <c r="B20" s="66">
        <f>IFERROR((B18-B86)*10000,"n/a")</f>
        <v>100</v>
      </c>
      <c r="C20" s="66">
        <f>IFERROR((C18-C86)*10000,"n/a")</f>
        <v>100</v>
      </c>
      <c r="D20" s="66">
        <f>IFERROR((D18-D86)*10000,"n/a")</f>
        <v>100</v>
      </c>
      <c r="E20" s="66">
        <f>IFERROR((E18-E86)*10000,"n/a")</f>
        <v>-100</v>
      </c>
      <c r="F20" s="66">
        <f>IFERROR((F18-F86)*10000,"n/a")</f>
        <v>100</v>
      </c>
      <c r="G20" s="69">
        <f>IFERROR((G18-G86)*10000,"n/a")</f>
        <v>-50</v>
      </c>
      <c r="H20" s="3"/>
    </row>
    <row r="21">
      <c r="A21" s="11" t="s">
        <v>97</v>
      </c>
      <c r="B21" s="17">
        <v>0</v>
      </c>
      <c r="C21" s="17">
        <v>-0.01</v>
      </c>
      <c r="D21" s="17">
        <v>0</v>
      </c>
      <c r="E21" s="17">
        <v>0</v>
      </c>
      <c r="F21" s="17">
        <v>0</v>
      </c>
      <c r="G21" s="72">
        <v>0</v>
      </c>
      <c r="H21" s="3" t="s">
        <v>126</v>
      </c>
    </row>
    <row r="22">
      <c r="A22" s="41" t="s">
        <v>93</v>
      </c>
      <c r="B22" s="66" t="s">
        <v>41</v>
      </c>
      <c r="C22" s="66">
        <f>(C21-B21)*10000</f>
        <v>-100</v>
      </c>
      <c r="D22" s="66">
        <f>(D21-C21)*10000</f>
        <v>100</v>
      </c>
      <c r="E22" s="66">
        <f>(E21-D21)*10000</f>
        <v>0</v>
      </c>
      <c r="F22" s="66" t="s">
        <v>41</v>
      </c>
      <c r="G22" s="69">
        <f>(G21-E21)*10000</f>
        <v>0</v>
      </c>
      <c r="H22" s="3"/>
    </row>
    <row r="23">
      <c r="A23" s="41" t="s">
        <v>94</v>
      </c>
      <c r="B23" s="66">
        <f>IFERROR((B21-B87)*10000,"n/a")</f>
        <v>-100</v>
      </c>
      <c r="C23" s="66">
        <f>IFERROR((C21-C87)*10000,"n/a")</f>
        <v>-200</v>
      </c>
      <c r="D23" s="66">
        <f>IFERROR((D21-D87)*10000,"n/a")</f>
        <v>0</v>
      </c>
      <c r="E23" s="66">
        <f>IFERROR((E21-E87)*10000,"n/a")</f>
        <v>0</v>
      </c>
      <c r="F23" s="66">
        <f>IFERROR((F21-F87)*10000,"n/a")</f>
        <v>-100</v>
      </c>
      <c r="G23" s="69">
        <f>IFERROR((G21-G87)*10000,"n/a")</f>
        <v>0</v>
      </c>
      <c r="H23" s="3"/>
    </row>
    <row r="24">
      <c r="A24" s="11" t="s">
        <v>101</v>
      </c>
      <c r="B24" s="17">
        <v>0</v>
      </c>
      <c r="C24" s="17">
        <v>0</v>
      </c>
      <c r="D24" s="17">
        <v>0.03</v>
      </c>
      <c r="E24" s="17">
        <v>0</v>
      </c>
      <c r="F24" s="20" t="s">
        <v>41</v>
      </c>
      <c r="G24" s="29">
        <f>G9+G18+G21</f>
        <v>0.030000000000000002</v>
      </c>
      <c r="H24" s="3" t="s">
        <v>86</v>
      </c>
    </row>
    <row r="25">
      <c r="A25" s="41" t="s">
        <v>93</v>
      </c>
      <c r="B25" s="66" t="s">
        <v>41</v>
      </c>
      <c r="C25" s="66">
        <f>(C24-B24)*10000</f>
        <v>0</v>
      </c>
      <c r="D25" s="66">
        <f>(D24-C24)*10000</f>
        <v>300</v>
      </c>
      <c r="E25" s="66">
        <f>(E24-D24)*10000</f>
        <v>-300</v>
      </c>
      <c r="F25" s="66" t="s">
        <v>41</v>
      </c>
      <c r="G25" s="69">
        <f>(G24-E24)*10000</f>
        <v>300</v>
      </c>
      <c r="H25" s="3"/>
    </row>
    <row r="26">
      <c r="A26" s="41" t="s">
        <v>94</v>
      </c>
      <c r="B26" s="66">
        <f>IFERROR((B24-B91)*10000,"n/a")</f>
        <v>-300</v>
      </c>
      <c r="C26" s="66">
        <f>IFERROR((C24-C91)*10000,"n/a")</f>
        <v>-300</v>
      </c>
      <c r="D26" s="66">
        <f>IFERROR((D24-D91)*10000,"n/a")</f>
        <v>300</v>
      </c>
      <c r="E26" s="66">
        <f>IFERROR((E24-E91)*10000,"n/a")</f>
        <v>-100</v>
      </c>
      <c r="F26" s="66" t="str">
        <f>IFERROR((F24-F91)*10000,"n/a")</f>
        <v>n/a</v>
      </c>
      <c r="G26" s="69">
        <f>IFERROR((G24-G91)*10000,"n/a")</f>
        <v>300</v>
      </c>
      <c r="H26" s="3"/>
    </row>
    <row r="27">
      <c r="A27" s="11" t="s">
        <v>98</v>
      </c>
      <c r="B27" s="17">
        <v>0.02</v>
      </c>
      <c r="C27" s="17">
        <v>0.01</v>
      </c>
      <c r="D27" s="17">
        <v>0.04</v>
      </c>
      <c r="E27" s="17">
        <v>0</v>
      </c>
      <c r="F27" s="17">
        <v>0.01</v>
      </c>
      <c r="G27" s="72">
        <v>-0.003</v>
      </c>
      <c r="H27" s="3" t="s">
        <v>128</v>
      </c>
    </row>
    <row r="28">
      <c r="A28" s="41" t="s">
        <v>93</v>
      </c>
      <c r="B28" s="66" t="s">
        <v>41</v>
      </c>
      <c r="C28" s="66">
        <f>(C27-B27)*10000</f>
        <v>-100</v>
      </c>
      <c r="D28" s="66">
        <f>(D27-C27)*10000</f>
        <v>300</v>
      </c>
      <c r="E28" s="66">
        <f>(E27-D27)*10000</f>
        <v>-400</v>
      </c>
      <c r="F28" s="66" t="s">
        <v>41</v>
      </c>
      <c r="G28" s="69">
        <f>(G27-E27)*10000</f>
        <v>-30</v>
      </c>
      <c r="H28" s="3"/>
    </row>
    <row r="29">
      <c r="A29" s="41" t="s">
        <v>94</v>
      </c>
      <c r="B29" s="66">
        <f>IFERROR((B27-B88)*10000,"n/a")</f>
        <v>300</v>
      </c>
      <c r="C29" s="66">
        <f>IFERROR((C27-C88)*10000,"n/a")</f>
        <v>100</v>
      </c>
      <c r="D29" s="66">
        <f>IFERROR((D27-D88)*10000,"n/a")</f>
        <v>600</v>
      </c>
      <c r="E29" s="66">
        <f>IFERROR((E27-E88)*10000,"n/a")</f>
        <v>-100</v>
      </c>
      <c r="F29" s="66">
        <f>IFERROR((F27-F88)*10000,"n/a")</f>
        <v>200</v>
      </c>
      <c r="G29" s="69">
        <f>IFERROR((G27-G88)*10000,"n/a")</f>
        <v>-230</v>
      </c>
      <c r="H29" s="3"/>
    </row>
    <row r="30">
      <c r="A30" s="11" t="s">
        <v>129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72">
        <v>0</v>
      </c>
      <c r="H30" s="3" t="s">
        <v>92</v>
      </c>
    </row>
    <row r="31">
      <c r="A31" s="41" t="s">
        <v>93</v>
      </c>
      <c r="B31" s="66" t="s">
        <v>41</v>
      </c>
      <c r="C31" s="66">
        <f>(C30-B30)*10000</f>
        <v>0</v>
      </c>
      <c r="D31" s="66">
        <f>(D30-C30)*10000</f>
        <v>0</v>
      </c>
      <c r="E31" s="66">
        <f>(E30-D30)*10000</f>
        <v>0</v>
      </c>
      <c r="F31" s="66" t="s">
        <v>41</v>
      </c>
      <c r="G31" s="69">
        <f>(G30-E30)*10000</f>
        <v>0</v>
      </c>
      <c r="H31" s="3"/>
    </row>
    <row r="32">
      <c r="A32" s="41" t="s">
        <v>94</v>
      </c>
      <c r="B32" s="66">
        <f>(B30-B89)*10000</f>
        <v>0</v>
      </c>
      <c r="C32" s="66">
        <f>(C30-C89)*10000</f>
        <v>0</v>
      </c>
      <c r="D32" s="66">
        <f>(D30-D89)*10000</f>
        <v>0</v>
      </c>
      <c r="E32" s="66">
        <f>(E30-E89)*10000</f>
        <v>0</v>
      </c>
      <c r="F32" s="66">
        <f>(F30-F89)*10000</f>
        <v>0</v>
      </c>
      <c r="G32" s="69">
        <f>(G30-G89)*10000</f>
        <v>0</v>
      </c>
      <c r="H32" s="3"/>
    </row>
    <row r="33">
      <c r="A33" s="62" t="s">
        <v>100</v>
      </c>
      <c r="B33" s="75">
        <v>0.01</v>
      </c>
      <c r="C33" s="75">
        <v>0.01</v>
      </c>
      <c r="D33" s="75">
        <v>0.07</v>
      </c>
      <c r="E33" s="75">
        <v>0.01</v>
      </c>
      <c r="F33" s="75">
        <v>0.02</v>
      </c>
      <c r="G33" s="73">
        <f>G15+G27+G18+G21+G30</f>
        <v>0.027000000000000003</v>
      </c>
      <c r="H33" s="3" t="s">
        <v>92</v>
      </c>
    </row>
    <row r="34">
      <c r="A34" s="41" t="s">
        <v>93</v>
      </c>
      <c r="B34" s="66" t="s">
        <v>41</v>
      </c>
      <c r="C34" s="66">
        <f>(C33-B33)*10000</f>
        <v>0</v>
      </c>
      <c r="D34" s="66">
        <f>(D33-C33)*10000</f>
        <v>600</v>
      </c>
      <c r="E34" s="66">
        <f>(E33-D33)*10000</f>
        <v>-600</v>
      </c>
      <c r="F34" s="66" t="s">
        <v>41</v>
      </c>
      <c r="G34" s="69">
        <f>(G33-E33)*10000</f>
        <v>170</v>
      </c>
      <c r="H34" s="3"/>
    </row>
    <row r="35">
      <c r="A35" s="41" t="s">
        <v>94</v>
      </c>
      <c r="B35" s="66">
        <f>IFERROR((B33-B90)*10000,"n/a")</f>
        <v>0</v>
      </c>
      <c r="C35" s="66">
        <f>IFERROR((C33-C90)*10000,"n/a")</f>
        <v>-100</v>
      </c>
      <c r="D35" s="66">
        <f>IFERROR((D33-D90)*10000,"n/a")</f>
        <v>1000</v>
      </c>
      <c r="E35" s="66">
        <f>IFERROR((E33-E90)*10000,"n/a")</f>
        <v>-100</v>
      </c>
      <c r="F35" s="66">
        <f>IFERROR((F33-F90)*10000,"n/a")</f>
        <v>200</v>
      </c>
      <c r="G35" s="69">
        <f>IFERROR((G33-G90)*10000,"n/a")</f>
        <v>170</v>
      </c>
      <c r="H35" s="3"/>
    </row>
    <row r="36">
      <c r="A36" s="3"/>
      <c r="B36" s="26"/>
      <c r="C36" s="26"/>
      <c r="D36" s="26"/>
      <c r="E36" s="26"/>
      <c r="F36" s="26"/>
      <c r="G36" s="64"/>
      <c r="H36" s="3"/>
    </row>
    <row r="37">
      <c r="A37" s="49" t="s">
        <v>130</v>
      </c>
      <c r="B37" s="25"/>
      <c r="C37" s="25"/>
      <c r="D37" s="25"/>
      <c r="E37" s="25"/>
      <c r="F37" s="25"/>
      <c r="G37" s="61"/>
      <c r="H37" s="3"/>
    </row>
    <row r="38">
      <c r="A38" s="11" t="s">
        <v>131</v>
      </c>
      <c r="B38" s="17">
        <v>-0.02</v>
      </c>
      <c r="C38" s="17">
        <v>-0.01</v>
      </c>
      <c r="D38" s="17">
        <v>-0.04</v>
      </c>
      <c r="E38" s="17">
        <v>0</v>
      </c>
      <c r="F38" s="20" t="s">
        <v>41</v>
      </c>
      <c r="G38" s="29">
        <f>-G27</f>
        <v>0.003</v>
      </c>
      <c r="H38" s="3" t="s">
        <v>86</v>
      </c>
    </row>
    <row r="39">
      <c r="A39" s="11" t="s">
        <v>132</v>
      </c>
      <c r="B39" s="17">
        <v>0.01</v>
      </c>
      <c r="C39" s="17">
        <v>0</v>
      </c>
      <c r="D39" s="17">
        <v>0</v>
      </c>
      <c r="E39" s="17">
        <v>-0.01</v>
      </c>
      <c r="F39" s="20" t="s">
        <v>41</v>
      </c>
      <c r="G39" s="29">
        <f>-(G12+G30)</f>
        <v>0</v>
      </c>
      <c r="H39" s="3" t="s">
        <v>86</v>
      </c>
    </row>
    <row r="40">
      <c r="A40" s="11" t="s">
        <v>133</v>
      </c>
      <c r="B40" s="20">
        <f>B24</f>
        <v>0</v>
      </c>
      <c r="C40" s="20">
        <f>C24</f>
        <v>0</v>
      </c>
      <c r="D40" s="20">
        <f>D24</f>
        <v>0.03</v>
      </c>
      <c r="E40" s="20">
        <f>E24</f>
        <v>0</v>
      </c>
      <c r="F40" s="20" t="str">
        <f>F24</f>
        <v>n/a</v>
      </c>
      <c r="G40" s="29">
        <f>G24</f>
        <v>0.030000000000000002</v>
      </c>
      <c r="H40" s="3"/>
    </row>
    <row r="41">
      <c r="A41" s="11" t="s">
        <v>104</v>
      </c>
      <c r="B41" s="20">
        <f>IFERROR(-B39,"n/a")</f>
        <v>-0.01</v>
      </c>
      <c r="C41" s="20">
        <f>IFERROR(-C39,"n/a")</f>
        <v>0</v>
      </c>
      <c r="D41" s="20">
        <f>IFERROR(-D39,"n/a")</f>
        <v>0</v>
      </c>
      <c r="E41" s="20">
        <f>IFERROR(-E39,"n/a")</f>
        <v>0.01</v>
      </c>
      <c r="F41" s="20" t="str">
        <f>IFERROR(-F39,"n/a")</f>
        <v>n/a</v>
      </c>
      <c r="G41" s="29">
        <f>IFERROR(-G39,"n/a")</f>
        <v>0</v>
      </c>
      <c r="H41" s="3"/>
    </row>
    <row r="42">
      <c r="A42" s="11" t="s">
        <v>134</v>
      </c>
      <c r="B42" s="20">
        <f>IFERROR(-B38,"n/a")</f>
        <v>0.02</v>
      </c>
      <c r="C42" s="20">
        <f>IFERROR(-C38,"n/a")</f>
        <v>0.01</v>
      </c>
      <c r="D42" s="20">
        <f>IFERROR(-D38,"n/a")</f>
        <v>0.04</v>
      </c>
      <c r="E42" s="20">
        <f>IFERROR(-E38,"n/a")</f>
        <v>0</v>
      </c>
      <c r="F42" s="20" t="str">
        <f>IFERROR(-F38,"n/a")</f>
        <v>n/a</v>
      </c>
      <c r="G42" s="29">
        <f>IFERROR(-G38,"n/a")</f>
        <v>-0.003</v>
      </c>
      <c r="H42" s="3"/>
    </row>
    <row r="43">
      <c r="A43" s="11" t="s">
        <v>106</v>
      </c>
      <c r="B43" s="20">
        <f>B33</f>
        <v>0.01</v>
      </c>
      <c r="C43" s="20">
        <f>C33</f>
        <v>0.01</v>
      </c>
      <c r="D43" s="20">
        <f>D33</f>
        <v>0.07</v>
      </c>
      <c r="E43" s="20">
        <f>E33</f>
        <v>0.01</v>
      </c>
      <c r="F43" s="20">
        <f>F33</f>
        <v>0.02</v>
      </c>
      <c r="G43" s="29">
        <f>G33</f>
        <v>0.027000000000000003</v>
      </c>
      <c r="H43" s="3"/>
    </row>
    <row r="44">
      <c r="A44" s="11" t="s">
        <v>107</v>
      </c>
      <c r="B44" s="20">
        <f>IFERROR((1+B43)/((1+B41)*(1+B42))-1,"n/a")</f>
        <v>0.00019805902158842592</v>
      </c>
      <c r="C44" s="20">
        <f>IFERROR((1+C43)/((1+C41)*(1+C42))-1,"n/a")</f>
        <v>0</v>
      </c>
      <c r="D44" s="20">
        <f>IFERROR((1+D43)/((1+D41)*(1+D42))-1,"n/a")</f>
        <v>0.028846153846153966</v>
      </c>
      <c r="E44" s="20">
        <f>IFERROR((1+E43)/((1+E41)*(1+E42))-1,"n/a")</f>
        <v>0</v>
      </c>
      <c r="F44" s="20" t="str">
        <f>IFERROR((1+F43)/((1+F41)*(1+F42))-1,"n/a")</f>
        <v>n/a</v>
      </c>
      <c r="G44" s="29">
        <f>IFERROR((1+G43)/((1+G41)*(1+G42))-1,"n/a")</f>
        <v>0.030090270812437314</v>
      </c>
      <c r="H44" s="3"/>
    </row>
    <row r="45">
      <c r="A45" s="3"/>
      <c r="B45" s="26"/>
      <c r="C45" s="26"/>
      <c r="D45" s="26"/>
      <c r="E45" s="26"/>
      <c r="F45" s="26"/>
      <c r="G45" s="64"/>
      <c r="H45" s="3"/>
    </row>
    <row r="46">
      <c r="A46" s="49" t="s">
        <v>33</v>
      </c>
      <c r="B46" s="25"/>
      <c r="C46" s="25"/>
      <c r="D46" s="25"/>
      <c r="E46" s="25"/>
      <c r="F46" s="25"/>
      <c r="G46" s="61"/>
      <c r="H46" s="3"/>
    </row>
    <row r="47">
      <c r="A47" s="28" t="s">
        <v>33</v>
      </c>
      <c r="B47" s="63">
        <v>7793</v>
      </c>
      <c r="C47" s="63">
        <v>7686</v>
      </c>
      <c r="D47" s="63">
        <v>7403</v>
      </c>
      <c r="E47" s="63">
        <v>7432</v>
      </c>
      <c r="F47" s="52">
        <f>SUM(B47:E47)</f>
        <v>30314</v>
      </c>
      <c r="G47" s="51">
        <f>B47*(1+G33)</f>
        <v>8003.410999999999</v>
      </c>
      <c r="H47" s="3" t="s">
        <v>135</v>
      </c>
    </row>
    <row r="48">
      <c r="A48" s="46" t="s">
        <v>70</v>
      </c>
      <c r="B48" s="20">
        <f>B47/B81-1</f>
        <v>0.010765239948119287</v>
      </c>
      <c r="C48" s="20">
        <f>C47/C81-1</f>
        <v>0.014653465346534666</v>
      </c>
      <c r="D48" s="20">
        <f>D47/D81-1</f>
        <v>0.06548647092688542</v>
      </c>
      <c r="E48" s="20">
        <f>E47/E81-1</f>
        <v>0.006364251861882275</v>
      </c>
      <c r="F48" s="20">
        <f>F47/F81-1</f>
        <v>0.023533781274268195</v>
      </c>
      <c r="G48" s="29">
        <f>G47/G81-1</f>
        <v>0.026999999999999913</v>
      </c>
      <c r="H48" s="3"/>
    </row>
    <row r="49">
      <c r="A49" s="46" t="s">
        <v>71</v>
      </c>
      <c r="B49" s="20" t="s">
        <v>41</v>
      </c>
      <c r="C49" s="20">
        <f>C47/B47-1</f>
        <v>-0.013730270755806462</v>
      </c>
      <c r="D49" s="20">
        <f>D47/C47-1</f>
        <v>-0.03682019255789748</v>
      </c>
      <c r="E49" s="20">
        <f>E47/D47-1</f>
        <v>0.003917330811832986</v>
      </c>
      <c r="F49" s="20" t="s">
        <v>41</v>
      </c>
      <c r="G49" s="29">
        <f>G47/E47-1</f>
        <v>0.07688522604951542</v>
      </c>
      <c r="H49" s="3"/>
    </row>
    <row r="50">
      <c r="A50" s="41" t="s">
        <v>72</v>
      </c>
      <c r="B50" s="22" t="s">
        <v>41</v>
      </c>
      <c r="C50" s="22">
        <f>C47-B47</f>
        <v>-107</v>
      </c>
      <c r="D50" s="22">
        <f>D47-C47</f>
        <v>-283</v>
      </c>
      <c r="E50" s="22">
        <f>E47-D47</f>
        <v>29</v>
      </c>
      <c r="F50" s="22" t="s">
        <v>41</v>
      </c>
      <c r="G50" s="27">
        <f>G47-E47</f>
        <v>571.4109999999991</v>
      </c>
      <c r="H50" s="3"/>
    </row>
    <row r="51">
      <c r="A51" s="46" t="s">
        <v>136</v>
      </c>
      <c r="B51" s="21">
        <f>B47/'Revenue summary'!B39</f>
        <v>0.34811936031448226</v>
      </c>
      <c r="C51" s="21">
        <f>C47/'Revenue summary'!C39</f>
        <v>0.34609149855907784</v>
      </c>
      <c r="D51" s="21">
        <f>D47/'Revenue summary'!D39</f>
        <v>0.3486225570991288</v>
      </c>
      <c r="E51" s="21">
        <f>E47/'Revenue summary'!E39</f>
        <v>0.35051643635334623</v>
      </c>
      <c r="F51" s="21">
        <f>F47/'Revenue summary'!F39</f>
        <v>0.34830866807610994</v>
      </c>
      <c r="G51" s="85">
        <f>G47/'Revenue summary'!G39</f>
        <v>0.3502147914589611</v>
      </c>
      <c r="H51" s="3"/>
    </row>
    <row r="52">
      <c r="A52" s="3"/>
      <c r="B52" s="26"/>
      <c r="C52" s="26"/>
      <c r="D52" s="26"/>
      <c r="E52" s="26"/>
      <c r="F52" s="26"/>
      <c r="G52" s="64"/>
      <c r="H52" s="3"/>
    </row>
    <row r="53">
      <c r="A53" s="49" t="s">
        <v>137</v>
      </c>
      <c r="B53" s="25"/>
      <c r="C53" s="25"/>
      <c r="D53" s="25"/>
      <c r="E53" s="25"/>
      <c r="F53" s="25"/>
      <c r="G53" s="61"/>
      <c r="H53" s="3"/>
    </row>
    <row r="54">
      <c r="A54" s="11" t="s">
        <v>172</v>
      </c>
      <c r="B54" s="20" t="s">
        <v>41</v>
      </c>
      <c r="C54" s="20" t="s">
        <v>41</v>
      </c>
      <c r="D54" s="20" t="s">
        <v>41</v>
      </c>
      <c r="E54" s="20" t="s">
        <v>41</v>
      </c>
      <c r="F54" s="17">
        <v>0.23</v>
      </c>
      <c r="G54" s="29" t="s">
        <v>41</v>
      </c>
      <c r="H54" s="3" t="s">
        <v>139</v>
      </c>
    </row>
    <row r="55">
      <c r="A55" s="41" t="s">
        <v>173</v>
      </c>
      <c r="B55" s="22" t="s">
        <v>41</v>
      </c>
      <c r="C55" s="22" t="s">
        <v>41</v>
      </c>
      <c r="D55" s="22" t="s">
        <v>41</v>
      </c>
      <c r="E55" s="22" t="s">
        <v>41</v>
      </c>
      <c r="F55" s="35">
        <f>F54*'Revenue summary'!F39</f>
        <v>20017.36</v>
      </c>
      <c r="G55" s="27" t="s">
        <v>41</v>
      </c>
      <c r="H55" s="3"/>
    </row>
    <row r="56">
      <c r="A56" s="11" t="s">
        <v>174</v>
      </c>
      <c r="B56" s="20" t="s">
        <v>41</v>
      </c>
      <c r="C56" s="20" t="s">
        <v>41</v>
      </c>
      <c r="D56" s="20" t="s">
        <v>41</v>
      </c>
      <c r="E56" s="20" t="s">
        <v>41</v>
      </c>
      <c r="F56" s="17">
        <v>0.12</v>
      </c>
      <c r="G56" s="29" t="s">
        <v>41</v>
      </c>
      <c r="H56" s="3" t="s">
        <v>139</v>
      </c>
    </row>
    <row r="57">
      <c r="A57" s="41" t="s">
        <v>175</v>
      </c>
      <c r="B57" s="22" t="s">
        <v>41</v>
      </c>
      <c r="C57" s="22" t="s">
        <v>41</v>
      </c>
      <c r="D57" s="22" t="s">
        <v>41</v>
      </c>
      <c r="E57" s="22" t="s">
        <v>41</v>
      </c>
      <c r="F57" s="35">
        <f>F56*'Revenue summary'!F39</f>
        <v>10443.84</v>
      </c>
      <c r="G57" s="27" t="s">
        <v>41</v>
      </c>
      <c r="H57" s="3"/>
    </row>
    <row r="58">
      <c r="A58" s="28" t="s">
        <v>145</v>
      </c>
      <c r="B58" s="52" t="s">
        <v>41</v>
      </c>
      <c r="C58" s="52" t="s">
        <v>41</v>
      </c>
      <c r="D58" s="52" t="s">
        <v>41</v>
      </c>
      <c r="E58" s="52" t="s">
        <v>41</v>
      </c>
      <c r="F58" s="52">
        <f>F55+F57</f>
        <v>30461.2</v>
      </c>
      <c r="G58" s="51" t="s">
        <v>41</v>
      </c>
      <c r="H58" s="3"/>
    </row>
    <row r="59">
      <c r="A59" s="41" t="s">
        <v>146</v>
      </c>
      <c r="B59" s="22" t="s">
        <v>41</v>
      </c>
      <c r="C59" s="22" t="s">
        <v>41</v>
      </c>
      <c r="D59" s="22" t="s">
        <v>41</v>
      </c>
      <c r="E59" s="22" t="s">
        <v>41</v>
      </c>
      <c r="F59" s="22">
        <f>F47-F58</f>
        <v>-147.20000000000073</v>
      </c>
      <c r="G59" s="27" t="s">
        <v>41</v>
      </c>
      <c r="H59" s="3"/>
    </row>
    <row r="60">
      <c r="A60" s="3"/>
      <c r="B60" s="26"/>
      <c r="C60" s="26"/>
      <c r="D60" s="26"/>
      <c r="E60" s="26"/>
      <c r="F60" s="26"/>
      <c r="G60" s="64"/>
      <c r="H60" s="3"/>
    </row>
    <row r="61">
      <c r="A61" s="49" t="s">
        <v>147</v>
      </c>
      <c r="B61" s="25"/>
      <c r="C61" s="25"/>
      <c r="D61" s="25"/>
      <c r="E61" s="25"/>
      <c r="F61" s="25"/>
      <c r="G61" s="61"/>
      <c r="H61" s="3"/>
    </row>
    <row r="62">
      <c r="A62" s="28" t="s">
        <v>148</v>
      </c>
      <c r="B62" s="63">
        <v>2042</v>
      </c>
      <c r="C62" s="63">
        <v>1961</v>
      </c>
      <c r="D62" s="63">
        <v>1689</v>
      </c>
      <c r="E62" s="63">
        <v>1598</v>
      </c>
      <c r="F62" s="52">
        <f>SUM(B62:E62)</f>
        <v>7290</v>
      </c>
      <c r="G62" s="51">
        <f>G47*G66</f>
        <v>1921.0589579999998</v>
      </c>
      <c r="H62" s="3" t="s">
        <v>149</v>
      </c>
    </row>
    <row r="63">
      <c r="A63" s="46" t="s">
        <v>70</v>
      </c>
      <c r="B63" s="20">
        <f>B62/B82-1</f>
        <v>-0.016851227732306184</v>
      </c>
      <c r="C63" s="20">
        <f>C62/C82-1</f>
        <v>-0.014077425842131674</v>
      </c>
      <c r="D63" s="20">
        <f>D62/D82-1</f>
        <v>0.028623629719853882</v>
      </c>
      <c r="E63" s="20">
        <f>E62/E82-1</f>
        <v>-0.08737864077669899</v>
      </c>
      <c r="F63" s="20">
        <f>F62/F82-1</f>
        <v>-0.022657192653170677</v>
      </c>
      <c r="G63" s="29">
        <f>G62/G82-1</f>
        <v>-0.05922675905974539</v>
      </c>
      <c r="H63" s="3"/>
    </row>
    <row r="64">
      <c r="A64" s="46" t="s">
        <v>71</v>
      </c>
      <c r="B64" s="20" t="s">
        <v>41</v>
      </c>
      <c r="C64" s="20">
        <f>C62/B62-1</f>
        <v>-0.03966699314397648</v>
      </c>
      <c r="D64" s="20">
        <f>D62/C62-1</f>
        <v>-0.13870474247832743</v>
      </c>
      <c r="E64" s="20">
        <f>E62/D62-1</f>
        <v>-0.05387803433984606</v>
      </c>
      <c r="F64" s="20" t="s">
        <v>41</v>
      </c>
      <c r="G64" s="29">
        <f>G62/E62-1</f>
        <v>0.2021645544430537</v>
      </c>
      <c r="H64" s="3"/>
    </row>
    <row r="65">
      <c r="A65" s="41" t="s">
        <v>72</v>
      </c>
      <c r="B65" s="22" t="s">
        <v>41</v>
      </c>
      <c r="C65" s="22">
        <f>C62-B62</f>
        <v>-81</v>
      </c>
      <c r="D65" s="22">
        <f>D62-C62</f>
        <v>-272</v>
      </c>
      <c r="E65" s="22">
        <f>E62-D62</f>
        <v>-91</v>
      </c>
      <c r="F65" s="22" t="s">
        <v>41</v>
      </c>
      <c r="G65" s="27">
        <f>G62-E62</f>
        <v>323.05895799999985</v>
      </c>
      <c r="H65" s="3"/>
    </row>
    <row r="66">
      <c r="A66" s="11" t="s">
        <v>150</v>
      </c>
      <c r="B66" s="20">
        <f>IFERROR(B62/B47,"n/a")</f>
        <v>0.26203002694726035</v>
      </c>
      <c r="C66" s="20">
        <f>IFERROR(C62/C47,"n/a")</f>
        <v>0.2551392141556076</v>
      </c>
      <c r="D66" s="20">
        <f>IFERROR(D62/D47,"n/a")</f>
        <v>0.22815074969606916</v>
      </c>
      <c r="E66" s="20">
        <f>IFERROR(E62/E47,"n/a")</f>
        <v>0.215016146393972</v>
      </c>
      <c r="F66" s="20">
        <f>IFERROR(F62/F47,"n/a")</f>
        <v>0.24048294517384708</v>
      </c>
      <c r="G66" s="29">
        <f>B66+G68/10000</f>
        <v>0.24003002694726036</v>
      </c>
      <c r="H66" s="3"/>
    </row>
    <row r="67">
      <c r="A67" s="41" t="s">
        <v>151</v>
      </c>
      <c r="B67" s="66" t="s">
        <v>41</v>
      </c>
      <c r="C67" s="66">
        <f>(C66-B66)*10000</f>
        <v>-68.90812791652768</v>
      </c>
      <c r="D67" s="66">
        <f>(D66-C66)*10000</f>
        <v>-269.88464459538426</v>
      </c>
      <c r="E67" s="66">
        <f>(E66-D66)*10000</f>
        <v>-131.34603302097148</v>
      </c>
      <c r="F67" s="66" t="s">
        <v>41</v>
      </c>
      <c r="G67" s="69">
        <f>(G66-E66)*10000</f>
        <v>250.13880553288348</v>
      </c>
      <c r="H67" s="3"/>
    </row>
    <row r="68">
      <c r="A68" s="41" t="s">
        <v>152</v>
      </c>
      <c r="B68" s="66">
        <f>(B66-B82/B81)*10000</f>
        <v>-73.60375127966611</v>
      </c>
      <c r="C68" s="66">
        <f>(C66-C82/C81)*10000</f>
        <v>-74.35043270135</v>
      </c>
      <c r="D68" s="66">
        <f>(D66-D82/D81)*10000</f>
        <v>-81.76250879636082</v>
      </c>
      <c r="E68" s="66">
        <f>(E66-E82/E81)*10000</f>
        <v>-220.86087864660348</v>
      </c>
      <c r="F68" s="66">
        <f>(F66-F82/F81)*10000</f>
        <v>-113.65655292101512</v>
      </c>
      <c r="G68" s="78">
        <v>-220</v>
      </c>
      <c r="H68" s="3"/>
    </row>
    <row r="69">
      <c r="A69" s="28" t="s">
        <v>153</v>
      </c>
      <c r="B69" s="63">
        <v>1579</v>
      </c>
      <c r="C69" s="63">
        <v>1521</v>
      </c>
      <c r="D69" s="63">
        <v>1300</v>
      </c>
      <c r="E69" s="63">
        <v>1233</v>
      </c>
      <c r="F69" s="52">
        <f>SUM(B69:E69)</f>
        <v>5633</v>
      </c>
      <c r="G69" s="51">
        <f>G62*(1-G76)</f>
        <v>1485.480947444662</v>
      </c>
      <c r="H69" s="3" t="s">
        <v>86</v>
      </c>
    </row>
    <row r="70">
      <c r="A70" s="46" t="s">
        <v>70</v>
      </c>
      <c r="B70" s="20">
        <f>B69/B83-1</f>
        <v>-0.025909932140653957</v>
      </c>
      <c r="C70" s="20">
        <f>C69/C83-1</f>
        <v>-0.02935545628589664</v>
      </c>
      <c r="D70" s="20">
        <f>D69/D83-1</f>
        <v>0.011673151750972721</v>
      </c>
      <c r="E70" s="20">
        <f>E69/E83-1</f>
        <v>-0.1032727272727273</v>
      </c>
      <c r="F70" s="20">
        <f>F69/F83-1</f>
        <v>-0.03676470588235292</v>
      </c>
      <c r="G70" s="29">
        <f>G69/G83-1</f>
        <v>-0.05922675905974539</v>
      </c>
      <c r="H70" s="3"/>
    </row>
    <row r="71">
      <c r="A71" s="46" t="s">
        <v>71</v>
      </c>
      <c r="B71" s="20" t="s">
        <v>41</v>
      </c>
      <c r="C71" s="20">
        <f>C69/B69-1</f>
        <v>-0.036732108929702356</v>
      </c>
      <c r="D71" s="20">
        <f>D69/C69-1</f>
        <v>-0.14529914529914534</v>
      </c>
      <c r="E71" s="20">
        <f>E69/D69-1</f>
        <v>-0.05153846153846153</v>
      </c>
      <c r="F71" s="20" t="s">
        <v>41</v>
      </c>
      <c r="G71" s="29">
        <f>G69/E69-1</f>
        <v>0.2047696248537405</v>
      </c>
      <c r="H71" s="3"/>
    </row>
    <row r="72">
      <c r="A72" s="41" t="s">
        <v>72</v>
      </c>
      <c r="B72" s="22" t="s">
        <v>41</v>
      </c>
      <c r="C72" s="22">
        <f>C69-B69</f>
        <v>-58</v>
      </c>
      <c r="D72" s="22">
        <f>D69-C69</f>
        <v>-221</v>
      </c>
      <c r="E72" s="22">
        <f>E69-D69</f>
        <v>-67</v>
      </c>
      <c r="F72" s="22" t="s">
        <v>41</v>
      </c>
      <c r="G72" s="27">
        <f>G69-E69</f>
        <v>252.48094744466198</v>
      </c>
      <c r="H72" s="3"/>
    </row>
    <row r="73">
      <c r="A73" s="11" t="s">
        <v>154</v>
      </c>
      <c r="B73" s="20">
        <f>IFERROR(B69/B47,"n/a")</f>
        <v>0.20261773386372386</v>
      </c>
      <c r="C73" s="20">
        <f>IFERROR(C69/C47,"n/a")</f>
        <v>0.19789227166276346</v>
      </c>
      <c r="D73" s="20">
        <f>IFERROR(D69/D47,"n/a")</f>
        <v>0.1756044846683777</v>
      </c>
      <c r="E73" s="20">
        <f>IFERROR(E69/E47,"n/a")</f>
        <v>0.16590419806243273</v>
      </c>
      <c r="F73" s="20">
        <f>IFERROR(F69/F47,"n/a")</f>
        <v>0.1858217325328231</v>
      </c>
      <c r="G73" s="29">
        <f>IFERROR(G69/G47,"n/a")</f>
        <v>0.18560598068057008</v>
      </c>
      <c r="H73" s="3"/>
    </row>
    <row r="74">
      <c r="A74" s="41" t="s">
        <v>151</v>
      </c>
      <c r="B74" s="66" t="s">
        <v>41</v>
      </c>
      <c r="C74" s="66">
        <f>(C73-B73)*10000</f>
        <v>-47.254622009604006</v>
      </c>
      <c r="D74" s="66">
        <f>(D73-C73)*10000</f>
        <v>-222.87786994385772</v>
      </c>
      <c r="E74" s="66">
        <f>(E73-D73)*10000</f>
        <v>-97.00286605944963</v>
      </c>
      <c r="F74" s="66" t="s">
        <v>41</v>
      </c>
      <c r="G74" s="69">
        <f>(G73-E73)*10000</f>
        <v>197.01782618137347</v>
      </c>
      <c r="H74" s="3"/>
    </row>
    <row r="75">
      <c r="A75" s="41" t="s">
        <v>152</v>
      </c>
      <c r="B75" s="66">
        <f>(B73-B83/B81)*10000</f>
        <v>-76.28699339907786</v>
      </c>
      <c r="C75" s="66">
        <f>(C73-C83/C81)*10000</f>
        <v>-89.724148058834</v>
      </c>
      <c r="D75" s="66">
        <f>(D73-D83/D81)*10000</f>
        <v>-93.40823333925135</v>
      </c>
      <c r="E75" s="66">
        <f>(E73-E83/E81)*10000</f>
        <v>-202.84021301142096</v>
      </c>
      <c r="F75" s="66">
        <f>(F73-F83/F81)*10000</f>
        <v>-116.32432304938989</v>
      </c>
      <c r="G75" s="69">
        <f>(G73-G83/G81)*10000</f>
        <v>-170.1175318315379</v>
      </c>
      <c r="H75" s="3"/>
    </row>
    <row r="76">
      <c r="A76" s="11" t="s">
        <v>155</v>
      </c>
      <c r="B76" s="20">
        <f>1-B69/B62</f>
        <v>0.22673849167482862</v>
      </c>
      <c r="C76" s="20">
        <f>1-C69/C62</f>
        <v>0.22437531871494132</v>
      </c>
      <c r="D76" s="20">
        <f>1-D69/D62</f>
        <v>0.23031379514505623</v>
      </c>
      <c r="E76" s="20">
        <f>1-E69/E62</f>
        <v>0.2284105131414268</v>
      </c>
      <c r="F76" s="20">
        <f>1-F69/F62</f>
        <v>0.22729766803840878</v>
      </c>
      <c r="G76" s="29">
        <f>B76</f>
        <v>0.22673849167482862</v>
      </c>
      <c r="H76" s="3"/>
    </row>
    <row r="77">
      <c r="A77" s="41" t="s">
        <v>156</v>
      </c>
      <c r="B77" s="66" t="s">
        <v>41</v>
      </c>
      <c r="C77" s="66">
        <f>(C76-B76)*10000</f>
        <v>-23.63172959887305</v>
      </c>
      <c r="D77" s="66">
        <f>(D76-C76)*10000</f>
        <v>59.38476430114914</v>
      </c>
      <c r="E77" s="66">
        <f>(E76-D76)*10000</f>
        <v>-19.03282003629436</v>
      </c>
      <c r="F77" s="66" t="s">
        <v>41</v>
      </c>
      <c r="G77" s="69">
        <f>(G76-E76)*10000</f>
        <v>-16.720214665981725</v>
      </c>
      <c r="H77" s="3"/>
    </row>
    <row r="78">
      <c r="A78" s="41" t="s">
        <v>157</v>
      </c>
      <c r="B78" s="66">
        <f>(B76-(1-B83/B82))*10000</f>
        <v>71.91067505353365</v>
      </c>
      <c r="C78" s="66">
        <f>(C76-(1-C83/C82))*10000</f>
        <v>122.08400665670305</v>
      </c>
      <c r="D78" s="66">
        <f>(D76-(1-D83/D82))*10000</f>
        <v>128.96011953826059</v>
      </c>
      <c r="E78" s="66">
        <f>(E76-(1-E83/E82))*10000</f>
        <v>136.760756771207</v>
      </c>
      <c r="F78" s="66">
        <f>(F76-(1-F83/F82))*10000</f>
        <v>113.16973575344002</v>
      </c>
      <c r="G78" s="69">
        <f>(G76-(1-G83/G82))*10000</f>
        <v>0</v>
      </c>
      <c r="H78" s="3"/>
    </row>
    <row r="79">
      <c r="A79" s="3"/>
      <c r="B79" s="26"/>
      <c r="C79" s="26"/>
      <c r="D79" s="26"/>
      <c r="E79" s="26"/>
      <c r="F79" s="26"/>
      <c r="G79" s="64"/>
      <c r="H79" s="3"/>
    </row>
    <row r="80">
      <c r="A80" s="49" t="s">
        <v>158</v>
      </c>
      <c r="B80" s="25"/>
      <c r="C80" s="25"/>
      <c r="D80" s="25"/>
      <c r="E80" s="25"/>
      <c r="F80" s="25"/>
      <c r="G80" s="61"/>
      <c r="H80" s="3"/>
    </row>
    <row r="81">
      <c r="A81" s="41" t="s">
        <v>159</v>
      </c>
      <c r="B81" s="44">
        <v>7710</v>
      </c>
      <c r="C81" s="44">
        <v>7575</v>
      </c>
      <c r="D81" s="44">
        <v>6948</v>
      </c>
      <c r="E81" s="44">
        <v>7385</v>
      </c>
      <c r="F81" s="44">
        <v>29617</v>
      </c>
      <c r="G81" s="27">
        <f>B47</f>
        <v>7793</v>
      </c>
      <c r="H81" s="3" t="s">
        <v>160</v>
      </c>
    </row>
    <row r="82">
      <c r="A82" s="41" t="s">
        <v>161</v>
      </c>
      <c r="B82" s="44">
        <v>2077</v>
      </c>
      <c r="C82" s="44">
        <v>1989</v>
      </c>
      <c r="D82" s="44">
        <v>1642</v>
      </c>
      <c r="E82" s="44">
        <v>1751</v>
      </c>
      <c r="F82" s="44">
        <v>7459</v>
      </c>
      <c r="G82" s="27">
        <f>B62</f>
        <v>2042</v>
      </c>
      <c r="H82" s="3" t="s">
        <v>160</v>
      </c>
    </row>
    <row r="83">
      <c r="A83" s="41" t="s">
        <v>162</v>
      </c>
      <c r="B83" s="44">
        <v>1621</v>
      </c>
      <c r="C83" s="44">
        <v>1567</v>
      </c>
      <c r="D83" s="44">
        <v>1285</v>
      </c>
      <c r="E83" s="44">
        <v>1375</v>
      </c>
      <c r="F83" s="44">
        <v>5848</v>
      </c>
      <c r="G83" s="27">
        <f>B69</f>
        <v>1579</v>
      </c>
      <c r="H83" s="3" t="s">
        <v>160</v>
      </c>
    </row>
    <row r="84">
      <c r="A84" s="46" t="s">
        <v>115</v>
      </c>
      <c r="B84" s="17">
        <v>0.01</v>
      </c>
      <c r="C84" s="17">
        <v>0.01</v>
      </c>
      <c r="D84" s="17">
        <v>-0.01</v>
      </c>
      <c r="E84" s="17">
        <v>0</v>
      </c>
      <c r="F84" s="17">
        <v>0</v>
      </c>
      <c r="G84" s="29">
        <f>B15</f>
        <v>-0.02</v>
      </c>
      <c r="H84" s="3" t="s">
        <v>160</v>
      </c>
    </row>
    <row r="85">
      <c r="A85" s="46" t="s">
        <v>117</v>
      </c>
      <c r="B85" s="17">
        <v>0.01</v>
      </c>
      <c r="C85" s="17">
        <v>0.02</v>
      </c>
      <c r="D85" s="17">
        <v>0</v>
      </c>
      <c r="E85" s="17">
        <v>0</v>
      </c>
      <c r="F85" s="17">
        <v>0.01</v>
      </c>
      <c r="G85" s="29">
        <f>B9</f>
        <v>-0.02</v>
      </c>
      <c r="H85" s="3" t="s">
        <v>160</v>
      </c>
    </row>
    <row r="86">
      <c r="A86" s="46" t="s">
        <v>118</v>
      </c>
      <c r="B86" s="17">
        <v>0</v>
      </c>
      <c r="C86" s="17">
        <v>0</v>
      </c>
      <c r="D86" s="17">
        <v>0</v>
      </c>
      <c r="E86" s="17">
        <v>0.01</v>
      </c>
      <c r="F86" s="17">
        <v>0</v>
      </c>
      <c r="G86" s="29">
        <f>B18</f>
        <v>0.01</v>
      </c>
      <c r="H86" s="3" t="s">
        <v>160</v>
      </c>
    </row>
    <row r="87">
      <c r="A87" s="46" t="s">
        <v>119</v>
      </c>
      <c r="B87" s="17">
        <v>0.01</v>
      </c>
      <c r="C87" s="17">
        <v>0.01</v>
      </c>
      <c r="D87" s="17">
        <v>0</v>
      </c>
      <c r="E87" s="17">
        <v>0</v>
      </c>
      <c r="F87" s="17">
        <v>0.01</v>
      </c>
      <c r="G87" s="29">
        <f>B21</f>
        <v>0</v>
      </c>
      <c r="H87" s="3" t="s">
        <v>160</v>
      </c>
    </row>
    <row r="88">
      <c r="A88" s="46" t="s">
        <v>120</v>
      </c>
      <c r="B88" s="17">
        <v>-0.01</v>
      </c>
      <c r="C88" s="17">
        <v>0</v>
      </c>
      <c r="D88" s="17">
        <v>-0.02</v>
      </c>
      <c r="E88" s="17">
        <v>0.01</v>
      </c>
      <c r="F88" s="17">
        <v>-0.01</v>
      </c>
      <c r="G88" s="29">
        <f>B27</f>
        <v>0.02</v>
      </c>
      <c r="H88" s="3" t="s">
        <v>160</v>
      </c>
    </row>
    <row r="89">
      <c r="A89" s="46" t="s">
        <v>121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29">
        <f>B30</f>
        <v>0</v>
      </c>
      <c r="H89" s="3" t="s">
        <v>160</v>
      </c>
    </row>
    <row r="90">
      <c r="A90" s="46" t="s">
        <v>122</v>
      </c>
      <c r="B90" s="17">
        <v>0.01</v>
      </c>
      <c r="C90" s="17">
        <v>0.02</v>
      </c>
      <c r="D90" s="17">
        <v>-0.03</v>
      </c>
      <c r="E90" s="17">
        <v>0.02</v>
      </c>
      <c r="F90" s="17">
        <v>0</v>
      </c>
      <c r="G90" s="29">
        <f>B33</f>
        <v>0.01</v>
      </c>
      <c r="H90" s="3" t="s">
        <v>160</v>
      </c>
    </row>
    <row r="91">
      <c r="A91" s="46" t="s">
        <v>123</v>
      </c>
      <c r="B91" s="17">
        <v>0.03</v>
      </c>
      <c r="C91" s="17">
        <v>0.03</v>
      </c>
      <c r="D91" s="17">
        <v>0</v>
      </c>
      <c r="E91" s="17">
        <v>0.01</v>
      </c>
      <c r="F91" s="20" t="s">
        <v>41</v>
      </c>
      <c r="G91" s="29">
        <f>B24</f>
        <v>0</v>
      </c>
      <c r="H91" s="3" t="s">
        <v>160</v>
      </c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93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176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125</v>
      </c>
      <c r="B8" s="25"/>
      <c r="C8" s="25"/>
      <c r="D8" s="25"/>
      <c r="E8" s="25"/>
      <c r="F8" s="25"/>
      <c r="G8" s="61"/>
      <c r="H8" s="3"/>
    </row>
    <row r="9">
      <c r="A9" s="11" t="s">
        <v>95</v>
      </c>
      <c r="B9" s="17">
        <v>0</v>
      </c>
      <c r="C9" s="17">
        <v>-0.05</v>
      </c>
      <c r="D9" s="17">
        <v>0.03</v>
      </c>
      <c r="E9" s="17">
        <v>-0.01</v>
      </c>
      <c r="F9" s="17">
        <v>-0.01</v>
      </c>
      <c r="G9" s="72">
        <v>0.015</v>
      </c>
      <c r="H9" s="3" t="s">
        <v>126</v>
      </c>
    </row>
    <row r="10">
      <c r="A10" s="41" t="s">
        <v>93</v>
      </c>
      <c r="B10" s="66" t="s">
        <v>41</v>
      </c>
      <c r="C10" s="66">
        <f>(C9-B9)*10000</f>
        <v>-500</v>
      </c>
      <c r="D10" s="66">
        <f>(D9-C9)*10000</f>
        <v>800</v>
      </c>
      <c r="E10" s="66">
        <f>(E9-D9)*10000</f>
        <v>-400</v>
      </c>
      <c r="F10" s="66" t="s">
        <v>41</v>
      </c>
      <c r="G10" s="69">
        <f>(G9-E9)*10000</f>
        <v>250</v>
      </c>
      <c r="H10" s="3"/>
    </row>
    <row r="11">
      <c r="A11" s="41" t="s">
        <v>94</v>
      </c>
      <c r="B11" s="66">
        <f>IFERROR((B9-B87)*10000,"n/a")</f>
        <v>100</v>
      </c>
      <c r="C11" s="66">
        <f>IFERROR((C9-C87)*10000,"n/a")</f>
        <v>-900</v>
      </c>
      <c r="D11" s="66">
        <f>IFERROR((D9-D87)*10000,"n/a")</f>
        <v>500</v>
      </c>
      <c r="E11" s="66">
        <f>IFERROR((E9-E87)*10000,"n/a")</f>
        <v>-100</v>
      </c>
      <c r="F11" s="66">
        <f>IFERROR((F9-F87)*10000,"n/a")</f>
        <v>-100</v>
      </c>
      <c r="G11" s="69">
        <f>IFERROR((G9-G87)*10000,"n/a")</f>
        <v>150</v>
      </c>
      <c r="H11" s="3"/>
    </row>
    <row r="12">
      <c r="A12" s="11" t="s">
        <v>127</v>
      </c>
      <c r="B12" s="20">
        <f>B15-B9</f>
        <v>0</v>
      </c>
      <c r="C12" s="20">
        <f>C15-C9</f>
        <v>0</v>
      </c>
      <c r="D12" s="20">
        <f>D15-D9</f>
        <v>0</v>
      </c>
      <c r="E12" s="20">
        <f>E15-E9</f>
        <v>0</v>
      </c>
      <c r="F12" s="20">
        <f>F15-F9</f>
        <v>0</v>
      </c>
      <c r="G12" s="72">
        <v>0</v>
      </c>
      <c r="H12" s="3"/>
    </row>
    <row r="13">
      <c r="A13" s="41" t="s">
        <v>93</v>
      </c>
      <c r="B13" s="66" t="s">
        <v>41</v>
      </c>
      <c r="C13" s="66">
        <f>(C12-B12)*10000</f>
        <v>0</v>
      </c>
      <c r="D13" s="66">
        <f>(D12-C12)*10000</f>
        <v>0</v>
      </c>
      <c r="E13" s="66">
        <f>(E12-D12)*10000</f>
        <v>0</v>
      </c>
      <c r="F13" s="66" t="s">
        <v>41</v>
      </c>
      <c r="G13" s="69">
        <f>(G12-E12)*10000</f>
        <v>0</v>
      </c>
      <c r="H13" s="3"/>
    </row>
    <row r="14">
      <c r="A14" s="41" t="s">
        <v>94</v>
      </c>
      <c r="B14" s="66">
        <f>(B12-(B86-B87))*10000</f>
        <v>0</v>
      </c>
      <c r="C14" s="66">
        <f>(C12-(C86-C87))*10000</f>
        <v>0</v>
      </c>
      <c r="D14" s="66">
        <f>(D12-(D86-D87))*10000</f>
        <v>0</v>
      </c>
      <c r="E14" s="66">
        <f>(E12-(E86-E87))*10000</f>
        <v>0</v>
      </c>
      <c r="F14" s="66">
        <f>(F12-(F86-F87))*10000</f>
        <v>0</v>
      </c>
      <c r="G14" s="69">
        <f>(G12-(G86-G87))*10000</f>
        <v>0</v>
      </c>
      <c r="H14" s="3"/>
    </row>
    <row r="15">
      <c r="A15" s="11" t="s">
        <v>91</v>
      </c>
      <c r="B15" s="17">
        <v>0</v>
      </c>
      <c r="C15" s="17">
        <v>-0.05</v>
      </c>
      <c r="D15" s="17">
        <v>0.03</v>
      </c>
      <c r="E15" s="17">
        <v>-0.01</v>
      </c>
      <c r="F15" s="17">
        <v>-0.01</v>
      </c>
      <c r="G15" s="29">
        <f>G9+G12</f>
        <v>0.015</v>
      </c>
      <c r="H15" s="3" t="s">
        <v>92</v>
      </c>
    </row>
    <row r="16">
      <c r="A16" s="41" t="s">
        <v>93</v>
      </c>
      <c r="B16" s="66" t="s">
        <v>41</v>
      </c>
      <c r="C16" s="66">
        <f>(C15-B15)*10000</f>
        <v>-500</v>
      </c>
      <c r="D16" s="66">
        <f>(D15-C15)*10000</f>
        <v>800</v>
      </c>
      <c r="E16" s="66">
        <f>(E15-D15)*10000</f>
        <v>-400</v>
      </c>
      <c r="F16" s="66" t="s">
        <v>41</v>
      </c>
      <c r="G16" s="69">
        <f>(G15-E15)*10000</f>
        <v>250</v>
      </c>
      <c r="H16" s="3"/>
    </row>
    <row r="17">
      <c r="A17" s="41" t="s">
        <v>94</v>
      </c>
      <c r="B17" s="66">
        <f>IFERROR((B15-B86)*10000,"n/a")</f>
        <v>100</v>
      </c>
      <c r="C17" s="66">
        <f>IFERROR((C15-C86)*10000,"n/a")</f>
        <v>-900</v>
      </c>
      <c r="D17" s="66">
        <f>IFERROR((D15-D86)*10000,"n/a")</f>
        <v>500</v>
      </c>
      <c r="E17" s="66">
        <f>IFERROR((E15-E86)*10000,"n/a")</f>
        <v>-100</v>
      </c>
      <c r="F17" s="66">
        <f>IFERROR((F15-F86)*10000,"n/a")</f>
        <v>-100</v>
      </c>
      <c r="G17" s="69">
        <f>IFERROR((G15-G86)*10000,"n/a")</f>
        <v>150</v>
      </c>
      <c r="H17" s="3"/>
    </row>
    <row r="18">
      <c r="A18" s="11" t="s">
        <v>96</v>
      </c>
      <c r="B18" s="17">
        <v>0</v>
      </c>
      <c r="C18" s="17">
        <v>0</v>
      </c>
      <c r="D18" s="17">
        <v>0</v>
      </c>
      <c r="E18" s="17">
        <v>-0.01</v>
      </c>
      <c r="F18" s="17">
        <v>0</v>
      </c>
      <c r="G18" s="72">
        <v>0</v>
      </c>
      <c r="H18" s="3" t="s">
        <v>126</v>
      </c>
    </row>
    <row r="19">
      <c r="A19" s="41" t="s">
        <v>93</v>
      </c>
      <c r="B19" s="66" t="s">
        <v>41</v>
      </c>
      <c r="C19" s="66">
        <f>(C18-B18)*10000</f>
        <v>0</v>
      </c>
      <c r="D19" s="66">
        <f>(D18-C18)*10000</f>
        <v>0</v>
      </c>
      <c r="E19" s="66">
        <f>(E18-D18)*10000</f>
        <v>-100</v>
      </c>
      <c r="F19" s="66" t="s">
        <v>41</v>
      </c>
      <c r="G19" s="69">
        <f>(G18-E18)*10000</f>
        <v>100</v>
      </c>
      <c r="H19" s="3"/>
    </row>
    <row r="20">
      <c r="A20" s="41" t="s">
        <v>94</v>
      </c>
      <c r="B20" s="66">
        <f>IFERROR((B18-B88)*10000,"n/a")</f>
        <v>0</v>
      </c>
      <c r="C20" s="66">
        <f>IFERROR((C18-C88)*10000,"n/a")</f>
        <v>100</v>
      </c>
      <c r="D20" s="66">
        <f>IFERROR((D18-D88)*10000,"n/a")</f>
        <v>0</v>
      </c>
      <c r="E20" s="66">
        <f>IFERROR((E18-E88)*10000,"n/a")</f>
        <v>-200</v>
      </c>
      <c r="F20" s="66">
        <f>IFERROR((F18-F88)*10000,"n/a")</f>
        <v>0</v>
      </c>
      <c r="G20" s="69">
        <f>IFERROR((G18-G88)*10000,"n/a")</f>
        <v>0</v>
      </c>
      <c r="H20" s="3"/>
    </row>
    <row r="21">
      <c r="A21" s="11" t="s">
        <v>97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72">
        <v>0</v>
      </c>
      <c r="H21" s="3" t="s">
        <v>126</v>
      </c>
    </row>
    <row r="22">
      <c r="A22" s="41" t="s">
        <v>93</v>
      </c>
      <c r="B22" s="66" t="s">
        <v>41</v>
      </c>
      <c r="C22" s="66">
        <f>(C21-B21)*10000</f>
        <v>0</v>
      </c>
      <c r="D22" s="66">
        <f>(D21-C21)*10000</f>
        <v>0</v>
      </c>
      <c r="E22" s="66">
        <f>(E21-D21)*10000</f>
        <v>0</v>
      </c>
      <c r="F22" s="66" t="s">
        <v>41</v>
      </c>
      <c r="G22" s="69">
        <f>(G21-E21)*10000</f>
        <v>0</v>
      </c>
      <c r="H22" s="3"/>
    </row>
    <row r="23">
      <c r="A23" s="41" t="s">
        <v>94</v>
      </c>
      <c r="B23" s="66">
        <f>IFERROR((B21-B89)*10000,"n/a")</f>
        <v>0</v>
      </c>
      <c r="C23" s="66">
        <f>IFERROR((C21-C89)*10000,"n/a")</f>
        <v>0</v>
      </c>
      <c r="D23" s="66">
        <f>IFERROR((D21-D89)*10000,"n/a")</f>
        <v>-100</v>
      </c>
      <c r="E23" s="66">
        <f>IFERROR((E21-E89)*10000,"n/a")</f>
        <v>0</v>
      </c>
      <c r="F23" s="66">
        <f>IFERROR((F21-F89)*10000,"n/a")</f>
        <v>-100</v>
      </c>
      <c r="G23" s="69">
        <f>IFERROR((G21-G89)*10000,"n/a")</f>
        <v>0</v>
      </c>
      <c r="H23" s="3"/>
    </row>
    <row r="24">
      <c r="A24" s="11" t="s">
        <v>101</v>
      </c>
      <c r="B24" s="17">
        <v>0</v>
      </c>
      <c r="C24" s="17">
        <v>-0.04</v>
      </c>
      <c r="D24" s="17">
        <v>0.03</v>
      </c>
      <c r="E24" s="17">
        <v>-0.02</v>
      </c>
      <c r="F24" s="20" t="s">
        <v>41</v>
      </c>
      <c r="G24" s="29">
        <f>G9+G18+G21</f>
        <v>0.015</v>
      </c>
      <c r="H24" s="3" t="s">
        <v>86</v>
      </c>
    </row>
    <row r="25">
      <c r="A25" s="41" t="s">
        <v>93</v>
      </c>
      <c r="B25" s="66" t="s">
        <v>41</v>
      </c>
      <c r="C25" s="66">
        <f>(C24-B24)*10000</f>
        <v>-400</v>
      </c>
      <c r="D25" s="66">
        <f>(D24-C24)*10000</f>
        <v>700.0000000000001</v>
      </c>
      <c r="E25" s="66">
        <f>(E24-D24)*10000</f>
        <v>-500</v>
      </c>
      <c r="F25" s="66" t="s">
        <v>41</v>
      </c>
      <c r="G25" s="69">
        <f>(G24-E24)*10000</f>
        <v>350.00000000000006</v>
      </c>
      <c r="H25" s="3"/>
    </row>
    <row r="26">
      <c r="A26" s="41" t="s">
        <v>94</v>
      </c>
      <c r="B26" s="66">
        <f>IFERROR((B24-B93)*10000,"n/a")</f>
        <v>0</v>
      </c>
      <c r="C26" s="66">
        <f>IFERROR((C24-C93)*10000,"n/a")</f>
        <v>-800</v>
      </c>
      <c r="D26" s="66">
        <f>IFERROR((D24-D93)*10000,"n/a")</f>
        <v>400</v>
      </c>
      <c r="E26" s="66">
        <f>IFERROR((E24-E93)*10000,"n/a")</f>
        <v>-300</v>
      </c>
      <c r="F26" s="66" t="str">
        <f>IFERROR((F24-F93)*10000,"n/a")</f>
        <v>n/a</v>
      </c>
      <c r="G26" s="69">
        <f>IFERROR((G24-G93)*10000,"n/a")</f>
        <v>150</v>
      </c>
      <c r="H26" s="3"/>
    </row>
    <row r="27">
      <c r="A27" s="11" t="s">
        <v>98</v>
      </c>
      <c r="B27" s="17">
        <v>0.01</v>
      </c>
      <c r="C27" s="17">
        <v>0.01</v>
      </c>
      <c r="D27" s="17">
        <v>0.03</v>
      </c>
      <c r="E27" s="17">
        <v>0.01</v>
      </c>
      <c r="F27" s="17">
        <v>0.02</v>
      </c>
      <c r="G27" s="72">
        <v>-0.003</v>
      </c>
      <c r="H27" s="3" t="s">
        <v>128</v>
      </c>
    </row>
    <row r="28">
      <c r="A28" s="41" t="s">
        <v>93</v>
      </c>
      <c r="B28" s="66" t="s">
        <v>41</v>
      </c>
      <c r="C28" s="66">
        <f>(C27-B27)*10000</f>
        <v>0</v>
      </c>
      <c r="D28" s="66">
        <f>(D27-C27)*10000</f>
        <v>199.99999999999997</v>
      </c>
      <c r="E28" s="66">
        <f>(E27-D27)*10000</f>
        <v>-199.99999999999997</v>
      </c>
      <c r="F28" s="66" t="s">
        <v>41</v>
      </c>
      <c r="G28" s="69">
        <f>(G27-E27)*10000</f>
        <v>-130</v>
      </c>
      <c r="H28" s="3"/>
    </row>
    <row r="29">
      <c r="A29" s="41" t="s">
        <v>94</v>
      </c>
      <c r="B29" s="66">
        <f>IFERROR((B27-B90)*10000,"n/a")</f>
        <v>200</v>
      </c>
      <c r="C29" s="66">
        <f>IFERROR((C27-C90)*10000,"n/a")</f>
        <v>100</v>
      </c>
      <c r="D29" s="66">
        <f>IFERROR((D27-D90)*10000,"n/a")</f>
        <v>500</v>
      </c>
      <c r="E29" s="66">
        <f>IFERROR((E27-E90)*10000,"n/a")</f>
        <v>0</v>
      </c>
      <c r="F29" s="66">
        <f>IFERROR((F27-F90)*10000,"n/a")</f>
        <v>300</v>
      </c>
      <c r="G29" s="69">
        <f>IFERROR((G27-G90)*10000,"n/a")</f>
        <v>-130</v>
      </c>
      <c r="H29" s="3"/>
    </row>
    <row r="30">
      <c r="A30" s="11" t="s">
        <v>129</v>
      </c>
      <c r="B30" s="17">
        <v>0</v>
      </c>
      <c r="C30" s="17">
        <v>0.01</v>
      </c>
      <c r="D30" s="17">
        <v>0</v>
      </c>
      <c r="E30" s="17">
        <v>0</v>
      </c>
      <c r="F30" s="17">
        <v>0</v>
      </c>
      <c r="G30" s="72">
        <v>0</v>
      </c>
      <c r="H30" s="3" t="s">
        <v>92</v>
      </c>
    </row>
    <row r="31">
      <c r="A31" s="41" t="s">
        <v>93</v>
      </c>
      <c r="B31" s="66" t="s">
        <v>41</v>
      </c>
      <c r="C31" s="66">
        <f>(C30-B30)*10000</f>
        <v>100</v>
      </c>
      <c r="D31" s="66">
        <f>(D30-C30)*10000</f>
        <v>-100</v>
      </c>
      <c r="E31" s="66">
        <f>(E30-D30)*10000</f>
        <v>0</v>
      </c>
      <c r="F31" s="66" t="s">
        <v>41</v>
      </c>
      <c r="G31" s="69">
        <f>(G30-E30)*10000</f>
        <v>0</v>
      </c>
      <c r="H31" s="3"/>
    </row>
    <row r="32">
      <c r="A32" s="41" t="s">
        <v>94</v>
      </c>
      <c r="B32" s="66">
        <f>(B30-B91)*10000</f>
        <v>0</v>
      </c>
      <c r="C32" s="66">
        <f>(C30-C91)*10000</f>
        <v>100</v>
      </c>
      <c r="D32" s="66">
        <f>(D30-D91)*10000</f>
        <v>100</v>
      </c>
      <c r="E32" s="66">
        <f>(E30-E91)*10000</f>
        <v>0</v>
      </c>
      <c r="F32" s="66">
        <f>(F30-F91)*10000</f>
        <v>0</v>
      </c>
      <c r="G32" s="69">
        <f>(G30-G91)*10000</f>
        <v>0</v>
      </c>
      <c r="H32" s="3"/>
    </row>
    <row r="33">
      <c r="A33" s="62" t="s">
        <v>100</v>
      </c>
      <c r="B33" s="75">
        <v>0.01</v>
      </c>
      <c r="C33" s="75">
        <v>-0.03</v>
      </c>
      <c r="D33" s="75">
        <v>0.06</v>
      </c>
      <c r="E33" s="75">
        <v>-0.01</v>
      </c>
      <c r="F33" s="75">
        <v>0.01</v>
      </c>
      <c r="G33" s="73">
        <f>G15+G27+G18+G21+G30</f>
        <v>0.012</v>
      </c>
      <c r="H33" s="3" t="s">
        <v>92</v>
      </c>
    </row>
    <row r="34">
      <c r="A34" s="41" t="s">
        <v>93</v>
      </c>
      <c r="B34" s="66" t="s">
        <v>41</v>
      </c>
      <c r="C34" s="66">
        <f>(C33-B33)*10000</f>
        <v>-400</v>
      </c>
      <c r="D34" s="66">
        <f>(D33-C33)*10000</f>
        <v>900</v>
      </c>
      <c r="E34" s="66">
        <f>(E33-D33)*10000</f>
        <v>-699.9999999999999</v>
      </c>
      <c r="F34" s="66" t="s">
        <v>41</v>
      </c>
      <c r="G34" s="69">
        <f>(G33-E33)*10000</f>
        <v>220</v>
      </c>
      <c r="H34" s="3"/>
    </row>
    <row r="35">
      <c r="A35" s="41" t="s">
        <v>94</v>
      </c>
      <c r="B35" s="66">
        <f>IFERROR((B33-B92)*10000,"n/a")</f>
        <v>300</v>
      </c>
      <c r="C35" s="66">
        <f>IFERROR((C33-C92)*10000,"n/a")</f>
        <v>-600</v>
      </c>
      <c r="D35" s="66">
        <f>IFERROR((D33-D92)*10000,"n/a")</f>
        <v>1000</v>
      </c>
      <c r="E35" s="66">
        <f>IFERROR((E33-E92)*10000,"n/a")</f>
        <v>-300</v>
      </c>
      <c r="F35" s="66">
        <f>IFERROR((F33-F92)*10000,"n/a")</f>
        <v>100</v>
      </c>
      <c r="G35" s="69">
        <f>IFERROR((G33-G92)*10000,"n/a")</f>
        <v>20</v>
      </c>
      <c r="H35" s="3"/>
    </row>
    <row r="36">
      <c r="A36" s="3"/>
      <c r="B36" s="26"/>
      <c r="C36" s="26"/>
      <c r="D36" s="26"/>
      <c r="E36" s="26"/>
      <c r="F36" s="26"/>
      <c r="G36" s="64"/>
      <c r="H36" s="3"/>
    </row>
    <row r="37">
      <c r="A37" s="49" t="s">
        <v>130</v>
      </c>
      <c r="B37" s="25"/>
      <c r="C37" s="25"/>
      <c r="D37" s="25"/>
      <c r="E37" s="25"/>
      <c r="F37" s="25"/>
      <c r="G37" s="61"/>
      <c r="H37" s="3"/>
    </row>
    <row r="38">
      <c r="A38" s="11" t="s">
        <v>131</v>
      </c>
      <c r="B38" s="17">
        <v>-0.01</v>
      </c>
      <c r="C38" s="17">
        <v>-0.01</v>
      </c>
      <c r="D38" s="17">
        <v>-0.03</v>
      </c>
      <c r="E38" s="17">
        <v>-0.01</v>
      </c>
      <c r="F38" s="20" t="s">
        <v>41</v>
      </c>
      <c r="G38" s="29">
        <f>-G27</f>
        <v>0.003</v>
      </c>
      <c r="H38" s="3" t="s">
        <v>86</v>
      </c>
    </row>
    <row r="39">
      <c r="A39" s="11" t="s">
        <v>132</v>
      </c>
      <c r="B39" s="17">
        <v>0</v>
      </c>
      <c r="C39" s="17">
        <v>0</v>
      </c>
      <c r="D39" s="17">
        <v>0</v>
      </c>
      <c r="E39" s="17">
        <v>0</v>
      </c>
      <c r="F39" s="20" t="s">
        <v>41</v>
      </c>
      <c r="G39" s="29">
        <f>-(G12+G30)</f>
        <v>0</v>
      </c>
      <c r="H39" s="3" t="s">
        <v>86</v>
      </c>
    </row>
    <row r="40">
      <c r="A40" s="11" t="s">
        <v>133</v>
      </c>
      <c r="B40" s="20">
        <f>B24</f>
        <v>0</v>
      </c>
      <c r="C40" s="20">
        <f>C24</f>
        <v>-0.04</v>
      </c>
      <c r="D40" s="20">
        <f>D24</f>
        <v>0.03</v>
      </c>
      <c r="E40" s="20">
        <f>E24</f>
        <v>-0.02</v>
      </c>
      <c r="F40" s="20" t="str">
        <f>F24</f>
        <v>n/a</v>
      </c>
      <c r="G40" s="29">
        <f>G24</f>
        <v>0.015</v>
      </c>
      <c r="H40" s="3"/>
    </row>
    <row r="41">
      <c r="A41" s="11" t="s">
        <v>104</v>
      </c>
      <c r="B41" s="20">
        <f>IFERROR(-B39,"n/a")</f>
        <v>0</v>
      </c>
      <c r="C41" s="20">
        <f>IFERROR(-C39,"n/a")</f>
        <v>0</v>
      </c>
      <c r="D41" s="20">
        <f>IFERROR(-D39,"n/a")</f>
        <v>0</v>
      </c>
      <c r="E41" s="20">
        <f>IFERROR(-E39,"n/a")</f>
        <v>0</v>
      </c>
      <c r="F41" s="20" t="str">
        <f>IFERROR(-F39,"n/a")</f>
        <v>n/a</v>
      </c>
      <c r="G41" s="29">
        <f>IFERROR(-G39,"n/a")</f>
        <v>0</v>
      </c>
      <c r="H41" s="3"/>
    </row>
    <row r="42">
      <c r="A42" s="11" t="s">
        <v>134</v>
      </c>
      <c r="B42" s="20">
        <f>IFERROR(-B38,"n/a")</f>
        <v>0.01</v>
      </c>
      <c r="C42" s="20">
        <f>IFERROR(-C38,"n/a")</f>
        <v>0.01</v>
      </c>
      <c r="D42" s="20">
        <f>IFERROR(-D38,"n/a")</f>
        <v>0.03</v>
      </c>
      <c r="E42" s="20">
        <f>IFERROR(-E38,"n/a")</f>
        <v>0.01</v>
      </c>
      <c r="F42" s="20" t="str">
        <f>IFERROR(-F38,"n/a")</f>
        <v>n/a</v>
      </c>
      <c r="G42" s="29">
        <f>IFERROR(-G38,"n/a")</f>
        <v>-0.003</v>
      </c>
      <c r="H42" s="3"/>
    </row>
    <row r="43">
      <c r="A43" s="11" t="s">
        <v>106</v>
      </c>
      <c r="B43" s="20">
        <f>B33</f>
        <v>0.01</v>
      </c>
      <c r="C43" s="20">
        <f>C33</f>
        <v>-0.03</v>
      </c>
      <c r="D43" s="20">
        <f>D33</f>
        <v>0.06</v>
      </c>
      <c r="E43" s="20">
        <f>E33</f>
        <v>-0.01</v>
      </c>
      <c r="F43" s="20">
        <f>F33</f>
        <v>0.01</v>
      </c>
      <c r="G43" s="29">
        <f>G33</f>
        <v>0.012</v>
      </c>
      <c r="H43" s="3"/>
    </row>
    <row r="44">
      <c r="A44" s="11" t="s">
        <v>107</v>
      </c>
      <c r="B44" s="20">
        <f>IFERROR((1+B43)/((1+B41)*(1+B42))-1,"n/a")</f>
        <v>0</v>
      </c>
      <c r="C44" s="20">
        <f>IFERROR((1+C43)/((1+C41)*(1+C42))-1,"n/a")</f>
        <v>-0.03960396039603964</v>
      </c>
      <c r="D44" s="20">
        <f>IFERROR((1+D43)/((1+D41)*(1+D42))-1,"n/a")</f>
        <v>0.029126213592232997</v>
      </c>
      <c r="E44" s="20">
        <f>IFERROR((1+E43)/((1+E41)*(1+E42))-1,"n/a")</f>
        <v>-0.01980198019801982</v>
      </c>
      <c r="F44" s="20" t="str">
        <f>IFERROR((1+F43)/((1+F41)*(1+F42))-1,"n/a")</f>
        <v>n/a</v>
      </c>
      <c r="G44" s="29">
        <f>IFERROR((1+G43)/((1+G41)*(1+G42))-1,"n/a")</f>
        <v>0.015045135406218657</v>
      </c>
      <c r="H44" s="3"/>
    </row>
    <row r="45">
      <c r="A45" s="3"/>
      <c r="B45" s="26"/>
      <c r="C45" s="26"/>
      <c r="D45" s="26"/>
      <c r="E45" s="26"/>
      <c r="F45" s="26"/>
      <c r="G45" s="64"/>
      <c r="H45" s="3"/>
    </row>
    <row r="46">
      <c r="A46" s="49" t="s">
        <v>33</v>
      </c>
      <c r="B46" s="25"/>
      <c r="C46" s="25"/>
      <c r="D46" s="25"/>
      <c r="E46" s="25"/>
      <c r="F46" s="25"/>
      <c r="G46" s="61"/>
      <c r="H46" s="3"/>
    </row>
    <row r="47">
      <c r="A47" s="28" t="s">
        <v>33</v>
      </c>
      <c r="B47" s="63">
        <v>5171</v>
      </c>
      <c r="C47" s="63">
        <v>5123</v>
      </c>
      <c r="D47" s="63">
        <v>5058</v>
      </c>
      <c r="E47" s="63">
        <v>5049</v>
      </c>
      <c r="F47" s="52">
        <f>SUM(B47:E47)</f>
        <v>20401</v>
      </c>
      <c r="G47" s="51">
        <f>B47*(1+G33)</f>
        <v>5233.052</v>
      </c>
      <c r="H47" s="3" t="s">
        <v>135</v>
      </c>
    </row>
    <row r="48">
      <c r="A48" s="46" t="s">
        <v>70</v>
      </c>
      <c r="B48" s="20">
        <f>B47/B83-1</f>
        <v>0.013524108192865647</v>
      </c>
      <c r="C48" s="20">
        <f>C47/C83-1</f>
        <v>-0.03303133257833146</v>
      </c>
      <c r="D48" s="20">
        <f>D47/D83-1</f>
        <v>0.06372239747634079</v>
      </c>
      <c r="E48" s="20">
        <f>E47/E83-1</f>
        <v>-0.008639308855291628</v>
      </c>
      <c r="F48" s="20">
        <f>F47/F83-1</f>
        <v>0.007556301856973535</v>
      </c>
      <c r="G48" s="29">
        <f>G47/G83-1</f>
        <v>0.01200000000000001</v>
      </c>
      <c r="H48" s="3"/>
    </row>
    <row r="49">
      <c r="A49" s="46" t="s">
        <v>71</v>
      </c>
      <c r="B49" s="20" t="s">
        <v>41</v>
      </c>
      <c r="C49" s="20">
        <f>C47/B47-1</f>
        <v>-0.009282537226842025</v>
      </c>
      <c r="D49" s="20">
        <f>D47/C47-1</f>
        <v>-0.012687878196369295</v>
      </c>
      <c r="E49" s="20">
        <f>E47/D47-1</f>
        <v>-0.001779359430605032</v>
      </c>
      <c r="F49" s="20" t="s">
        <v>41</v>
      </c>
      <c r="G49" s="29">
        <f>G47/E47-1</f>
        <v>0.036453159041394345</v>
      </c>
      <c r="H49" s="3"/>
    </row>
    <row r="50">
      <c r="A50" s="41" t="s">
        <v>72</v>
      </c>
      <c r="B50" s="22" t="s">
        <v>41</v>
      </c>
      <c r="C50" s="22">
        <f>C47-B47</f>
        <v>-48</v>
      </c>
      <c r="D50" s="22">
        <f>D47-C47</f>
        <v>-65</v>
      </c>
      <c r="E50" s="22">
        <f>E47-D47</f>
        <v>-9</v>
      </c>
      <c r="F50" s="22" t="s">
        <v>41</v>
      </c>
      <c r="G50" s="27">
        <f>G47-E47</f>
        <v>184.05199999999968</v>
      </c>
      <c r="H50" s="3"/>
    </row>
    <row r="51">
      <c r="A51" s="46" t="s">
        <v>136</v>
      </c>
      <c r="B51" s="21">
        <f>B47/'Revenue summary'!B39</f>
        <v>0.23099258465112124</v>
      </c>
      <c r="C51" s="21">
        <f>C47/'Revenue summary'!C39</f>
        <v>0.23068263688760807</v>
      </c>
      <c r="D51" s="21">
        <f>D47/'Revenue summary'!D39</f>
        <v>0.2381916647044973</v>
      </c>
      <c r="E51" s="21">
        <f>E47/'Revenue summary'!E39</f>
        <v>0.23812668018676603</v>
      </c>
      <c r="F51" s="21">
        <f>F47/'Revenue summary'!F39</f>
        <v>0.23440803382663847</v>
      </c>
      <c r="G51" s="85">
        <f>G47/'Revenue summary'!G39</f>
        <v>0.22898889172053008</v>
      </c>
      <c r="H51" s="3"/>
    </row>
    <row r="52">
      <c r="A52" s="3"/>
      <c r="B52" s="26"/>
      <c r="C52" s="26"/>
      <c r="D52" s="26"/>
      <c r="E52" s="26"/>
      <c r="F52" s="26"/>
      <c r="G52" s="64"/>
      <c r="H52" s="3"/>
    </row>
    <row r="53">
      <c r="A53" s="49" t="s">
        <v>137</v>
      </c>
      <c r="B53" s="25"/>
      <c r="C53" s="25"/>
      <c r="D53" s="25"/>
      <c r="E53" s="25"/>
      <c r="F53" s="25"/>
      <c r="G53" s="61"/>
      <c r="H53" s="3"/>
    </row>
    <row r="54">
      <c r="A54" s="11" t="s">
        <v>177</v>
      </c>
      <c r="B54" s="20" t="s">
        <v>41</v>
      </c>
      <c r="C54" s="20" t="s">
        <v>41</v>
      </c>
      <c r="D54" s="20" t="s">
        <v>41</v>
      </c>
      <c r="E54" s="20" t="s">
        <v>41</v>
      </c>
      <c r="F54" s="17">
        <v>0.09</v>
      </c>
      <c r="G54" s="29" t="s">
        <v>41</v>
      </c>
      <c r="H54" s="3" t="s">
        <v>139</v>
      </c>
    </row>
    <row r="55">
      <c r="A55" s="41" t="s">
        <v>178</v>
      </c>
      <c r="B55" s="22" t="s">
        <v>41</v>
      </c>
      <c r="C55" s="22" t="s">
        <v>41</v>
      </c>
      <c r="D55" s="22" t="s">
        <v>41</v>
      </c>
      <c r="E55" s="22" t="s">
        <v>41</v>
      </c>
      <c r="F55" s="35">
        <f>F54*'Revenue summary'!F39</f>
        <v>7832.88</v>
      </c>
      <c r="G55" s="27" t="s">
        <v>41</v>
      </c>
      <c r="H55" s="3"/>
    </row>
    <row r="56">
      <c r="A56" s="11" t="s">
        <v>179</v>
      </c>
      <c r="B56" s="20" t="s">
        <v>41</v>
      </c>
      <c r="C56" s="20" t="s">
        <v>41</v>
      </c>
      <c r="D56" s="20" t="s">
        <v>41</v>
      </c>
      <c r="E56" s="20" t="s">
        <v>41</v>
      </c>
      <c r="F56" s="17">
        <v>0.07</v>
      </c>
      <c r="G56" s="29" t="s">
        <v>41</v>
      </c>
      <c r="H56" s="3" t="s">
        <v>139</v>
      </c>
    </row>
    <row r="57">
      <c r="A57" s="41" t="s">
        <v>180</v>
      </c>
      <c r="B57" s="22" t="s">
        <v>41</v>
      </c>
      <c r="C57" s="22" t="s">
        <v>41</v>
      </c>
      <c r="D57" s="22" t="s">
        <v>41</v>
      </c>
      <c r="E57" s="22" t="s">
        <v>41</v>
      </c>
      <c r="F57" s="35">
        <f>F56*'Revenue summary'!F39</f>
        <v>6092.240000000001</v>
      </c>
      <c r="G57" s="27" t="s">
        <v>41</v>
      </c>
      <c r="H57" s="3"/>
    </row>
    <row r="58">
      <c r="A58" s="11" t="s">
        <v>181</v>
      </c>
      <c r="B58" s="20" t="s">
        <v>41</v>
      </c>
      <c r="C58" s="20" t="s">
        <v>41</v>
      </c>
      <c r="D58" s="20" t="s">
        <v>41</v>
      </c>
      <c r="E58" s="20" t="s">
        <v>41</v>
      </c>
      <c r="F58" s="17">
        <v>0.08</v>
      </c>
      <c r="G58" s="29" t="s">
        <v>41</v>
      </c>
      <c r="H58" s="3" t="s">
        <v>139</v>
      </c>
    </row>
    <row r="59">
      <c r="A59" s="41" t="s">
        <v>182</v>
      </c>
      <c r="B59" s="22" t="s">
        <v>41</v>
      </c>
      <c r="C59" s="22" t="s">
        <v>41</v>
      </c>
      <c r="D59" s="22" t="s">
        <v>41</v>
      </c>
      <c r="E59" s="22" t="s">
        <v>41</v>
      </c>
      <c r="F59" s="35">
        <f>F58*'Revenue summary'!F39</f>
        <v>6962.56</v>
      </c>
      <c r="G59" s="27" t="s">
        <v>41</v>
      </c>
      <c r="H59" s="3"/>
    </row>
    <row r="60">
      <c r="A60" s="28" t="s">
        <v>145</v>
      </c>
      <c r="B60" s="52" t="s">
        <v>41</v>
      </c>
      <c r="C60" s="52" t="s">
        <v>41</v>
      </c>
      <c r="D60" s="52" t="s">
        <v>41</v>
      </c>
      <c r="E60" s="52" t="s">
        <v>41</v>
      </c>
      <c r="F60" s="52">
        <f>F55+F57+F59</f>
        <v>20887.68</v>
      </c>
      <c r="G60" s="51" t="s">
        <v>41</v>
      </c>
      <c r="H60" s="3"/>
    </row>
    <row r="61">
      <c r="A61" s="41" t="s">
        <v>146</v>
      </c>
      <c r="B61" s="22" t="s">
        <v>41</v>
      </c>
      <c r="C61" s="22" t="s">
        <v>41</v>
      </c>
      <c r="D61" s="22" t="s">
        <v>41</v>
      </c>
      <c r="E61" s="22" t="s">
        <v>41</v>
      </c>
      <c r="F61" s="22">
        <f>F47-F60</f>
        <v>-486.6800000000003</v>
      </c>
      <c r="G61" s="27" t="s">
        <v>41</v>
      </c>
      <c r="H61" s="3"/>
    </row>
    <row r="62">
      <c r="A62" s="3"/>
      <c r="B62" s="26"/>
      <c r="C62" s="26"/>
      <c r="D62" s="26"/>
      <c r="E62" s="26"/>
      <c r="F62" s="26"/>
      <c r="G62" s="64"/>
      <c r="H62" s="3"/>
    </row>
    <row r="63">
      <c r="A63" s="49" t="s">
        <v>147</v>
      </c>
      <c r="B63" s="25"/>
      <c r="C63" s="25"/>
      <c r="D63" s="25"/>
      <c r="E63" s="25"/>
      <c r="F63" s="25"/>
      <c r="G63" s="61"/>
      <c r="H63" s="3"/>
    </row>
    <row r="64">
      <c r="A64" s="28" t="s">
        <v>148</v>
      </c>
      <c r="B64" s="63">
        <v>1446</v>
      </c>
      <c r="C64" s="63">
        <v>1338</v>
      </c>
      <c r="D64" s="63">
        <v>1282</v>
      </c>
      <c r="E64" s="63">
        <v>1078</v>
      </c>
      <c r="F64" s="52">
        <f>SUM(B64:E64)</f>
        <v>5144</v>
      </c>
      <c r="G64" s="51">
        <f>G47*G68</f>
        <v>1348.2248559999998</v>
      </c>
      <c r="H64" s="3" t="s">
        <v>149</v>
      </c>
    </row>
    <row r="65">
      <c r="A65" s="46" t="s">
        <v>70</v>
      </c>
      <c r="B65" s="20">
        <f>B64/B84-1</f>
        <v>0.045553145336225676</v>
      </c>
      <c r="C65" s="20">
        <f>C64/C84-1</f>
        <v>-0.08606557377049184</v>
      </c>
      <c r="D65" s="20">
        <f>D64/D84-1</f>
        <v>0.11478260869565227</v>
      </c>
      <c r="E65" s="20">
        <f>E64/E84-1</f>
        <v>-0.11421528348397703</v>
      </c>
      <c r="F65" s="20">
        <f>F64/F84-1</f>
        <v>-0.013425393172228572</v>
      </c>
      <c r="G65" s="29">
        <f>G64/G84-1</f>
        <v>-0.06761766528354096</v>
      </c>
      <c r="H65" s="3"/>
    </row>
    <row r="66">
      <c r="A66" s="46" t="s">
        <v>71</v>
      </c>
      <c r="B66" s="20" t="s">
        <v>41</v>
      </c>
      <c r="C66" s="20">
        <f>C64/B64-1</f>
        <v>-0.07468879668049788</v>
      </c>
      <c r="D66" s="20">
        <f>D64/C64-1</f>
        <v>-0.041853512705530616</v>
      </c>
      <c r="E66" s="20">
        <f>E64/D64-1</f>
        <v>-0.1591263650546022</v>
      </c>
      <c r="F66" s="20" t="s">
        <v>41</v>
      </c>
      <c r="G66" s="29">
        <f>G64/E64-1</f>
        <v>0.2506724081632652</v>
      </c>
      <c r="H66" s="3"/>
    </row>
    <row r="67">
      <c r="A67" s="41" t="s">
        <v>72</v>
      </c>
      <c r="B67" s="22" t="s">
        <v>41</v>
      </c>
      <c r="C67" s="22">
        <f>C64-B64</f>
        <v>-108</v>
      </c>
      <c r="D67" s="22">
        <f>D64-C64</f>
        <v>-56</v>
      </c>
      <c r="E67" s="22">
        <f>E64-D64</f>
        <v>-204</v>
      </c>
      <c r="F67" s="22" t="s">
        <v>41</v>
      </c>
      <c r="G67" s="27">
        <f>G64-E64</f>
        <v>270.2248559999998</v>
      </c>
      <c r="H67" s="3"/>
    </row>
    <row r="68">
      <c r="A68" s="11" t="s">
        <v>150</v>
      </c>
      <c r="B68" s="20">
        <f>IFERROR(B64/B47,"n/a")</f>
        <v>0.27963643395861537</v>
      </c>
      <c r="C68" s="20">
        <f>IFERROR(C64/C47,"n/a")</f>
        <v>0.2611750927191099</v>
      </c>
      <c r="D68" s="20">
        <f>IFERROR(D64/D47,"n/a")</f>
        <v>0.25345986555950967</v>
      </c>
      <c r="E68" s="20">
        <f>IFERROR(E64/E47,"n/a")</f>
        <v>0.21350762527233116</v>
      </c>
      <c r="F68" s="20">
        <f>IFERROR(F64/F47,"n/a")</f>
        <v>0.25214450272045486</v>
      </c>
      <c r="G68" s="29">
        <f>B68+G70/10000</f>
        <v>0.25763643395861535</v>
      </c>
      <c r="H68" s="3"/>
    </row>
    <row r="69">
      <c r="A69" s="41" t="s">
        <v>151</v>
      </c>
      <c r="B69" s="66" t="s">
        <v>41</v>
      </c>
      <c r="C69" s="66">
        <f>(C68-B68)*10000</f>
        <v>-184.61341239505492</v>
      </c>
      <c r="D69" s="66">
        <f>(D68-C68)*10000</f>
        <v>-77.15227159600214</v>
      </c>
      <c r="E69" s="66">
        <f>(E68-D68)*10000</f>
        <v>-399.522402871785</v>
      </c>
      <c r="F69" s="66" t="s">
        <v>41</v>
      </c>
      <c r="G69" s="69">
        <f>(G68-E68)*10000</f>
        <v>441.28808686284185</v>
      </c>
      <c r="H69" s="3"/>
    </row>
    <row r="70">
      <c r="A70" s="41" t="s">
        <v>152</v>
      </c>
      <c r="B70" s="66">
        <f>(B68-B84/B83)*10000</f>
        <v>85.66265397266903</v>
      </c>
      <c r="C70" s="66">
        <f>(C68-C84/C83)*10000</f>
        <v>-151.55598107617186</v>
      </c>
      <c r="D70" s="66">
        <f>(D68-D84/D83)*10000</f>
        <v>116.09182068447632</v>
      </c>
      <c r="E70" s="66">
        <f>(E68-E84/E83)*10000</f>
        <v>-254.47803747892684</v>
      </c>
      <c r="F70" s="66">
        <f>(F68-F84/F83)*10000</f>
        <v>-53.62411542682244</v>
      </c>
      <c r="G70" s="78">
        <v>-220</v>
      </c>
      <c r="H70" s="3"/>
    </row>
    <row r="71">
      <c r="A71" s="28" t="s">
        <v>153</v>
      </c>
      <c r="B71" s="63">
        <v>1105</v>
      </c>
      <c r="C71" s="63">
        <v>1020</v>
      </c>
      <c r="D71" s="63">
        <v>980</v>
      </c>
      <c r="E71" s="63">
        <v>825</v>
      </c>
      <c r="F71" s="52">
        <f>SUM(B71:E71)</f>
        <v>3930</v>
      </c>
      <c r="G71" s="51">
        <f>G64*(1-G78)</f>
        <v>1030.2824798616873</v>
      </c>
      <c r="H71" s="3" t="s">
        <v>86</v>
      </c>
    </row>
    <row r="72">
      <c r="A72" s="46" t="s">
        <v>70</v>
      </c>
      <c r="B72" s="20">
        <f>B71/B85-1</f>
        <v>0.03658536585365857</v>
      </c>
      <c r="C72" s="20">
        <f>C71/C85-1</f>
        <v>-0.08847184986595169</v>
      </c>
      <c r="D72" s="20">
        <f>D71/D85-1</f>
        <v>0.11363636363636354</v>
      </c>
      <c r="E72" s="20">
        <f>E71/E85-1</f>
        <v>-0.129746835443038</v>
      </c>
      <c r="F72" s="20">
        <f>F71/F85-1</f>
        <v>-0.020682780961873926</v>
      </c>
      <c r="G72" s="29">
        <f>G71/G85-1</f>
        <v>-0.06761766528354085</v>
      </c>
      <c r="H72" s="3"/>
    </row>
    <row r="73">
      <c r="A73" s="46" t="s">
        <v>71</v>
      </c>
      <c r="B73" s="20" t="s">
        <v>41</v>
      </c>
      <c r="C73" s="20">
        <f>C71/B71-1</f>
        <v>-0.07692307692307687</v>
      </c>
      <c r="D73" s="20">
        <f>D71/C71-1</f>
        <v>-0.039215686274509776</v>
      </c>
      <c r="E73" s="20">
        <f>E71/D71-1</f>
        <v>-0.15816326530612246</v>
      </c>
      <c r="F73" s="20" t="s">
        <v>41</v>
      </c>
      <c r="G73" s="29">
        <f>G71/E71-1</f>
        <v>0.24882724831719671</v>
      </c>
      <c r="H73" s="3"/>
    </row>
    <row r="74">
      <c r="A74" s="41" t="s">
        <v>72</v>
      </c>
      <c r="B74" s="22" t="s">
        <v>41</v>
      </c>
      <c r="C74" s="22">
        <f>C71-B71</f>
        <v>-85</v>
      </c>
      <c r="D74" s="22">
        <f>D71-C71</f>
        <v>-40</v>
      </c>
      <c r="E74" s="22">
        <f>E71-D71</f>
        <v>-155</v>
      </c>
      <c r="F74" s="22" t="s">
        <v>41</v>
      </c>
      <c r="G74" s="27">
        <f>G71-E71</f>
        <v>205.2824798616873</v>
      </c>
      <c r="H74" s="3"/>
    </row>
    <row r="75">
      <c r="A75" s="11" t="s">
        <v>154</v>
      </c>
      <c r="B75" s="20">
        <f>IFERROR(B71/B47,"n/a")</f>
        <v>0.21369174240959196</v>
      </c>
      <c r="C75" s="20">
        <f>IFERROR(C71/C47,"n/a")</f>
        <v>0.19910208861994924</v>
      </c>
      <c r="D75" s="20">
        <f>IFERROR(D71/D47,"n/a")</f>
        <v>0.1937524713325425</v>
      </c>
      <c r="E75" s="20">
        <f>IFERROR(E71/E47,"n/a")</f>
        <v>0.16339869281045752</v>
      </c>
      <c r="F75" s="20">
        <f>IFERROR(F71/F47,"n/a")</f>
        <v>0.1926376158031469</v>
      </c>
      <c r="G75" s="29">
        <f>IFERROR(G71/G47,"n/a")</f>
        <v>0.19687984752715765</v>
      </c>
      <c r="H75" s="3"/>
    </row>
    <row r="76">
      <c r="A76" s="41" t="s">
        <v>151</v>
      </c>
      <c r="B76" s="66" t="s">
        <v>41</v>
      </c>
      <c r="C76" s="66">
        <f>(C75-B75)*10000</f>
        <v>-145.8965378964272</v>
      </c>
      <c r="D76" s="66">
        <f>(D75-C75)*10000</f>
        <v>-53.49617287406738</v>
      </c>
      <c r="E76" s="66">
        <f>(E75-D75)*10000</f>
        <v>-303.53778522084986</v>
      </c>
      <c r="F76" s="66" t="s">
        <v>41</v>
      </c>
      <c r="G76" s="69">
        <f>(G75-E75)*10000</f>
        <v>334.81154716700127</v>
      </c>
      <c r="H76" s="3"/>
    </row>
    <row r="77">
      <c r="A77" s="41" t="s">
        <v>152</v>
      </c>
      <c r="B77" s="66">
        <f>(B75-B85/B83)*10000</f>
        <v>47.54070908219943</v>
      </c>
      <c r="C77" s="66">
        <f>(C75-C85/C83)*10000</f>
        <v>-121.09689409495833</v>
      </c>
      <c r="D77" s="66">
        <f>(D75-D85/D83)*10000</f>
        <v>86.84122226338519</v>
      </c>
      <c r="E77" s="66">
        <f>(E75-E85/E83)*10000</f>
        <v>-227.3914343537009</v>
      </c>
      <c r="F77" s="66">
        <f>(F75-F85/F83)*10000</f>
        <v>-55.547982624398195</v>
      </c>
      <c r="G77" s="69">
        <f>(G75-G85/G83)*10000</f>
        <v>-168.11894882434314</v>
      </c>
      <c r="H77" s="3"/>
    </row>
    <row r="78">
      <c r="A78" s="11" t="s">
        <v>155</v>
      </c>
      <c r="B78" s="20">
        <f>1-B71/B64</f>
        <v>0.23582295988934998</v>
      </c>
      <c r="C78" s="20">
        <f>1-C71/C64</f>
        <v>0.2376681614349776</v>
      </c>
      <c r="D78" s="20">
        <f>1-D71/D64</f>
        <v>0.23556942277691106</v>
      </c>
      <c r="E78" s="20">
        <f>1-E71/E64</f>
        <v>0.23469387755102045</v>
      </c>
      <c r="F78" s="20">
        <f>1-F71/F64</f>
        <v>0.23600311041990674</v>
      </c>
      <c r="G78" s="29">
        <f>B78</f>
        <v>0.23582295988934998</v>
      </c>
      <c r="H78" s="3"/>
    </row>
    <row r="79">
      <c r="A79" s="41" t="s">
        <v>156</v>
      </c>
      <c r="B79" s="66" t="s">
        <v>41</v>
      </c>
      <c r="C79" s="66">
        <f>(C78-B78)*10000</f>
        <v>18.452015456276172</v>
      </c>
      <c r="D79" s="66">
        <f>(D78-C78)*10000</f>
        <v>-20.987386580665344</v>
      </c>
      <c r="E79" s="66">
        <f>(E78-D78)*10000</f>
        <v>-8.755452258906171</v>
      </c>
      <c r="F79" s="66" t="s">
        <v>41</v>
      </c>
      <c r="G79" s="69">
        <f>(G78-E78)*10000</f>
        <v>11.290823383295345</v>
      </c>
      <c r="H79" s="3"/>
    </row>
    <row r="80">
      <c r="A80" s="41" t="s">
        <v>157</v>
      </c>
      <c r="B80" s="66">
        <f>(B78-(1-B85/B84))*10000</f>
        <v>66.11101610246584</v>
      </c>
      <c r="C80" s="66">
        <f>(C78-(1-C85/C84))*10000</f>
        <v>20.124237300596093</v>
      </c>
      <c r="D80" s="66">
        <f>(D78-(1-D85/D84))*10000</f>
        <v>7.868140812589131</v>
      </c>
      <c r="E80" s="66">
        <f>(E78-(1-E85/E84))*10000</f>
        <v>136.58544765482227</v>
      </c>
      <c r="F80" s="66">
        <f>(F78-(1-F85/F84))*10000</f>
        <v>56.617218506700425</v>
      </c>
      <c r="G80" s="69">
        <f>(G78-(1-G85/G84))*10000</f>
        <v>0</v>
      </c>
      <c r="H80" s="3"/>
    </row>
    <row r="81">
      <c r="A81" s="3"/>
      <c r="B81" s="26"/>
      <c r="C81" s="26"/>
      <c r="D81" s="26"/>
      <c r="E81" s="26"/>
      <c r="F81" s="26"/>
      <c r="G81" s="64"/>
      <c r="H81" s="3"/>
    </row>
    <row r="82">
      <c r="A82" s="49" t="s">
        <v>158</v>
      </c>
      <c r="B82" s="25"/>
      <c r="C82" s="25"/>
      <c r="D82" s="25"/>
      <c r="E82" s="25"/>
      <c r="F82" s="25"/>
      <c r="G82" s="61"/>
      <c r="H82" s="3"/>
    </row>
    <row r="83">
      <c r="A83" s="41" t="s">
        <v>159</v>
      </c>
      <c r="B83" s="44">
        <v>5102</v>
      </c>
      <c r="C83" s="44">
        <v>5298</v>
      </c>
      <c r="D83" s="44">
        <v>4755</v>
      </c>
      <c r="E83" s="44">
        <v>5093</v>
      </c>
      <c r="F83" s="44">
        <v>20248</v>
      </c>
      <c r="G83" s="27">
        <f>B47</f>
        <v>5171</v>
      </c>
      <c r="H83" s="3" t="s">
        <v>160</v>
      </c>
    </row>
    <row r="84">
      <c r="A84" s="41" t="s">
        <v>161</v>
      </c>
      <c r="B84" s="44">
        <v>1383</v>
      </c>
      <c r="C84" s="44">
        <v>1464</v>
      </c>
      <c r="D84" s="44">
        <v>1150</v>
      </c>
      <c r="E84" s="44">
        <v>1217</v>
      </c>
      <c r="F84" s="44">
        <v>5214</v>
      </c>
      <c r="G84" s="27">
        <f>B64</f>
        <v>1446</v>
      </c>
      <c r="H84" s="3" t="s">
        <v>160</v>
      </c>
    </row>
    <row r="85">
      <c r="A85" s="41" t="s">
        <v>162</v>
      </c>
      <c r="B85" s="44">
        <v>1066</v>
      </c>
      <c r="C85" s="44">
        <v>1119</v>
      </c>
      <c r="D85" s="44">
        <v>880</v>
      </c>
      <c r="E85" s="44">
        <v>948</v>
      </c>
      <c r="F85" s="44">
        <v>4013</v>
      </c>
      <c r="G85" s="27">
        <f>B71</f>
        <v>1105</v>
      </c>
      <c r="H85" s="3" t="s">
        <v>160</v>
      </c>
    </row>
    <row r="86">
      <c r="A86" s="46" t="s">
        <v>115</v>
      </c>
      <c r="B86" s="17">
        <v>-0.01</v>
      </c>
      <c r="C86" s="17">
        <v>0.04</v>
      </c>
      <c r="D86" s="17">
        <v>-0.02</v>
      </c>
      <c r="E86" s="17">
        <v>0</v>
      </c>
      <c r="F86" s="17">
        <v>0</v>
      </c>
      <c r="G86" s="29">
        <f>B15</f>
        <v>0</v>
      </c>
      <c r="H86" s="3" t="s">
        <v>160</v>
      </c>
    </row>
    <row r="87">
      <c r="A87" s="46" t="s">
        <v>117</v>
      </c>
      <c r="B87" s="17">
        <v>-0.01</v>
      </c>
      <c r="C87" s="17">
        <v>0.04</v>
      </c>
      <c r="D87" s="17">
        <v>-0.02</v>
      </c>
      <c r="E87" s="17">
        <v>0</v>
      </c>
      <c r="F87" s="17">
        <v>0</v>
      </c>
      <c r="G87" s="29">
        <f>B9</f>
        <v>0</v>
      </c>
      <c r="H87" s="3" t="s">
        <v>160</v>
      </c>
    </row>
    <row r="88">
      <c r="A88" s="46" t="s">
        <v>118</v>
      </c>
      <c r="B88" s="17">
        <v>0</v>
      </c>
      <c r="C88" s="17">
        <v>-0.01</v>
      </c>
      <c r="D88" s="17">
        <v>0</v>
      </c>
      <c r="E88" s="17">
        <v>0.01</v>
      </c>
      <c r="F88" s="17">
        <v>0</v>
      </c>
      <c r="G88" s="29">
        <f>B18</f>
        <v>0</v>
      </c>
      <c r="H88" s="3" t="s">
        <v>160</v>
      </c>
    </row>
    <row r="89">
      <c r="A89" s="46" t="s">
        <v>119</v>
      </c>
      <c r="B89" s="17">
        <v>0</v>
      </c>
      <c r="C89" s="17">
        <v>0</v>
      </c>
      <c r="D89" s="17">
        <v>0.01</v>
      </c>
      <c r="E89" s="17">
        <v>0</v>
      </c>
      <c r="F89" s="17">
        <v>0.01</v>
      </c>
      <c r="G89" s="29">
        <f>B21</f>
        <v>0</v>
      </c>
      <c r="H89" s="3" t="s">
        <v>160</v>
      </c>
    </row>
    <row r="90">
      <c r="A90" s="46" t="s">
        <v>120</v>
      </c>
      <c r="B90" s="17">
        <v>-0.01</v>
      </c>
      <c r="C90" s="17">
        <v>0</v>
      </c>
      <c r="D90" s="17">
        <v>-0.02</v>
      </c>
      <c r="E90" s="17">
        <v>0.01</v>
      </c>
      <c r="F90" s="17">
        <v>-0.01</v>
      </c>
      <c r="G90" s="29">
        <f>B27</f>
        <v>0.01</v>
      </c>
      <c r="H90" s="3" t="s">
        <v>160</v>
      </c>
    </row>
    <row r="91">
      <c r="A91" s="46" t="s">
        <v>121</v>
      </c>
      <c r="B91" s="17">
        <v>0</v>
      </c>
      <c r="C91" s="17">
        <v>0</v>
      </c>
      <c r="D91" s="17">
        <v>-0.01</v>
      </c>
      <c r="E91" s="17">
        <v>0</v>
      </c>
      <c r="F91" s="17">
        <v>0</v>
      </c>
      <c r="G91" s="29">
        <f>B30</f>
        <v>0</v>
      </c>
      <c r="H91" s="3" t="s">
        <v>160</v>
      </c>
    </row>
    <row r="92">
      <c r="A92" s="46" t="s">
        <v>122</v>
      </c>
      <c r="B92" s="17">
        <v>-0.02</v>
      </c>
      <c r="C92" s="17">
        <v>0.03</v>
      </c>
      <c r="D92" s="17">
        <v>-0.04</v>
      </c>
      <c r="E92" s="17">
        <v>0.02</v>
      </c>
      <c r="F92" s="17">
        <v>0</v>
      </c>
      <c r="G92" s="29">
        <f>B33</f>
        <v>0.01</v>
      </c>
      <c r="H92" s="3" t="s">
        <v>160</v>
      </c>
    </row>
    <row r="93">
      <c r="A93" s="46" t="s">
        <v>123</v>
      </c>
      <c r="B93" s="17">
        <v>0</v>
      </c>
      <c r="C93" s="17">
        <v>0.04</v>
      </c>
      <c r="D93" s="17">
        <v>-0.01</v>
      </c>
      <c r="E93" s="17">
        <v>0.01</v>
      </c>
      <c r="F93" s="20" t="s">
        <v>41</v>
      </c>
      <c r="G93" s="29">
        <f>B24</f>
        <v>0</v>
      </c>
      <c r="H93" s="3" t="s">
        <v>160</v>
      </c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22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183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184</v>
      </c>
      <c r="B8" s="25"/>
      <c r="C8" s="25"/>
      <c r="D8" s="25"/>
      <c r="E8" s="25"/>
      <c r="F8" s="25"/>
      <c r="G8" s="61"/>
      <c r="H8" s="3"/>
    </row>
    <row r="9">
      <c r="A9" s="28" t="s">
        <v>33</v>
      </c>
      <c r="B9" s="84">
        <f>'Revenue summary'!B39</f>
        <v>22386</v>
      </c>
      <c r="C9" s="84">
        <f>'Revenue summary'!C39</f>
        <v>22208</v>
      </c>
      <c r="D9" s="84">
        <f>'Revenue summary'!D39</f>
        <v>21235</v>
      </c>
      <c r="E9" s="84">
        <f>'Revenue summary'!E39</f>
        <v>21203</v>
      </c>
      <c r="F9" s="84">
        <f>'Revenue summary'!F39</f>
        <v>87032</v>
      </c>
      <c r="G9" s="97">
        <f>'Revenue summary'!G39</f>
        <v>22852.863999999998</v>
      </c>
      <c r="H9" s="3"/>
    </row>
    <row r="10">
      <c r="A10" s="46" t="s">
        <v>70</v>
      </c>
      <c r="B10" s="20">
        <f>IFERROR(B9/B106-1,"n/a")</f>
        <v>0.029856925978746007</v>
      </c>
      <c r="C10" s="20">
        <f>IFERROR(C9/C106-1,"n/a")</f>
        <v>0.014898089754135757</v>
      </c>
      <c r="D10" s="20">
        <f>IFERROR(D9/D106-1,"n/a")</f>
        <v>0.07377629449838197</v>
      </c>
      <c r="E10" s="20">
        <f>IFERROR(E9/E106-1,"n/a")</f>
        <v>0.015031834937048183</v>
      </c>
      <c r="F10" s="20">
        <f>IFERROR(F9/F106-1,"n/a")</f>
        <v>0.03260405296378899</v>
      </c>
      <c r="G10" s="29">
        <f>IFERROR(G9/G106-1,"n/a")</f>
        <v>0.020855177342982145</v>
      </c>
      <c r="H10" s="3"/>
    </row>
    <row r="11">
      <c r="A11" s="46" t="s">
        <v>71</v>
      </c>
      <c r="B11" s="21">
        <f>B9/Inputs!C16-1</f>
        <v>0.07166451242280636</v>
      </c>
      <c r="C11" s="20">
        <f>C9/B9-1</f>
        <v>-0.007951398195300663</v>
      </c>
      <c r="D11" s="20">
        <f>D9/C9-1</f>
        <v>-0.04381304034582134</v>
      </c>
      <c r="E11" s="20">
        <f>E9/D9-1</f>
        <v>-0.0015069460795855694</v>
      </c>
      <c r="F11" s="20" t="s">
        <v>41</v>
      </c>
      <c r="G11" s="29">
        <f>G9/E9-1</f>
        <v>0.07781276234495116</v>
      </c>
      <c r="H11" s="3"/>
    </row>
    <row r="12">
      <c r="A12" s="41" t="s">
        <v>72</v>
      </c>
      <c r="B12" s="35">
        <f>B9-Inputs!C16</f>
        <v>1497</v>
      </c>
      <c r="C12" s="22">
        <f>C9-B9</f>
        <v>-178</v>
      </c>
      <c r="D12" s="22">
        <f>D9-C9</f>
        <v>-973</v>
      </c>
      <c r="E12" s="22">
        <f>E9-D9</f>
        <v>-32</v>
      </c>
      <c r="F12" s="22" t="s">
        <v>41</v>
      </c>
      <c r="G12" s="27">
        <f>G9-E9</f>
        <v>1649.8639999999978</v>
      </c>
      <c r="H12" s="3"/>
    </row>
    <row r="13">
      <c r="A13" s="3" t="s">
        <v>185</v>
      </c>
      <c r="B13" s="44">
        <v>10887</v>
      </c>
      <c r="C13" s="44">
        <v>10834</v>
      </c>
      <c r="D13" s="44">
        <v>10722</v>
      </c>
      <c r="E13" s="44">
        <v>10920</v>
      </c>
      <c r="F13" s="22">
        <f>SUM(B13:E13)</f>
        <v>43363</v>
      </c>
      <c r="G13" s="27">
        <f>G9*(1-G82)+G61</f>
        <v>11440.726271999998</v>
      </c>
      <c r="H13" s="3" t="s">
        <v>86</v>
      </c>
    </row>
    <row r="14">
      <c r="A14" s="28" t="s">
        <v>186</v>
      </c>
      <c r="B14" s="52">
        <f>B9-B13</f>
        <v>11499</v>
      </c>
      <c r="C14" s="52">
        <f>C9-C13</f>
        <v>11374</v>
      </c>
      <c r="D14" s="52">
        <f>D9-D13</f>
        <v>10513</v>
      </c>
      <c r="E14" s="52">
        <f>E9-E13</f>
        <v>10283</v>
      </c>
      <c r="F14" s="52">
        <f>F9-F13</f>
        <v>43669</v>
      </c>
      <c r="G14" s="51">
        <f>G9-G13</f>
        <v>11412.137728</v>
      </c>
      <c r="H14" s="3"/>
    </row>
    <row r="15">
      <c r="A15" s="46" t="s">
        <v>70</v>
      </c>
      <c r="B15" s="20">
        <f>IFERROR(B14/B107-1,"n/a")</f>
        <v>0.016171792152704034</v>
      </c>
      <c r="C15" s="20">
        <f>IFERROR(C14/C107-1,"n/a")</f>
        <v>-0.007850662944870912</v>
      </c>
      <c r="D15" s="20">
        <f>IFERROR(D14/D107-1,"n/a")</f>
        <v>0.04285289157821648</v>
      </c>
      <c r="E15" s="20">
        <f>IFERROR(E14/E107-1,"n/a")</f>
        <v>0.0024371222460519704</v>
      </c>
      <c r="F15" s="20">
        <f>IFERROR(F14/F107-1,"n/a")</f>
        <v>0.012731910946196745</v>
      </c>
      <c r="G15" s="29">
        <f>IFERROR(G14/G107-1,"n/a")</f>
        <v>-0.007553897904165607</v>
      </c>
      <c r="H15" s="3"/>
    </row>
    <row r="16">
      <c r="A16" s="11" t="s">
        <v>187</v>
      </c>
      <c r="B16" s="20">
        <f>IFERROR(B14/B9,"n/a")</f>
        <v>0.5136692575716966</v>
      </c>
      <c r="C16" s="20">
        <f>IFERROR(C14/C9,"n/a")</f>
        <v>0.5121577809798271</v>
      </c>
      <c r="D16" s="20">
        <f>IFERROR(D14/D9,"n/a")</f>
        <v>0.4950788792088533</v>
      </c>
      <c r="E16" s="20">
        <f>IFERROR(E14/E9,"n/a")</f>
        <v>0.48497854077253216</v>
      </c>
      <c r="F16" s="20">
        <f>IFERROR(F14/F9,"n/a")</f>
        <v>0.5017579740784999</v>
      </c>
      <c r="G16" s="29">
        <f>IFERROR(G14/G9,"n/a")</f>
        <v>0.49937450850799275</v>
      </c>
      <c r="H16" s="3"/>
    </row>
    <row r="17">
      <c r="A17" s="41" t="s">
        <v>94</v>
      </c>
      <c r="B17" s="66">
        <f>(B16-B107/B106)*10000</f>
        <v>-69.17759956021175</v>
      </c>
      <c r="C17" s="66">
        <f>(C16-C107/C106)*10000</f>
        <v>-117.43142153341712</v>
      </c>
      <c r="D17" s="66">
        <f>(D16-D107/D106)*10000</f>
        <v>-146.80424998266494</v>
      </c>
      <c r="E17" s="66">
        <f>(E16-E107/E106)*10000</f>
        <v>-60.933152282338085</v>
      </c>
      <c r="F17" s="66">
        <f>(F16-F107/F106)*10000</f>
        <v>-98.45651757957819</v>
      </c>
      <c r="G17" s="69">
        <f>(G16-G107/G106)*10000</f>
        <v>-142.94749063703816</v>
      </c>
      <c r="H17" s="3"/>
    </row>
    <row r="18">
      <c r="A18" s="41" t="s">
        <v>93</v>
      </c>
      <c r="B18" s="66" t="s">
        <v>41</v>
      </c>
      <c r="C18" s="66">
        <f>(C16-B16)*10000</f>
        <v>-15.11476591869454</v>
      </c>
      <c r="D18" s="66">
        <f>(D16-C16)*10000</f>
        <v>-170.7890177097382</v>
      </c>
      <c r="E18" s="66">
        <f>(E16-D16)*10000</f>
        <v>-101.00338436321132</v>
      </c>
      <c r="F18" s="66" t="s">
        <v>41</v>
      </c>
      <c r="G18" s="69">
        <f>(G16-E16)*10000</f>
        <v>143.9596773546059</v>
      </c>
      <c r="H18" s="3"/>
    </row>
    <row r="19">
      <c r="A19" s="3" t="s">
        <v>188</v>
      </c>
      <c r="B19" s="44">
        <v>5643</v>
      </c>
      <c r="C19" s="44">
        <v>6008</v>
      </c>
      <c r="D19" s="44">
        <v>5936</v>
      </c>
      <c r="E19" s="44">
        <v>6334</v>
      </c>
      <c r="F19" s="22">
        <f>SUM(B19:E19)</f>
        <v>23921</v>
      </c>
      <c r="G19" s="27">
        <f>G9*G86+G62</f>
        <v>5821.774592</v>
      </c>
      <c r="H19" s="3" t="s">
        <v>86</v>
      </c>
    </row>
    <row r="20">
      <c r="A20" s="11" t="s">
        <v>189</v>
      </c>
      <c r="B20" s="20">
        <f>IFERROR(B19/B9,"n/a")</f>
        <v>0.25207719110158133</v>
      </c>
      <c r="C20" s="20">
        <f>IFERROR(C19/C9,"n/a")</f>
        <v>0.27053314121037464</v>
      </c>
      <c r="D20" s="20">
        <f>IFERROR(D19/D9,"n/a")</f>
        <v>0.2795384977631269</v>
      </c>
      <c r="E20" s="20">
        <f>IFERROR(E19/E9,"n/a")</f>
        <v>0.29873131160684807</v>
      </c>
      <c r="F20" s="20">
        <f>IFERROR(F19/F9,"n/a")</f>
        <v>0.27485292765879216</v>
      </c>
      <c r="G20" s="29">
        <f>IFERROR(G19/G9,"n/a")</f>
        <v>0.2547503276613382</v>
      </c>
      <c r="H20" s="3"/>
    </row>
    <row r="21">
      <c r="A21" s="41" t="s">
        <v>94</v>
      </c>
      <c r="B21" s="66">
        <f>(B20-B108/B106)*10000</f>
        <v>-18.216909888635335</v>
      </c>
      <c r="C21" s="66">
        <f>(C20-C108/C106)*10000</f>
        <v>89.93976600192744</v>
      </c>
      <c r="D21" s="66">
        <f>(D20-D108/D106)*10000</f>
        <v>2.100187987256197</v>
      </c>
      <c r="E21" s="66">
        <f>(E20-E108/E106)*10000</f>
        <v>161.42389207499107</v>
      </c>
      <c r="F21" s="66">
        <f>(F20-F108/F106)*10000</f>
        <v>58.932200037212226</v>
      </c>
      <c r="G21" s="69">
        <f>(G20-G108/G106)*10000</f>
        <v>26.731365597568725</v>
      </c>
      <c r="H21" s="3"/>
    </row>
    <row r="22">
      <c r="A22" s="41" t="s">
        <v>93</v>
      </c>
      <c r="B22" s="66" t="s">
        <v>41</v>
      </c>
      <c r="C22" s="66">
        <f>(C20-B20)*10000</f>
        <v>184.55950108793306</v>
      </c>
      <c r="D22" s="66">
        <f>(D20-C20)*10000</f>
        <v>90.05356552752252</v>
      </c>
      <c r="E22" s="66">
        <f>(E20-D20)*10000</f>
        <v>191.9281384372118</v>
      </c>
      <c r="F22" s="66" t="s">
        <v>41</v>
      </c>
      <c r="G22" s="69">
        <f>(G20-E20)*10000</f>
        <v>-439.80983945509865</v>
      </c>
      <c r="H22" s="3"/>
    </row>
    <row r="23">
      <c r="A23" s="28" t="s">
        <v>190</v>
      </c>
      <c r="B23" s="52">
        <f>B14-B19</f>
        <v>5856</v>
      </c>
      <c r="C23" s="52">
        <f>C14-C19</f>
        <v>5366</v>
      </c>
      <c r="D23" s="52">
        <f>D14-D19</f>
        <v>4577</v>
      </c>
      <c r="E23" s="52">
        <f>E14-E19</f>
        <v>3949</v>
      </c>
      <c r="F23" s="52">
        <f>F14-F19</f>
        <v>19748</v>
      </c>
      <c r="G23" s="51">
        <f>G14-G19</f>
        <v>5590.363136</v>
      </c>
      <c r="H23" s="3"/>
    </row>
    <row r="24">
      <c r="A24" s="46" t="s">
        <v>70</v>
      </c>
      <c r="B24" s="20">
        <f>IFERROR(B23/B109-1,"n/a")</f>
        <v>0.010177678109366983</v>
      </c>
      <c r="C24" s="20">
        <f>IFERROR(C23/C109-1,"n/a")</f>
        <v>-0.06531963072635427</v>
      </c>
      <c r="D24" s="20">
        <f>IFERROR(D23/D109-1,"n/a")</f>
        <v>0.0041684949539271265</v>
      </c>
      <c r="E24" s="20">
        <f>IFERROR(E23/E109-1,"n/a")</f>
        <v>-0.09322617680826639</v>
      </c>
      <c r="F24" s="20">
        <f>IFERROR(F23/F109-1,"n/a")</f>
        <v>-0.034374847195736136</v>
      </c>
      <c r="G24" s="29">
        <f>IFERROR(G23/G109-1,"n/a")</f>
        <v>-0.045361486338797774</v>
      </c>
      <c r="H24" s="3"/>
    </row>
    <row r="25">
      <c r="A25" s="11" t="s">
        <v>191</v>
      </c>
      <c r="B25" s="20">
        <f>IFERROR(B23/B9,"n/a")</f>
        <v>0.26159206647011524</v>
      </c>
      <c r="C25" s="20">
        <f>IFERROR(C23/C9,"n/a")</f>
        <v>0.24162463976945245</v>
      </c>
      <c r="D25" s="20">
        <f>IFERROR(D23/D9,"n/a")</f>
        <v>0.2155403814457264</v>
      </c>
      <c r="E25" s="20">
        <f>IFERROR(E23/E9,"n/a")</f>
        <v>0.1862472291656841</v>
      </c>
      <c r="F25" s="20">
        <f>IFERROR(F23/F9,"n/a")</f>
        <v>0.22690504641970768</v>
      </c>
      <c r="G25" s="29">
        <f>IFERROR(G23/G9,"n/a")</f>
        <v>0.24462418084665452</v>
      </c>
      <c r="H25" s="3"/>
    </row>
    <row r="26">
      <c r="A26" s="41" t="s">
        <v>94</v>
      </c>
      <c r="B26" s="66">
        <f>(B25-B109/B106)*10000</f>
        <v>-50.96068967157641</v>
      </c>
      <c r="C26" s="66">
        <f>(C25-C109/C106)*10000</f>
        <v>-207.37118753534483</v>
      </c>
      <c r="D26" s="66">
        <f>(D25-D109/D106)*10000</f>
        <v>-149.4101014003413</v>
      </c>
      <c r="E26" s="66">
        <f>(E25-E109/E106)*10000</f>
        <v>-222.35704435732916</v>
      </c>
      <c r="F26" s="66">
        <f>(F25-F109/F106)*10000</f>
        <v>-157.38871761679067</v>
      </c>
      <c r="G26" s="69">
        <f>(G25-G109/G106)*10000</f>
        <v>-169.67885623460717</v>
      </c>
      <c r="H26" s="3"/>
    </row>
    <row r="27">
      <c r="A27" s="41" t="s">
        <v>93</v>
      </c>
      <c r="B27" s="66" t="s">
        <v>41</v>
      </c>
      <c r="C27" s="66">
        <f>(C25-B25)*10000</f>
        <v>-199.67426700662787</v>
      </c>
      <c r="D27" s="66">
        <f>(D25-C25)*10000</f>
        <v>-260.84258323726044</v>
      </c>
      <c r="E27" s="66">
        <f>(E25-D25)*10000</f>
        <v>-292.9315228004231</v>
      </c>
      <c r="F27" s="66" t="s">
        <v>41</v>
      </c>
      <c r="G27" s="69">
        <f>(G25-E25)*10000</f>
        <v>583.7695168097043</v>
      </c>
      <c r="H27" s="3"/>
    </row>
    <row r="28">
      <c r="A28" s="3" t="s">
        <v>192</v>
      </c>
      <c r="B28" s="44">
        <v>-197</v>
      </c>
      <c r="C28" s="44">
        <v>-220</v>
      </c>
      <c r="D28" s="44">
        <v>-223</v>
      </c>
      <c r="E28" s="44">
        <v>-236</v>
      </c>
      <c r="F28" s="22">
        <f>SUM(B28:E28)</f>
        <v>-876</v>
      </c>
      <c r="G28" s="67">
        <v>-240</v>
      </c>
      <c r="H28" s="3" t="s">
        <v>79</v>
      </c>
    </row>
    <row r="29">
      <c r="A29" s="3" t="s">
        <v>193</v>
      </c>
      <c r="B29" s="44">
        <v>108</v>
      </c>
      <c r="C29" s="44">
        <v>115</v>
      </c>
      <c r="D29" s="44">
        <v>100</v>
      </c>
      <c r="E29" s="44">
        <v>107</v>
      </c>
      <c r="F29" s="22">
        <f>SUM(B29:E29)</f>
        <v>430</v>
      </c>
      <c r="G29" s="67">
        <v>95</v>
      </c>
      <c r="H29" s="3" t="s">
        <v>79</v>
      </c>
    </row>
    <row r="30">
      <c r="A30" s="3" t="s">
        <v>194</v>
      </c>
      <c r="B30" s="44">
        <v>268</v>
      </c>
      <c r="C30" s="44">
        <v>160</v>
      </c>
      <c r="D30" s="44">
        <v>537</v>
      </c>
      <c r="E30" s="44">
        <v>112</v>
      </c>
      <c r="F30" s="22">
        <f>SUM(B30:E30)</f>
        <v>1077</v>
      </c>
      <c r="G30" s="27">
        <f>G94-G64-G65</f>
        <v>190</v>
      </c>
      <c r="H30" s="3" t="s">
        <v>86</v>
      </c>
    </row>
    <row r="31">
      <c r="A31" s="41" t="s">
        <v>195</v>
      </c>
      <c r="B31" s="22">
        <f>B105-(B23+B28+B29+B30)</f>
        <v>-1</v>
      </c>
      <c r="C31" s="22">
        <f>C105-(C23+C28+C29+C30)</f>
        <v>0</v>
      </c>
      <c r="D31" s="22">
        <f>D105-(D23+D28+D29+D30)</f>
        <v>-2</v>
      </c>
      <c r="E31" s="22">
        <f>E105-(E23+E28+E29+E30)</f>
        <v>1</v>
      </c>
      <c r="F31" s="22">
        <f>SUM(B31:E31)</f>
        <v>-2</v>
      </c>
      <c r="G31" s="67">
        <v>0</v>
      </c>
      <c r="H31" s="3"/>
    </row>
    <row r="32">
      <c r="A32" s="28" t="s">
        <v>148</v>
      </c>
      <c r="B32" s="52">
        <f>B23+B28+B29+B30+B31</f>
        <v>6034</v>
      </c>
      <c r="C32" s="52">
        <f>C23+C28+C29+C30+C31</f>
        <v>5421</v>
      </c>
      <c r="D32" s="52">
        <f>D23+D28+D29+D30+D31</f>
        <v>4989</v>
      </c>
      <c r="E32" s="52">
        <f>E23+E28+E29+E30+E31</f>
        <v>3933</v>
      </c>
      <c r="F32" s="52">
        <f>F23+F28+F29+F30+F31</f>
        <v>20377</v>
      </c>
      <c r="G32" s="51">
        <f>G23+G28+G29+G30+G31</f>
        <v>5635.363136</v>
      </c>
      <c r="H32" s="3"/>
    </row>
    <row r="33">
      <c r="A33" s="46" t="s">
        <v>70</v>
      </c>
      <c r="B33" s="20">
        <f>IFERROR(B32/B110-1,"n/a")</f>
        <v>0.1739299610894942</v>
      </c>
      <c r="C33" s="20">
        <f>IFERROR(C32/C110-1,"n/a")</f>
        <v>-0.07254063301967495</v>
      </c>
      <c r="D33" s="20">
        <f>IFERROR(D32/D110-1,"n/a")</f>
        <v>0.07037116498605456</v>
      </c>
      <c r="E33" s="20">
        <f>IFERROR(E32/E110-1,"n/a")</f>
        <v>-0.13005972130059718</v>
      </c>
      <c r="F33" s="20">
        <f>IFERROR(F32/F110-1,"n/a")</f>
        <v>0.01041305102394996</v>
      </c>
      <c r="G33" s="29">
        <f>IFERROR(G32/G110-1,"n/a")</f>
        <v>-0.0660651083858137</v>
      </c>
      <c r="H33" s="3"/>
    </row>
    <row r="34">
      <c r="A34" s="11" t="s">
        <v>196</v>
      </c>
      <c r="B34" s="20">
        <f>IFERROR(B32/B9,"n/a")</f>
        <v>0.2695434646654159</v>
      </c>
      <c r="C34" s="20">
        <f>IFERROR(C32/C9,"n/a")</f>
        <v>0.24410122478386168</v>
      </c>
      <c r="D34" s="20">
        <f>IFERROR(D32/D9,"n/a")</f>
        <v>0.23494231222039086</v>
      </c>
      <c r="E34" s="20">
        <f>IFERROR(E32/E9,"n/a")</f>
        <v>0.1854926189690138</v>
      </c>
      <c r="F34" s="20">
        <f>IFERROR(F32/F9,"n/a")</f>
        <v>0.2341322731868738</v>
      </c>
      <c r="G34" s="29">
        <f>IFERROR(G32/G9,"n/a")</f>
        <v>0.24659329946566</v>
      </c>
      <c r="H34" s="3"/>
    </row>
    <row r="35">
      <c r="A35" s="41" t="s">
        <v>93</v>
      </c>
      <c r="B35" s="66" t="s">
        <v>41</v>
      </c>
      <c r="C35" s="66">
        <f>(C34-B34)*10000</f>
        <v>-254.42239881554224</v>
      </c>
      <c r="D35" s="66">
        <f>(D34-C34)*10000</f>
        <v>-91.58912563470817</v>
      </c>
      <c r="E35" s="66">
        <f>(E34-D34)*10000</f>
        <v>-494.49693251377045</v>
      </c>
      <c r="F35" s="66" t="s">
        <v>41</v>
      </c>
      <c r="G35" s="69">
        <f>(G34-E34)*10000</f>
        <v>611.0068049664619</v>
      </c>
      <c r="H35" s="3"/>
    </row>
    <row r="36">
      <c r="A36" s="41" t="s">
        <v>94</v>
      </c>
      <c r="B36" s="66">
        <f>(B34-B110/B106)*10000</f>
        <v>330.8029127442358</v>
      </c>
      <c r="C36" s="66">
        <f>(C34-C110/C106)*10000</f>
        <v>-230.1329856866549</v>
      </c>
      <c r="D36" s="66">
        <f>(D34-D110/D106)*10000</f>
        <v>-7.474126987029872</v>
      </c>
      <c r="E36" s="66">
        <f>(E34-E110/E106)*10000</f>
        <v>-309.3708087300831</v>
      </c>
      <c r="F36" s="66">
        <f>(F34-F110/F106)*10000</f>
        <v>-51.420849356642876</v>
      </c>
      <c r="G36" s="69">
        <f>(G34-G110/G106)*10000</f>
        <v>-229.501651997559</v>
      </c>
      <c r="H36" s="3"/>
    </row>
    <row r="37">
      <c r="A37" s="3" t="s">
        <v>197</v>
      </c>
      <c r="B37" s="44">
        <v>1253</v>
      </c>
      <c r="C37" s="44">
        <v>1090</v>
      </c>
      <c r="D37" s="44">
        <v>1039</v>
      </c>
      <c r="E37" s="44">
        <v>852</v>
      </c>
      <c r="F37" s="22">
        <f>SUM(B37:E37)</f>
        <v>4234</v>
      </c>
      <c r="G37" s="27">
        <f>G96+G68+G69</f>
        <v>1127.0726272</v>
      </c>
      <c r="H37" s="3" t="s">
        <v>86</v>
      </c>
    </row>
    <row r="38">
      <c r="A38" s="11" t="s">
        <v>198</v>
      </c>
      <c r="B38" s="20">
        <f>IFERROR(B37/B32,"n/a")</f>
        <v>0.20765661252900233</v>
      </c>
      <c r="C38" s="20">
        <f>IFERROR(C37/C32,"n/a")</f>
        <v>0.20106991330012913</v>
      </c>
      <c r="D38" s="20">
        <f>IFERROR(D37/D32,"n/a")</f>
        <v>0.20825816796953298</v>
      </c>
      <c r="E38" s="20">
        <f>IFERROR(E37/E32,"n/a")</f>
        <v>0.21662852784134248</v>
      </c>
      <c r="F38" s="20">
        <f>IFERROR(F37/F32,"n/a")</f>
        <v>0.20778328507631152</v>
      </c>
      <c r="G38" s="29">
        <f>IFERROR(G37/G32,"n/a")</f>
        <v>0.19999999999999998</v>
      </c>
      <c r="H38" s="3"/>
    </row>
    <row r="39">
      <c r="A39" s="41" t="s">
        <v>94</v>
      </c>
      <c r="B39" s="66">
        <f>(B38-B111/B110)*10000</f>
        <v>-164.6790108967472</v>
      </c>
      <c r="C39" s="66">
        <f>(C38-C111/C110)*10000</f>
        <v>-20.096418752344192</v>
      </c>
      <c r="D39" s="66">
        <f>(D38-D111/D110)*10000</f>
        <v>220.3203623814487</v>
      </c>
      <c r="E39" s="66">
        <f>(E38-E111/E110)*10000</f>
        <v>186.63475861691953</v>
      </c>
      <c r="F39" s="66">
        <f>(F38-F111/F110)*10000</f>
        <v>43.816884084878495</v>
      </c>
      <c r="G39" s="69">
        <f>(G38-G111/G110)*10000</f>
        <v>-76.56612529002349</v>
      </c>
      <c r="H39" s="3"/>
    </row>
    <row r="40">
      <c r="A40" s="41" t="s">
        <v>93</v>
      </c>
      <c r="B40" s="66" t="s">
        <v>41</v>
      </c>
      <c r="C40" s="66">
        <f>(C38-B38)*10000</f>
        <v>-65.86699228873199</v>
      </c>
      <c r="D40" s="66">
        <f>(D38-C38)*10000</f>
        <v>71.88254669403842</v>
      </c>
      <c r="E40" s="66">
        <f>(E38-D38)*10000</f>
        <v>83.70359871809508</v>
      </c>
      <c r="F40" s="66" t="s">
        <v>41</v>
      </c>
      <c r="G40" s="69">
        <f>(G38-E38)*10000</f>
        <v>-166.285278413425</v>
      </c>
      <c r="H40" s="3"/>
    </row>
    <row r="41">
      <c r="A41" s="28" t="s">
        <v>153</v>
      </c>
      <c r="B41" s="52">
        <f>B32-B37</f>
        <v>4781</v>
      </c>
      <c r="C41" s="52">
        <f>C32-C37</f>
        <v>4331</v>
      </c>
      <c r="D41" s="52">
        <f>D32-D37</f>
        <v>3950</v>
      </c>
      <c r="E41" s="52">
        <f>E32-E37</f>
        <v>3081</v>
      </c>
      <c r="F41" s="52">
        <f>F32-F37</f>
        <v>16143</v>
      </c>
      <c r="G41" s="51">
        <f>G32-G37</f>
        <v>4508.2905088</v>
      </c>
      <c r="H41" s="3" t="s">
        <v>199</v>
      </c>
    </row>
    <row r="42">
      <c r="A42" s="46" t="s">
        <v>70</v>
      </c>
      <c r="B42" s="20">
        <f>IFERROR(B41/B112-1,"n/a")</f>
        <v>0.19914722849260102</v>
      </c>
      <c r="C42" s="20">
        <f>IFERROR(C41/C112-1,"n/a")</f>
        <v>-0.07040137368534016</v>
      </c>
      <c r="D42" s="20">
        <f>IFERROR(D41/D112-1,"n/a")</f>
        <v>0.041392037964671724</v>
      </c>
      <c r="E42" s="20">
        <f>IFERROR(E41/E112-1,"n/a")</f>
        <v>-0.1503033645890789</v>
      </c>
      <c r="F42" s="20">
        <f>IFERROR(F41/F112-1,"n/a")</f>
        <v>0.00485527544351072</v>
      </c>
      <c r="G42" s="29">
        <f>IFERROR(G41/G112-1,"n/a")</f>
        <v>-0.0570402617025727</v>
      </c>
      <c r="H42" s="3"/>
    </row>
    <row r="43">
      <c r="A43" s="3" t="s">
        <v>200</v>
      </c>
      <c r="B43" s="44">
        <v>31</v>
      </c>
      <c r="C43" s="44">
        <v>12</v>
      </c>
      <c r="D43" s="44">
        <v>18</v>
      </c>
      <c r="E43" s="44">
        <v>37</v>
      </c>
      <c r="F43" s="22">
        <f>SUM(B43:E43)</f>
        <v>98</v>
      </c>
      <c r="G43" s="27">
        <f>G101+G70</f>
        <v>25</v>
      </c>
      <c r="H43" s="3" t="s">
        <v>86</v>
      </c>
    </row>
    <row r="44">
      <c r="A44" s="28" t="s">
        <v>201</v>
      </c>
      <c r="B44" s="52">
        <f>B41-B43</f>
        <v>4750</v>
      </c>
      <c r="C44" s="52">
        <f>C41-C43</f>
        <v>4319</v>
      </c>
      <c r="D44" s="52">
        <f>D41-D43</f>
        <v>3932</v>
      </c>
      <c r="E44" s="52">
        <f>E41-E43</f>
        <v>3044</v>
      </c>
      <c r="F44" s="52">
        <f>F41-F43</f>
        <v>16045</v>
      </c>
      <c r="G44" s="51">
        <f>G41-G43</f>
        <v>4483.2905088</v>
      </c>
      <c r="H44" s="3"/>
    </row>
    <row r="45">
      <c r="A45" s="46" t="s">
        <v>70</v>
      </c>
      <c r="B45" s="20">
        <f>IFERROR(B44/B113-1,"n/a")</f>
        <v>0.19979792876989144</v>
      </c>
      <c r="C45" s="20">
        <f>IFERROR(C44/C113-1,"n/a")</f>
        <v>-0.06717062634989202</v>
      </c>
      <c r="D45" s="20">
        <f>IFERROR(D44/D113-1,"n/a")</f>
        <v>0.0432475457681083</v>
      </c>
      <c r="E45" s="20">
        <f>IFERROR(E44/E113-1,"n/a")</f>
        <v>-0.15795297372060857</v>
      </c>
      <c r="F45" s="20">
        <f>IFERROR(F44/F113-1,"n/a")</f>
        <v>0.0044447226743458135</v>
      </c>
      <c r="G45" s="29">
        <f>IFERROR(G44/G113-1,"n/a")</f>
        <v>-0.056149366568421066</v>
      </c>
      <c r="H45" s="3"/>
    </row>
    <row r="46">
      <c r="A46" s="11" t="s">
        <v>202</v>
      </c>
      <c r="B46" s="20">
        <f>IFERROR(B44/B9,"n/a")</f>
        <v>0.2121861877959439</v>
      </c>
      <c r="C46" s="20">
        <f>IFERROR(C44/C9,"n/a")</f>
        <v>0.1944794668587896</v>
      </c>
      <c r="D46" s="20">
        <f>IFERROR(D44/D9,"n/a")</f>
        <v>0.18516599952907936</v>
      </c>
      <c r="E46" s="20">
        <f>IFERROR(E44/E9,"n/a")</f>
        <v>0.14356458991652124</v>
      </c>
      <c r="F46" s="20">
        <f>IFERROR(F44/F9,"n/a")</f>
        <v>0.1843574777093483</v>
      </c>
      <c r="G46" s="29">
        <f>IFERROR(G44/G9,"n/a")</f>
        <v>0.19618068478419162</v>
      </c>
      <c r="H46" s="3"/>
    </row>
    <row r="47">
      <c r="A47" s="41" t="s">
        <v>93</v>
      </c>
      <c r="B47" s="66" t="s">
        <v>41</v>
      </c>
      <c r="C47" s="66">
        <f>(C46-B46)*10000</f>
        <v>-177.0672093715428</v>
      </c>
      <c r="D47" s="66">
        <f>(D46-C46)*10000</f>
        <v>-93.13467329710251</v>
      </c>
      <c r="E47" s="66">
        <f>(E46-D46)*10000</f>
        <v>-416.0140961255812</v>
      </c>
      <c r="F47" s="66" t="s">
        <v>41</v>
      </c>
      <c r="G47" s="69">
        <f>(G46-E46)*10000</f>
        <v>526.1609486767038</v>
      </c>
      <c r="H47" s="3"/>
    </row>
    <row r="48">
      <c r="A48" s="41" t="s">
        <v>94</v>
      </c>
      <c r="B48" s="66">
        <f>(B46-B113/B106)*10000</f>
        <v>300.5433887474962</v>
      </c>
      <c r="C48" s="66">
        <f>(C46-C113/C106)*10000</f>
        <v>-171.09967379397017</v>
      </c>
      <c r="D48" s="66">
        <f>(D46-D113/D106)*10000</f>
        <v>-54.18547396486978</v>
      </c>
      <c r="E48" s="66">
        <f>(E46-E113/E106)*10000</f>
        <v>-294.9300020268025</v>
      </c>
      <c r="F48" s="66">
        <f>(F46-F113/F106)*10000</f>
        <v>-51.684109527939945</v>
      </c>
      <c r="G48" s="69">
        <f>(G46-G113/G106)*10000</f>
        <v>-160.0550301175227</v>
      </c>
      <c r="H48" s="3"/>
    </row>
    <row r="49">
      <c r="A49" s="3" t="s">
        <v>203</v>
      </c>
      <c r="B49" s="35">
        <f>'Share Count'!B22</f>
        <v>73</v>
      </c>
      <c r="C49" s="35">
        <f>'Share Count'!C22</f>
        <v>73</v>
      </c>
      <c r="D49" s="35">
        <f>'Share Count'!D22</f>
        <v>72</v>
      </c>
      <c r="E49" s="35">
        <f>'Share Count'!E22</f>
        <v>74</v>
      </c>
      <c r="F49" s="35">
        <f>'Share Count'!F22</f>
        <v>292</v>
      </c>
      <c r="G49" s="56">
        <f>'Share Count'!G22</f>
        <v>73</v>
      </c>
      <c r="H49" s="3" t="s">
        <v>204</v>
      </c>
    </row>
    <row r="50">
      <c r="A50" s="3" t="s">
        <v>205</v>
      </c>
      <c r="B50" s="35">
        <f>'Share Count'!B9</f>
        <v>2342.1</v>
      </c>
      <c r="C50" s="35">
        <f>'Share Count'!C9</f>
        <v>2335.3</v>
      </c>
      <c r="D50" s="35">
        <f>'Share Count'!D9</f>
        <v>2328.5</v>
      </c>
      <c r="E50" s="35">
        <f>'Share Count'!E9</f>
        <v>2328.8999999999996</v>
      </c>
      <c r="F50" s="35">
        <f>'Share Count'!F9</f>
        <v>2333.7</v>
      </c>
      <c r="G50" s="56">
        <f>'Share Count'!G9</f>
        <v>2322.8053207619046</v>
      </c>
      <c r="H50" s="3"/>
    </row>
    <row r="51">
      <c r="A51" s="3" t="s">
        <v>206</v>
      </c>
      <c r="B51" s="35">
        <f>'Share Count'!B14</f>
        <v>2436.7999999999997</v>
      </c>
      <c r="C51" s="35">
        <f>'Share Count'!C14</f>
        <v>2424</v>
      </c>
      <c r="D51" s="35">
        <f>'Share Count'!D14</f>
        <v>2416.5</v>
      </c>
      <c r="E51" s="35">
        <f>'Share Count'!E14</f>
        <v>2412.7</v>
      </c>
      <c r="F51" s="35">
        <f>'Share Count'!F14</f>
        <v>2422.5</v>
      </c>
      <c r="G51" s="56">
        <f>'Share Count'!G14</f>
        <v>2406.6053207619047</v>
      </c>
      <c r="H51" s="3"/>
    </row>
    <row r="52">
      <c r="A52" s="3" t="s">
        <v>207</v>
      </c>
      <c r="B52" s="38">
        <f>(B44-B49)/B50</f>
        <v>1.996925835788395</v>
      </c>
      <c r="C52" s="38">
        <f>(C44-C49)/C50</f>
        <v>1.8181818181818181</v>
      </c>
      <c r="D52" s="38">
        <f>(D44-D49)/D50</f>
        <v>1.6577195619497531</v>
      </c>
      <c r="E52" s="38">
        <f>(E44-E49)/E50</f>
        <v>1.275280175190004</v>
      </c>
      <c r="F52" s="38">
        <f>(F44-F49)/F50</f>
        <v>6.750224964648413</v>
      </c>
      <c r="G52" s="82">
        <f>(G44-G49)/G50</f>
        <v>1.898691409641415</v>
      </c>
      <c r="H52" s="3"/>
    </row>
    <row r="53">
      <c r="A53" s="28" t="s">
        <v>208</v>
      </c>
      <c r="B53" s="80">
        <f>B44/B51</f>
        <v>1.949277741300066</v>
      </c>
      <c r="C53" s="80">
        <f>C44/C51</f>
        <v>1.7817656765676568</v>
      </c>
      <c r="D53" s="80">
        <f>D44/D51</f>
        <v>1.627146699772398</v>
      </c>
      <c r="E53" s="80">
        <f>E44/E51</f>
        <v>1.2616570646992997</v>
      </c>
      <c r="F53" s="80">
        <f>F44/F51</f>
        <v>6.6233230134158925</v>
      </c>
      <c r="G53" s="90">
        <f>G44/G51</f>
        <v>1.8629105778676827</v>
      </c>
      <c r="H53" s="3"/>
    </row>
    <row r="54">
      <c r="A54" s="46" t="s">
        <v>70</v>
      </c>
      <c r="B54" s="20">
        <f>IFERROR(B53/B114-1,"n/a")</f>
        <v>0.21073151633544462</v>
      </c>
      <c r="C54" s="20">
        <f>IFERROR(C53/C114-1,"n/a")</f>
        <v>-0.05225229969805478</v>
      </c>
      <c r="D54" s="20">
        <f>IFERROR(D53/D114-1,"n/a")</f>
        <v>0.05658876608597274</v>
      </c>
      <c r="E54" s="20">
        <f>IFERROR(E53/E114-1,"n/a")</f>
        <v>-0.147529010338311</v>
      </c>
      <c r="F54" s="20">
        <f>IFERROR(F53/F114-1,"n/a")</f>
        <v>0.0174075289425335</v>
      </c>
      <c r="G54" s="29">
        <f>IFERROR(G53/G114-1,"n/a")</f>
        <v>-0.044307263968848765</v>
      </c>
      <c r="H54" s="3"/>
    </row>
    <row r="55">
      <c r="A55" s="41" t="s">
        <v>209</v>
      </c>
      <c r="B55" s="39">
        <v>1.95</v>
      </c>
      <c r="C55" s="39">
        <v>1.78</v>
      </c>
      <c r="D55" s="39">
        <v>1.63</v>
      </c>
      <c r="E55" s="39">
        <v>1.26</v>
      </c>
      <c r="F55" s="39">
        <v>6.62</v>
      </c>
      <c r="G55" s="82" t="s">
        <v>41</v>
      </c>
      <c r="H55" s="3" t="s">
        <v>86</v>
      </c>
    </row>
    <row r="56">
      <c r="A56" s="41" t="s">
        <v>210</v>
      </c>
      <c r="B56" s="38">
        <f>ROUND(B53,2)-B55</f>
        <v>0</v>
      </c>
      <c r="C56" s="38">
        <f>ROUND(C53,2)-C55</f>
        <v>0</v>
      </c>
      <c r="D56" s="38">
        <f>ROUND(D53,2)-D55</f>
        <v>0</v>
      </c>
      <c r="E56" s="38">
        <f>ROUND(E53,2)-E55</f>
        <v>0</v>
      </c>
      <c r="F56" s="38">
        <f>ROUND(F53,2)-F55</f>
        <v>0</v>
      </c>
      <c r="G56" s="89">
        <f>G53-G44/'Share Count'!G14</f>
        <v>0</v>
      </c>
      <c r="H56" s="3"/>
    </row>
    <row r="57">
      <c r="A57" s="41" t="s">
        <v>211</v>
      </c>
      <c r="B57" s="42">
        <f>ROUND(B53,2)-Inputs!D14</f>
        <v>0</v>
      </c>
      <c r="C57" s="42">
        <f>ROUND(C53,2)-Inputs!E14</f>
        <v>0</v>
      </c>
      <c r="D57" s="42">
        <f>ROUND(D53,2)-Inputs!F14</f>
        <v>0</v>
      </c>
      <c r="E57" s="42">
        <f>ROUND(E53,2)-Inputs!G14</f>
        <v>0</v>
      </c>
      <c r="F57" s="38"/>
      <c r="G57" s="82"/>
      <c r="H57" s="3" t="s">
        <v>89</v>
      </c>
    </row>
    <row r="58">
      <c r="A58" s="3" t="s">
        <v>212</v>
      </c>
      <c r="B58" s="39">
        <v>1.0568</v>
      </c>
      <c r="C58" s="39">
        <v>1.0568</v>
      </c>
      <c r="D58" s="39">
        <v>1.0568</v>
      </c>
      <c r="E58" s="39">
        <v>1.0885</v>
      </c>
      <c r="F58" s="38">
        <f>SUM(B58:E58)</f>
        <v>4.2589</v>
      </c>
      <c r="G58" s="83">
        <v>1.0885</v>
      </c>
      <c r="H58" s="3" t="s">
        <v>86</v>
      </c>
    </row>
    <row r="59">
      <c r="A59" s="3" t="s">
        <v>213</v>
      </c>
      <c r="B59" s="111">
        <f>B41-'Cash Flow Statement'!B10</f>
        <v>0</v>
      </c>
      <c r="C59" s="111">
        <f>C41-'Cash Flow Statement'!C10</f>
        <v>0</v>
      </c>
      <c r="D59" s="111">
        <f>D41-'Cash Flow Statement'!D10</f>
        <v>-1</v>
      </c>
      <c r="E59" s="111">
        <f>E41-'Cash Flow Statement'!E10</f>
        <v>0</v>
      </c>
      <c r="F59" s="111">
        <f>F41-'Cash Flow Statement'!F10</f>
        <v>-1</v>
      </c>
      <c r="G59" s="64"/>
      <c r="H59" s="3"/>
    </row>
    <row r="60">
      <c r="A60" s="49" t="s">
        <v>214</v>
      </c>
      <c r="B60" s="25"/>
      <c r="C60" s="25"/>
      <c r="D60" s="25"/>
      <c r="E60" s="25"/>
      <c r="F60" s="25"/>
      <c r="G60" s="61"/>
      <c r="H60" s="3"/>
    </row>
    <row r="61">
      <c r="A61" s="3" t="s">
        <v>215</v>
      </c>
      <c r="B61" s="44">
        <v>39</v>
      </c>
      <c r="C61" s="44">
        <v>152</v>
      </c>
      <c r="D61" s="44">
        <v>115</v>
      </c>
      <c r="E61" s="44">
        <v>129</v>
      </c>
      <c r="F61" s="22">
        <f>SUM(B61:E61)</f>
        <v>435</v>
      </c>
      <c r="G61" s="67">
        <v>60</v>
      </c>
      <c r="H61" s="3" t="s">
        <v>79</v>
      </c>
    </row>
    <row r="62">
      <c r="A62" s="3" t="s">
        <v>216</v>
      </c>
      <c r="B62" s="44">
        <v>77</v>
      </c>
      <c r="C62" s="44">
        <v>144</v>
      </c>
      <c r="D62" s="44">
        <v>28</v>
      </c>
      <c r="E62" s="44">
        <v>64</v>
      </c>
      <c r="F62" s="22">
        <f>SUM(B62:E62)</f>
        <v>313</v>
      </c>
      <c r="G62" s="67">
        <v>40</v>
      </c>
      <c r="H62" s="3" t="s">
        <v>79</v>
      </c>
    </row>
    <row r="63">
      <c r="A63" s="28" t="s">
        <v>217</v>
      </c>
      <c r="B63" s="52">
        <f>B61+B62</f>
        <v>116</v>
      </c>
      <c r="C63" s="52">
        <f>C61+C62</f>
        <v>296</v>
      </c>
      <c r="D63" s="52">
        <f>D61+D62</f>
        <v>143</v>
      </c>
      <c r="E63" s="52">
        <f>E61+E62</f>
        <v>193</v>
      </c>
      <c r="F63" s="52">
        <f>F61+F62</f>
        <v>748</v>
      </c>
      <c r="G63" s="51">
        <f>G61+G62</f>
        <v>100</v>
      </c>
      <c r="H63" s="3"/>
    </row>
    <row r="64">
      <c r="A64" s="3" t="s">
        <v>218</v>
      </c>
      <c r="B64" s="44">
        <v>7</v>
      </c>
      <c r="C64" s="44">
        <v>23</v>
      </c>
      <c r="D64" s="44">
        <v>0</v>
      </c>
      <c r="E64" s="44">
        <v>130</v>
      </c>
      <c r="F64" s="22">
        <f>SUM(B64:E64)</f>
        <v>160</v>
      </c>
      <c r="G64" s="67">
        <v>10</v>
      </c>
      <c r="H64" s="3" t="s">
        <v>79</v>
      </c>
    </row>
    <row r="65">
      <c r="A65" s="3" t="s">
        <v>219</v>
      </c>
      <c r="B65" s="44">
        <v>0</v>
      </c>
      <c r="C65" s="44">
        <v>0</v>
      </c>
      <c r="D65" s="44">
        <v>-343</v>
      </c>
      <c r="E65" s="44">
        <v>0</v>
      </c>
      <c r="F65" s="22">
        <f>SUM(B65:E65)</f>
        <v>-343</v>
      </c>
      <c r="G65" s="67">
        <v>0</v>
      </c>
      <c r="H65" s="3" t="s">
        <v>220</v>
      </c>
    </row>
    <row r="66">
      <c r="A66" s="28" t="s">
        <v>221</v>
      </c>
      <c r="B66" s="52">
        <f>B63+B64+B65</f>
        <v>123</v>
      </c>
      <c r="C66" s="52">
        <f>C63+C64+C65</f>
        <v>319</v>
      </c>
      <c r="D66" s="52">
        <f>D63+D64+D65</f>
        <v>-200</v>
      </c>
      <c r="E66" s="52">
        <f>E63+E64+E65</f>
        <v>323</v>
      </c>
      <c r="F66" s="52">
        <f>F63+F64+F65</f>
        <v>565</v>
      </c>
      <c r="G66" s="51">
        <f>G63+G64+G65</f>
        <v>110</v>
      </c>
      <c r="H66" s="3"/>
    </row>
    <row r="67">
      <c r="A67" s="46" t="s">
        <v>222</v>
      </c>
      <c r="B67" s="20" t="s">
        <v>41</v>
      </c>
      <c r="C67" s="20" t="s">
        <v>41</v>
      </c>
      <c r="D67" s="20" t="s">
        <v>41</v>
      </c>
      <c r="E67" s="20" t="s">
        <v>41</v>
      </c>
      <c r="F67" s="20" t="s">
        <v>41</v>
      </c>
      <c r="G67" s="72">
        <v>0.2</v>
      </c>
      <c r="H67" s="3"/>
    </row>
    <row r="68">
      <c r="A68" s="3" t="s">
        <v>223</v>
      </c>
      <c r="B68" s="44">
        <v>-23</v>
      </c>
      <c r="C68" s="44">
        <v>-59</v>
      </c>
      <c r="D68" s="44">
        <v>23</v>
      </c>
      <c r="E68" s="44">
        <v>53</v>
      </c>
      <c r="F68" s="22">
        <f>SUM(B68:E68)</f>
        <v>-6</v>
      </c>
      <c r="G68" s="27">
        <f>-(G63+G64)*G67</f>
        <v>-22</v>
      </c>
      <c r="H68" s="3" t="s">
        <v>224</v>
      </c>
    </row>
    <row r="69">
      <c r="A69" s="3" t="s">
        <v>225</v>
      </c>
      <c r="B69" s="44">
        <v>0</v>
      </c>
      <c r="C69" s="44">
        <v>0</v>
      </c>
      <c r="D69" s="44">
        <v>81</v>
      </c>
      <c r="E69" s="44">
        <v>0</v>
      </c>
      <c r="F69" s="22">
        <f>SUM(B69:E69)</f>
        <v>81</v>
      </c>
      <c r="G69" s="67">
        <v>0</v>
      </c>
      <c r="H69" s="3" t="s">
        <v>220</v>
      </c>
    </row>
    <row r="70">
      <c r="A70" s="3" t="s">
        <v>226</v>
      </c>
      <c r="B70" s="44">
        <v>0</v>
      </c>
      <c r="C70" s="44">
        <v>-15</v>
      </c>
      <c r="D70" s="44">
        <v>-5</v>
      </c>
      <c r="E70" s="44">
        <v>19</v>
      </c>
      <c r="F70" s="22">
        <f>SUM(B70:E70)</f>
        <v>-1</v>
      </c>
      <c r="G70" s="67">
        <v>0</v>
      </c>
      <c r="H70" s="3" t="s">
        <v>227</v>
      </c>
    </row>
    <row r="71">
      <c r="A71" s="28" t="s">
        <v>228</v>
      </c>
      <c r="B71" s="52">
        <f>B66+B68+B69+B70</f>
        <v>100</v>
      </c>
      <c r="C71" s="52">
        <f>C66+C68+C69+C70</f>
        <v>245</v>
      </c>
      <c r="D71" s="52">
        <f>D66+D68+D69+D70</f>
        <v>-101</v>
      </c>
      <c r="E71" s="52">
        <f>E66+E68+E69+E70</f>
        <v>395</v>
      </c>
      <c r="F71" s="52">
        <f>F66+F68+F69+F70</f>
        <v>639</v>
      </c>
      <c r="G71" s="51">
        <f>G66+G68+G69+G70</f>
        <v>88</v>
      </c>
      <c r="H71" s="3"/>
    </row>
    <row r="72">
      <c r="A72" s="28" t="s">
        <v>229</v>
      </c>
      <c r="B72" s="52">
        <f>B44+B71</f>
        <v>4850</v>
      </c>
      <c r="C72" s="52">
        <f>C44+C71</f>
        <v>4564</v>
      </c>
      <c r="D72" s="52">
        <f>D44+D71</f>
        <v>3831</v>
      </c>
      <c r="E72" s="52">
        <f>E44+E71</f>
        <v>3439</v>
      </c>
      <c r="F72" s="52">
        <f>F44+F71</f>
        <v>16684</v>
      </c>
      <c r="G72" s="51">
        <f>G44+G71</f>
        <v>4571.2905088</v>
      </c>
      <c r="H72" s="3"/>
    </row>
    <row r="73">
      <c r="A73" s="46" t="s">
        <v>70</v>
      </c>
      <c r="B73" s="20">
        <f>IFERROR(B72/B119-1,"n/a")</f>
        <v>0.018693551774837225</v>
      </c>
      <c r="C73" s="20">
        <f>IFERROR(C72/C119-1,"n/a")</f>
        <v>-0.014254859611231074</v>
      </c>
      <c r="D73" s="20">
        <f>IFERROR(D72/D119-1,"n/a")</f>
        <v>0.01644998673388165</v>
      </c>
      <c r="E73" s="20">
        <f>IFERROR(E72/E119-1,"n/a")</f>
        <v>-0.04868603042876907</v>
      </c>
      <c r="F73" s="20">
        <f>IFERROR(F72/F119-1,"n/a")</f>
        <v>-0.00542473919523101</v>
      </c>
      <c r="G73" s="29">
        <f>IFERROR(G72/G119-1,"n/a")</f>
        <v>-0.0574658744742268</v>
      </c>
      <c r="H73" s="3"/>
    </row>
    <row r="74">
      <c r="A74" s="28" t="s">
        <v>230</v>
      </c>
      <c r="B74" s="80">
        <f>B72/B51</f>
        <v>1.9903151674326989</v>
      </c>
      <c r="C74" s="80">
        <f>C72/C51</f>
        <v>1.8828382838283828</v>
      </c>
      <c r="D74" s="80">
        <f>D72/D51</f>
        <v>1.585350713842334</v>
      </c>
      <c r="E74" s="80">
        <f>E72/E51</f>
        <v>1.4253740622539066</v>
      </c>
      <c r="F74" s="80">
        <f>F72/F51</f>
        <v>6.887100103199175</v>
      </c>
      <c r="G74" s="90">
        <f>G72/G51</f>
        <v>1.899476606888237</v>
      </c>
      <c r="H74" s="3"/>
    </row>
    <row r="75">
      <c r="A75" s="46" t="s">
        <v>70</v>
      </c>
      <c r="B75" s="20">
        <f>IFERROR(B74/B115-1,"n/a")</f>
        <v>0.031251382089481305</v>
      </c>
      <c r="C75" s="20">
        <f>IFERROR(C74/C115-1,"n/a")</f>
        <v>0.001509725440629106</v>
      </c>
      <c r="D75" s="20">
        <f>IFERROR(D74/D115-1,"n/a")</f>
        <v>0.029448515482034976</v>
      </c>
      <c r="E75" s="20">
        <f>IFERROR(E74/E115-1,"n/a")</f>
        <v>-0.03690941739600906</v>
      </c>
      <c r="F75" s="20">
        <f>IFERROR(F74/F115-1,"n/a")</f>
        <v>0.008360190805150047</v>
      </c>
      <c r="G75" s="29">
        <f>IFERROR(G74/G115-1,"n/a")</f>
        <v>-0.04564028955355559</v>
      </c>
      <c r="H75" s="3"/>
    </row>
    <row r="76">
      <c r="A76" s="41" t="s">
        <v>231</v>
      </c>
      <c r="B76" s="39">
        <v>1.99</v>
      </c>
      <c r="C76" s="39">
        <v>1.88</v>
      </c>
      <c r="D76" s="39">
        <v>1.59</v>
      </c>
      <c r="E76" s="39">
        <v>1.43</v>
      </c>
      <c r="F76" s="39">
        <v>6.89</v>
      </c>
      <c r="G76" s="82" t="s">
        <v>41</v>
      </c>
      <c r="H76" s="3" t="s">
        <v>86</v>
      </c>
    </row>
    <row r="77">
      <c r="A77" s="41" t="s">
        <v>232</v>
      </c>
      <c r="B77" s="38">
        <f>ROUND(B74,2)-B76</f>
        <v>0</v>
      </c>
      <c r="C77" s="38">
        <f>ROUND(C74,2)-C76</f>
        <v>0</v>
      </c>
      <c r="D77" s="38">
        <f>ROUND(D74,2)-D76</f>
        <v>0</v>
      </c>
      <c r="E77" s="38">
        <f>ROUND(E74,2)-E76</f>
        <v>0</v>
      </c>
      <c r="F77" s="38">
        <f>ROUND(F74,2)-F76</f>
        <v>0</v>
      </c>
      <c r="G77" s="82"/>
      <c r="H77" s="3"/>
    </row>
    <row r="78">
      <c r="A78" s="41" t="s">
        <v>233</v>
      </c>
      <c r="B78" s="42">
        <f>ROUND(B74,2)-Inputs!D12</f>
        <v>0</v>
      </c>
      <c r="C78" s="42">
        <f>ROUND(C74,2)-Inputs!E12</f>
        <v>0</v>
      </c>
      <c r="D78" s="42">
        <f>ROUND(D74,2)-Inputs!F12</f>
        <v>0</v>
      </c>
      <c r="E78" s="42">
        <f>ROUND(E74,2)-Inputs!G12</f>
        <v>0</v>
      </c>
      <c r="F78" s="38"/>
      <c r="G78" s="82"/>
      <c r="H78" s="3" t="s">
        <v>89</v>
      </c>
    </row>
    <row r="79">
      <c r="A79" s="3"/>
      <c r="B79" s="26"/>
      <c r="C79" s="26"/>
      <c r="D79" s="26"/>
      <c r="E79" s="26"/>
      <c r="F79" s="26"/>
      <c r="G79" s="64"/>
      <c r="H79" s="3"/>
    </row>
    <row r="80">
      <c r="A80" s="49" t="s">
        <v>234</v>
      </c>
      <c r="B80" s="25"/>
      <c r="C80" s="25"/>
      <c r="D80" s="25"/>
      <c r="E80" s="25"/>
      <c r="F80" s="25"/>
      <c r="G80" s="61"/>
      <c r="H80" s="3"/>
    </row>
    <row r="81">
      <c r="A81" s="28" t="s">
        <v>235</v>
      </c>
      <c r="B81" s="52">
        <f>B14+B61</f>
        <v>11538</v>
      </c>
      <c r="C81" s="52">
        <f>C14+C61</f>
        <v>11526</v>
      </c>
      <c r="D81" s="52">
        <f>D14+D61</f>
        <v>10628</v>
      </c>
      <c r="E81" s="52">
        <f>E14+E61</f>
        <v>10412</v>
      </c>
      <c r="F81" s="52">
        <f>F14+F61</f>
        <v>44104</v>
      </c>
      <c r="G81" s="51">
        <f>G14+G61</f>
        <v>11472.137728</v>
      </c>
      <c r="H81" s="3"/>
    </row>
    <row r="82">
      <c r="A82" s="11" t="s">
        <v>236</v>
      </c>
      <c r="B82" s="20">
        <f>IFERROR(B81/B9,"n/a")</f>
        <v>0.5154114178504422</v>
      </c>
      <c r="C82" s="20">
        <f>IFERROR(C81/C9,"n/a")</f>
        <v>0.5190021613832853</v>
      </c>
      <c r="D82" s="20">
        <f>IFERROR(D81/D9,"n/a")</f>
        <v>0.500494466682364</v>
      </c>
      <c r="E82" s="20">
        <f>IFERROR(E81/E9,"n/a")</f>
        <v>0.4910625854831863</v>
      </c>
      <c r="F82" s="20">
        <f>IFERROR(F81/F9,"n/a")</f>
        <v>0.5067561356742347</v>
      </c>
      <c r="G82" s="72">
        <v>0.502</v>
      </c>
      <c r="H82" s="3" t="s">
        <v>79</v>
      </c>
    </row>
    <row r="83">
      <c r="A83" s="41" t="s">
        <v>94</v>
      </c>
      <c r="B83" s="66">
        <f>(B82-B116)*10000</f>
        <v>-45.885821495578185</v>
      </c>
      <c r="C83" s="66">
        <f>(C82-C116)*10000</f>
        <v>-49.97838616714767</v>
      </c>
      <c r="D83" s="66">
        <f>(D82-D116)*10000</f>
        <v>-95.05533317636039</v>
      </c>
      <c r="E83" s="66">
        <f>(E82-E116)*10000</f>
        <v>0.6258548318632817</v>
      </c>
      <c r="F83" s="66">
        <f>(F82-F116)*10000</f>
        <v>-42.4386432576529</v>
      </c>
      <c r="G83" s="69">
        <f>(G82-G116)*10000</f>
        <v>-134.11417850442197</v>
      </c>
      <c r="H83" s="3"/>
    </row>
    <row r="84">
      <c r="A84" s="41" t="s">
        <v>93</v>
      </c>
      <c r="B84" s="66" t="s">
        <v>41</v>
      </c>
      <c r="C84" s="66">
        <f>(C82-B82)*10000</f>
        <v>35.90743532843055</v>
      </c>
      <c r="D84" s="66">
        <f>(D82-C82)*10000</f>
        <v>-185.07694700921286</v>
      </c>
      <c r="E84" s="66">
        <f>(E82-D82)*10000</f>
        <v>-94.3188119917765</v>
      </c>
      <c r="F84" s="66" t="s">
        <v>41</v>
      </c>
      <c r="G84" s="69">
        <f>(G82-E82)*10000</f>
        <v>109.37414516813682</v>
      </c>
      <c r="H84" s="3"/>
    </row>
    <row r="85">
      <c r="A85" s="3" t="s">
        <v>237</v>
      </c>
      <c r="B85" s="22">
        <f>B19-B62</f>
        <v>5566</v>
      </c>
      <c r="C85" s="22">
        <f>C19-C62</f>
        <v>5864</v>
      </c>
      <c r="D85" s="22">
        <f>D19-D62</f>
        <v>5908</v>
      </c>
      <c r="E85" s="22">
        <f>E19-E62</f>
        <v>6270</v>
      </c>
      <c r="F85" s="22">
        <f>F19-F62</f>
        <v>23608</v>
      </c>
      <c r="G85" s="27">
        <f>G19-G62</f>
        <v>5781.774592</v>
      </c>
      <c r="H85" s="3"/>
    </row>
    <row r="86">
      <c r="A86" s="11" t="s">
        <v>238</v>
      </c>
      <c r="B86" s="20">
        <f>IFERROR(B85/B9,"n/a")</f>
        <v>0.24863754132046814</v>
      </c>
      <c r="C86" s="20">
        <f>IFERROR(C85/C9,"n/a")</f>
        <v>0.26404899135446686</v>
      </c>
      <c r="D86" s="20">
        <f>IFERROR(D85/D9,"n/a")</f>
        <v>0.27821991994348955</v>
      </c>
      <c r="E86" s="20">
        <f>IFERROR(E85/E9,"n/a")</f>
        <v>0.29571287082016695</v>
      </c>
      <c r="F86" s="20">
        <f>IFERROR(F85/F9,"n/a")</f>
        <v>0.2712565493151944</v>
      </c>
      <c r="G86" s="72">
        <v>0.253</v>
      </c>
      <c r="H86" s="3" t="s">
        <v>79</v>
      </c>
    </row>
    <row r="87">
      <c r="A87" s="41" t="s">
        <v>94</v>
      </c>
      <c r="B87" s="66">
        <f>(B86-B117)*10000</f>
        <v>-43.624586795318606</v>
      </c>
      <c r="C87" s="66">
        <f>(C86-C117)*10000</f>
        <v>20.489913544668447</v>
      </c>
      <c r="D87" s="66">
        <f>(D86-D117)*10000</f>
        <v>-7.800800565104793</v>
      </c>
      <c r="E87" s="66">
        <f>(E86-E117)*10000</f>
        <v>127.12870820166977</v>
      </c>
      <c r="F87" s="66">
        <f>(F86-F117)*10000</f>
        <v>22.56549315194367</v>
      </c>
      <c r="G87" s="69">
        <f>(G86-G117)*10000</f>
        <v>43.624586795318606</v>
      </c>
      <c r="H87" s="3"/>
    </row>
    <row r="88">
      <c r="A88" s="41" t="s">
        <v>93</v>
      </c>
      <c r="B88" s="66" t="s">
        <v>41</v>
      </c>
      <c r="C88" s="66">
        <f>(C86-B86)*10000</f>
        <v>154.11450033998713</v>
      </c>
      <c r="D88" s="66">
        <f>(D86-C86)*10000</f>
        <v>141.7092858902269</v>
      </c>
      <c r="E88" s="66">
        <f>(E86-D86)*10000</f>
        <v>174.92950876677403</v>
      </c>
      <c r="F88" s="66" t="s">
        <v>41</v>
      </c>
      <c r="G88" s="69">
        <f>(G86-E86)*10000</f>
        <v>-427.1287082016695</v>
      </c>
      <c r="H88" s="3"/>
    </row>
    <row r="89">
      <c r="A89" s="28" t="s">
        <v>239</v>
      </c>
      <c r="B89" s="52">
        <f>B81-B85</f>
        <v>5972</v>
      </c>
      <c r="C89" s="52">
        <f>C81-C85</f>
        <v>5662</v>
      </c>
      <c r="D89" s="52">
        <f>D81-D85</f>
        <v>4720</v>
      </c>
      <c r="E89" s="52">
        <f>E81-E85</f>
        <v>4142</v>
      </c>
      <c r="F89" s="52">
        <f>F81-F85</f>
        <v>20496</v>
      </c>
      <c r="G89" s="51">
        <f>G81-G85</f>
        <v>5690.363136</v>
      </c>
      <c r="H89" s="3"/>
    </row>
    <row r="90">
      <c r="A90" s="46" t="s">
        <v>70</v>
      </c>
      <c r="B90" s="20">
        <f>IFERROR(B89/B120-1,"n/a")</f>
        <v>0.029300241296104756</v>
      </c>
      <c r="C90" s="20">
        <f>IFERROR(C89/C120-1,"n/a")</f>
        <v>-0.013760668873018633</v>
      </c>
      <c r="D90" s="20">
        <f>IFERROR(D89/D120-1,"n/a")</f>
        <v>0.03554190434401061</v>
      </c>
      <c r="E90" s="20">
        <f>IFERROR(E89/E120-1,"n/a")</f>
        <v>-0.04890929965556834</v>
      </c>
      <c r="F90" s="20">
        <f>IFERROR(F89/F120-1,"n/a")</f>
        <v>0.001955416503715224</v>
      </c>
      <c r="G90" s="29">
        <f>IFERROR(G89/G120-1,"n/a")</f>
        <v>-0.04715955525787008</v>
      </c>
      <c r="H90" s="3"/>
    </row>
    <row r="91">
      <c r="A91" s="11" t="s">
        <v>240</v>
      </c>
      <c r="B91" s="20">
        <f>IFERROR(B89/B9,"n/a")</f>
        <v>0.2667738765299741</v>
      </c>
      <c r="C91" s="20">
        <f>IFERROR(C89/C9,"n/a")</f>
        <v>0.25495317002881845</v>
      </c>
      <c r="D91" s="20">
        <f>IFERROR(D89/D9,"n/a")</f>
        <v>0.2222745467388745</v>
      </c>
      <c r="E91" s="20">
        <f>IFERROR(E89/E9,"n/a")</f>
        <v>0.1953497146630194</v>
      </c>
      <c r="F91" s="20">
        <f>IFERROR(F89/F9,"n/a")</f>
        <v>0.23549958635904036</v>
      </c>
      <c r="G91" s="29">
        <f>IFERROR(G89/G9,"n/a")</f>
        <v>0.24900000000000003</v>
      </c>
      <c r="H91" s="3"/>
    </row>
    <row r="92">
      <c r="A92" s="41" t="s">
        <v>94</v>
      </c>
      <c r="B92" s="66">
        <f>(B91-B118)*10000</f>
        <v>-2.261234700259296</v>
      </c>
      <c r="C92" s="66">
        <f>(C91-C118)*10000</f>
        <v>-70.46829971181556</v>
      </c>
      <c r="D92" s="66">
        <f>(D91-D118)*10000</f>
        <v>-77.25453261125503</v>
      </c>
      <c r="E92" s="66">
        <f>(E91-E118)*10000</f>
        <v>-126.50285336980593</v>
      </c>
      <c r="F92" s="66">
        <f>(F91-F118)*10000</f>
        <v>-75.0041364095963</v>
      </c>
      <c r="G92" s="69">
        <f>(G91-G118)*10000</f>
        <v>-177.73876529974058</v>
      </c>
      <c r="H92" s="3"/>
    </row>
    <row r="93">
      <c r="A93" s="41" t="s">
        <v>93</v>
      </c>
      <c r="B93" s="66" t="s">
        <v>41</v>
      </c>
      <c r="C93" s="66">
        <f>(C91-B91)*10000</f>
        <v>-118.20706501155631</v>
      </c>
      <c r="D93" s="66">
        <f>(D91-C91)*10000</f>
        <v>-326.7862328994395</v>
      </c>
      <c r="E93" s="66">
        <f>(E91-D91)*10000</f>
        <v>-269.2483207585511</v>
      </c>
      <c r="F93" s="66" t="s">
        <v>41</v>
      </c>
      <c r="G93" s="69">
        <f>(G91-E91)*10000</f>
        <v>536.5028533698063</v>
      </c>
      <c r="H93" s="3"/>
    </row>
    <row r="94">
      <c r="A94" s="3" t="s">
        <v>241</v>
      </c>
      <c r="B94" s="22">
        <f>B30+B64+B65</f>
        <v>275</v>
      </c>
      <c r="C94" s="22">
        <f>C30+C64+C65</f>
        <v>183</v>
      </c>
      <c r="D94" s="22">
        <f>D30+D64+D65</f>
        <v>194</v>
      </c>
      <c r="E94" s="22">
        <f>E30+E64+E65</f>
        <v>242</v>
      </c>
      <c r="F94" s="22">
        <f>F30+F64+F65</f>
        <v>894</v>
      </c>
      <c r="G94" s="67">
        <v>200</v>
      </c>
      <c r="H94" s="3" t="s">
        <v>242</v>
      </c>
    </row>
    <row r="95">
      <c r="A95" s="28" t="s">
        <v>243</v>
      </c>
      <c r="B95" s="52">
        <f>B32+B66</f>
        <v>6157</v>
      </c>
      <c r="C95" s="52">
        <f>C32+C66</f>
        <v>5740</v>
      </c>
      <c r="D95" s="52">
        <f>D32+D66</f>
        <v>4789</v>
      </c>
      <c r="E95" s="52">
        <f>E32+E66</f>
        <v>4256</v>
      </c>
      <c r="F95" s="52">
        <f>F32+F66</f>
        <v>20942</v>
      </c>
      <c r="G95" s="51">
        <f>G32+G66</f>
        <v>5745.363136</v>
      </c>
      <c r="H95" s="3"/>
    </row>
    <row r="96">
      <c r="A96" s="3" t="s">
        <v>244</v>
      </c>
      <c r="B96" s="22">
        <f>B37-B68-B69</f>
        <v>1276</v>
      </c>
      <c r="C96" s="22">
        <f>C37-C68-C69</f>
        <v>1149</v>
      </c>
      <c r="D96" s="22">
        <f>D37-D68-D69</f>
        <v>935</v>
      </c>
      <c r="E96" s="22">
        <f>E37-E68-E69</f>
        <v>799</v>
      </c>
      <c r="F96" s="22">
        <f>F37-F68-F69</f>
        <v>4159</v>
      </c>
      <c r="G96" s="27">
        <f>G95*G97</f>
        <v>1149.0726272</v>
      </c>
      <c r="H96" s="3"/>
    </row>
    <row r="97">
      <c r="A97" s="11" t="s">
        <v>245</v>
      </c>
      <c r="B97" s="20">
        <f>IFERROR(B96/B95,"n/a")</f>
        <v>0.20724378755887607</v>
      </c>
      <c r="C97" s="20">
        <f>IFERROR(C96/C95,"n/a")</f>
        <v>0.20017421602787455</v>
      </c>
      <c r="D97" s="20">
        <f>IFERROR(D96/D95,"n/a")</f>
        <v>0.19523908958028816</v>
      </c>
      <c r="E97" s="20">
        <f>IFERROR(E96/E95,"n/a")</f>
        <v>0.18773496240601503</v>
      </c>
      <c r="F97" s="20">
        <f>IFERROR(F96/F95,"n/a")</f>
        <v>0.19859612262439116</v>
      </c>
      <c r="G97" s="72">
        <v>0.2</v>
      </c>
      <c r="H97" s="3" t="s">
        <v>246</v>
      </c>
    </row>
    <row r="98">
      <c r="A98" s="41" t="s">
        <v>93</v>
      </c>
      <c r="B98" s="66" t="s">
        <v>41</v>
      </c>
      <c r="C98" s="66">
        <f>(C97-B97)*10000</f>
        <v>-70.69571531001517</v>
      </c>
      <c r="D98" s="66">
        <f>(D97-C97)*10000</f>
        <v>-49.351264475863964</v>
      </c>
      <c r="E98" s="66">
        <f>(E97-D97)*10000</f>
        <v>-75.04127174273123</v>
      </c>
      <c r="F98" s="66" t="s">
        <v>41</v>
      </c>
      <c r="G98" s="69">
        <f>(G97-E97)*10000</f>
        <v>122.65037593984978</v>
      </c>
      <c r="H98" s="3"/>
    </row>
    <row r="99">
      <c r="A99" s="41" t="s">
        <v>94</v>
      </c>
      <c r="B99" s="66">
        <f>(B97-B121/B122)*10000</f>
        <v>142.55417425722533</v>
      </c>
      <c r="C99" s="66">
        <f>(C97-C121/C122)*10000</f>
        <v>-29.05339147489</v>
      </c>
      <c r="D99" s="66">
        <f>(D97-D121/D122)*10000</f>
        <v>90.1295784890005</v>
      </c>
      <c r="E99" s="66">
        <f>(E97-E121/E122)*10000</f>
        <v>-102.30089573635497</v>
      </c>
      <c r="F99" s="66">
        <f>(F97-F121/F122)*10000</f>
        <v>32.716951434751394</v>
      </c>
      <c r="G99" s="69">
        <f>(G97-G121/G122)*10000</f>
        <v>-72.43787558876058</v>
      </c>
      <c r="H99" s="3"/>
    </row>
    <row r="100">
      <c r="A100" s="28" t="s">
        <v>247</v>
      </c>
      <c r="B100" s="52">
        <f>B95-B96</f>
        <v>4881</v>
      </c>
      <c r="C100" s="52">
        <f>C95-C96</f>
        <v>4591</v>
      </c>
      <c r="D100" s="52">
        <f>D95-D96</f>
        <v>3854</v>
      </c>
      <c r="E100" s="52">
        <f>E95-E96</f>
        <v>3457</v>
      </c>
      <c r="F100" s="52">
        <f>F95-F96</f>
        <v>16783</v>
      </c>
      <c r="G100" s="51">
        <f>G95-G96</f>
        <v>4596.2905088</v>
      </c>
      <c r="H100" s="3"/>
    </row>
    <row r="101">
      <c r="A101" s="3" t="s">
        <v>248</v>
      </c>
      <c r="B101" s="22">
        <f>B43-B70</f>
        <v>31</v>
      </c>
      <c r="C101" s="22">
        <f>C43-C70</f>
        <v>27</v>
      </c>
      <c r="D101" s="22">
        <f>D43-D70</f>
        <v>23</v>
      </c>
      <c r="E101" s="22">
        <f>E43-E70</f>
        <v>18</v>
      </c>
      <c r="F101" s="22">
        <f>F43-F70</f>
        <v>99</v>
      </c>
      <c r="G101" s="67">
        <v>25</v>
      </c>
      <c r="H101" s="3" t="s">
        <v>242</v>
      </c>
    </row>
    <row r="102">
      <c r="A102" s="41" t="s">
        <v>249</v>
      </c>
      <c r="B102" s="22">
        <f>B100-B101-B72</f>
        <v>0</v>
      </c>
      <c r="C102" s="22">
        <f>C100-C101-C72</f>
        <v>0</v>
      </c>
      <c r="D102" s="22">
        <f>D100-D101-D72</f>
        <v>0</v>
      </c>
      <c r="E102" s="22">
        <f>E100-E101-E72</f>
        <v>0</v>
      </c>
      <c r="F102" s="22">
        <f>F100-F101-F72</f>
        <v>0</v>
      </c>
      <c r="G102" s="27">
        <f>G100-G101-G72</f>
        <v>0</v>
      </c>
      <c r="H102" s="3"/>
    </row>
    <row r="103">
      <c r="A103" s="3"/>
      <c r="B103" s="26"/>
      <c r="C103" s="26"/>
      <c r="D103" s="26"/>
      <c r="E103" s="26"/>
      <c r="F103" s="26"/>
      <c r="G103" s="64"/>
      <c r="H103" s="3"/>
    </row>
    <row r="104">
      <c r="A104" s="49" t="s">
        <v>250</v>
      </c>
      <c r="B104" s="25"/>
      <c r="C104" s="25"/>
      <c r="D104" s="25"/>
      <c r="E104" s="25"/>
      <c r="F104" s="25"/>
      <c r="G104" s="61"/>
      <c r="H104" s="3"/>
    </row>
    <row r="105">
      <c r="A105" s="41" t="s">
        <v>251</v>
      </c>
      <c r="B105" s="44">
        <v>6034</v>
      </c>
      <c r="C105" s="44">
        <v>5421</v>
      </c>
      <c r="D105" s="44">
        <v>4989</v>
      </c>
      <c r="E105" s="44">
        <v>3933</v>
      </c>
      <c r="F105" s="22">
        <f>SUM(B105:E105)</f>
        <v>20377</v>
      </c>
      <c r="G105" s="27" t="s">
        <v>41</v>
      </c>
      <c r="H105" s="3" t="s">
        <v>86</v>
      </c>
    </row>
    <row r="106">
      <c r="A106" s="41" t="s">
        <v>159</v>
      </c>
      <c r="B106" s="35">
        <f>'Revenue summary'!B44</f>
        <v>21737</v>
      </c>
      <c r="C106" s="35">
        <f>'Revenue summary'!C44</f>
        <v>21882</v>
      </c>
      <c r="D106" s="35">
        <f>'Revenue summary'!D44</f>
        <v>19776</v>
      </c>
      <c r="E106" s="35">
        <f>'Revenue summary'!E44</f>
        <v>20889</v>
      </c>
      <c r="F106" s="35">
        <f>'Revenue summary'!F44</f>
        <v>84284</v>
      </c>
      <c r="G106" s="56">
        <f>'Revenue summary'!G44</f>
        <v>22386</v>
      </c>
      <c r="H106" s="3" t="s">
        <v>61</v>
      </c>
    </row>
    <row r="107">
      <c r="A107" s="41" t="s">
        <v>252</v>
      </c>
      <c r="B107" s="44">
        <v>11316</v>
      </c>
      <c r="C107" s="44">
        <v>11464</v>
      </c>
      <c r="D107" s="44">
        <v>10081</v>
      </c>
      <c r="E107" s="44">
        <v>10258</v>
      </c>
      <c r="F107" s="44">
        <v>43120</v>
      </c>
      <c r="G107" s="27">
        <f>B14</f>
        <v>11499</v>
      </c>
      <c r="H107" s="3" t="s">
        <v>253</v>
      </c>
    </row>
    <row r="108">
      <c r="A108" s="41" t="s">
        <v>254</v>
      </c>
      <c r="B108" s="44">
        <v>5519</v>
      </c>
      <c r="C108" s="44">
        <v>5723</v>
      </c>
      <c r="D108" s="44">
        <v>5524</v>
      </c>
      <c r="E108" s="44">
        <v>5903</v>
      </c>
      <c r="F108" s="44">
        <v>22669</v>
      </c>
      <c r="G108" s="27">
        <f>B19</f>
        <v>5643</v>
      </c>
      <c r="H108" s="3" t="s">
        <v>253</v>
      </c>
    </row>
    <row r="109">
      <c r="A109" s="41" t="s">
        <v>255</v>
      </c>
      <c r="B109" s="44">
        <v>5797</v>
      </c>
      <c r="C109" s="44">
        <v>5741</v>
      </c>
      <c r="D109" s="44">
        <v>4558</v>
      </c>
      <c r="E109" s="44">
        <v>4355</v>
      </c>
      <c r="F109" s="44">
        <v>20451</v>
      </c>
      <c r="G109" s="27">
        <f>B23</f>
        <v>5856</v>
      </c>
      <c r="H109" s="3" t="s">
        <v>253</v>
      </c>
    </row>
    <row r="110">
      <c r="A110" s="41" t="s">
        <v>161</v>
      </c>
      <c r="B110" s="44">
        <v>5140</v>
      </c>
      <c r="C110" s="44">
        <v>5845</v>
      </c>
      <c r="D110" s="44">
        <v>4661</v>
      </c>
      <c r="E110" s="44">
        <v>4521</v>
      </c>
      <c r="F110" s="44">
        <v>20167</v>
      </c>
      <c r="G110" s="27">
        <f>B32</f>
        <v>6034</v>
      </c>
      <c r="H110" s="3" t="s">
        <v>253</v>
      </c>
    </row>
    <row r="111">
      <c r="A111" s="41" t="s">
        <v>256</v>
      </c>
      <c r="B111" s="44">
        <v>1152</v>
      </c>
      <c r="C111" s="44">
        <v>1187</v>
      </c>
      <c r="D111" s="44">
        <v>868</v>
      </c>
      <c r="E111" s="44">
        <v>895</v>
      </c>
      <c r="F111" s="44">
        <v>4102</v>
      </c>
      <c r="G111" s="27">
        <f>B37</f>
        <v>1253</v>
      </c>
      <c r="H111" s="3" t="s">
        <v>253</v>
      </c>
    </row>
    <row r="112">
      <c r="A112" s="41" t="s">
        <v>162</v>
      </c>
      <c r="B112" s="44">
        <v>3987</v>
      </c>
      <c r="C112" s="44">
        <v>4659</v>
      </c>
      <c r="D112" s="44">
        <v>3793</v>
      </c>
      <c r="E112" s="44">
        <v>3626</v>
      </c>
      <c r="F112" s="44">
        <v>16065</v>
      </c>
      <c r="G112" s="27">
        <f>B41</f>
        <v>4781</v>
      </c>
      <c r="H112" s="3" t="s">
        <v>253</v>
      </c>
    </row>
    <row r="113">
      <c r="A113" s="41" t="s">
        <v>257</v>
      </c>
      <c r="B113" s="44">
        <v>3959</v>
      </c>
      <c r="C113" s="44">
        <v>4630</v>
      </c>
      <c r="D113" s="44">
        <v>3769</v>
      </c>
      <c r="E113" s="44">
        <v>3615</v>
      </c>
      <c r="F113" s="44">
        <v>15974</v>
      </c>
      <c r="G113" s="27">
        <f>B44</f>
        <v>4750</v>
      </c>
      <c r="H113" s="3" t="s">
        <v>253</v>
      </c>
    </row>
    <row r="114">
      <c r="A114" s="41" t="s">
        <v>258</v>
      </c>
      <c r="B114" s="39">
        <v>1.61</v>
      </c>
      <c r="C114" s="39">
        <v>1.88</v>
      </c>
      <c r="D114" s="42">
        <f>Inputs!B14</f>
        <v>1.54</v>
      </c>
      <c r="E114" s="42">
        <f>Inputs!C14</f>
        <v>1.48</v>
      </c>
      <c r="F114" s="39">
        <v>6.51</v>
      </c>
      <c r="G114" s="82">
        <f>B53</f>
        <v>1.949277741300066</v>
      </c>
      <c r="H114" s="3" t="s">
        <v>253</v>
      </c>
    </row>
    <row r="115">
      <c r="A115" s="41" t="s">
        <v>259</v>
      </c>
      <c r="B115" s="39">
        <v>1.93</v>
      </c>
      <c r="C115" s="39">
        <v>1.88</v>
      </c>
      <c r="D115" s="42">
        <f>Inputs!B12</f>
        <v>1.54</v>
      </c>
      <c r="E115" s="42">
        <f>Inputs!C12</f>
        <v>1.48</v>
      </c>
      <c r="F115" s="39">
        <v>6.83</v>
      </c>
      <c r="G115" s="82">
        <f>B74</f>
        <v>1.9903151674326989</v>
      </c>
      <c r="H115" s="3" t="s">
        <v>253</v>
      </c>
    </row>
    <row r="116">
      <c r="A116" s="46" t="s">
        <v>260</v>
      </c>
      <c r="B116" s="17">
        <v>0.52</v>
      </c>
      <c r="C116" s="17">
        <v>0.524</v>
      </c>
      <c r="D116" s="17">
        <v>0.51</v>
      </c>
      <c r="E116" s="17">
        <v>0.491</v>
      </c>
      <c r="F116" s="17">
        <v>0.511</v>
      </c>
      <c r="G116" s="29">
        <f>B82</f>
        <v>0.5154114178504422</v>
      </c>
      <c r="H116" s="3" t="s">
        <v>253</v>
      </c>
    </row>
    <row r="117">
      <c r="A117" s="46" t="s">
        <v>261</v>
      </c>
      <c r="B117" s="17">
        <v>0.253</v>
      </c>
      <c r="C117" s="17">
        <v>0.262</v>
      </c>
      <c r="D117" s="17">
        <v>0.279</v>
      </c>
      <c r="E117" s="17">
        <v>0.283</v>
      </c>
      <c r="F117" s="17">
        <v>0.269</v>
      </c>
      <c r="G117" s="29">
        <f>B86</f>
        <v>0.24863754132046814</v>
      </c>
      <c r="H117" s="3" t="s">
        <v>253</v>
      </c>
    </row>
    <row r="118">
      <c r="A118" s="46" t="s">
        <v>262</v>
      </c>
      <c r="B118" s="17">
        <v>0.267</v>
      </c>
      <c r="C118" s="17">
        <v>0.262</v>
      </c>
      <c r="D118" s="17">
        <v>0.23</v>
      </c>
      <c r="E118" s="17">
        <v>0.208</v>
      </c>
      <c r="F118" s="17">
        <v>0.243</v>
      </c>
      <c r="G118" s="29">
        <f>B91</f>
        <v>0.2667738765299741</v>
      </c>
      <c r="H118" s="3" t="s">
        <v>253</v>
      </c>
    </row>
    <row r="119">
      <c r="A119" s="41" t="s">
        <v>263</v>
      </c>
      <c r="B119" s="44">
        <v>4761</v>
      </c>
      <c r="C119" s="44">
        <v>4630</v>
      </c>
      <c r="D119" s="44">
        <v>3769</v>
      </c>
      <c r="E119" s="44">
        <v>3615</v>
      </c>
      <c r="F119" s="44">
        <v>16775</v>
      </c>
      <c r="G119" s="27">
        <f>B72</f>
        <v>4850</v>
      </c>
      <c r="H119" s="3" t="s">
        <v>264</v>
      </c>
    </row>
    <row r="120">
      <c r="A120" s="41" t="s">
        <v>265</v>
      </c>
      <c r="B120" s="44">
        <v>5802</v>
      </c>
      <c r="C120" s="44">
        <v>5741</v>
      </c>
      <c r="D120" s="44">
        <v>4558</v>
      </c>
      <c r="E120" s="44">
        <v>4355</v>
      </c>
      <c r="F120" s="44">
        <v>20456</v>
      </c>
      <c r="G120" s="27">
        <f>B89</f>
        <v>5972</v>
      </c>
      <c r="H120" s="3" t="s">
        <v>264</v>
      </c>
    </row>
    <row r="121">
      <c r="A121" s="41" t="s">
        <v>266</v>
      </c>
      <c r="B121" s="44">
        <v>1145</v>
      </c>
      <c r="C121" s="44">
        <v>1187</v>
      </c>
      <c r="D121" s="44">
        <v>868</v>
      </c>
      <c r="E121" s="44">
        <v>895</v>
      </c>
      <c r="F121" s="44">
        <v>4094</v>
      </c>
      <c r="G121" s="27">
        <f>B96</f>
        <v>1276</v>
      </c>
      <c r="H121" s="3" t="s">
        <v>264</v>
      </c>
    </row>
    <row r="122">
      <c r="A122" s="41" t="s">
        <v>267</v>
      </c>
      <c r="B122" s="44">
        <v>5933</v>
      </c>
      <c r="C122" s="44">
        <v>5845</v>
      </c>
      <c r="D122" s="44">
        <v>4661</v>
      </c>
      <c r="E122" s="44">
        <v>4521</v>
      </c>
      <c r="F122" s="44">
        <v>20960</v>
      </c>
      <c r="G122" s="27">
        <f>B95</f>
        <v>6157</v>
      </c>
      <c r="H122" s="3" t="s">
        <v>268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2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269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270</v>
      </c>
      <c r="B8" s="25"/>
      <c r="C8" s="25"/>
      <c r="D8" s="25"/>
      <c r="E8" s="25"/>
      <c r="F8" s="25"/>
      <c r="G8" s="61"/>
      <c r="H8" s="3"/>
    </row>
    <row r="9">
      <c r="A9" s="3" t="s">
        <v>271</v>
      </c>
      <c r="B9" s="44">
        <v>11171</v>
      </c>
      <c r="C9" s="44">
        <v>10825</v>
      </c>
      <c r="D9" s="44">
        <v>12306</v>
      </c>
      <c r="E9" s="44">
        <v>9942</v>
      </c>
      <c r="F9" s="22">
        <f>E9</f>
        <v>9942</v>
      </c>
      <c r="G9" s="56">
        <f>'Cash Flow Statement'!G44</f>
        <v>10091.273717150667</v>
      </c>
      <c r="H9" s="3" t="s">
        <v>86</v>
      </c>
    </row>
    <row r="10">
      <c r="A10" s="3" t="s">
        <v>272</v>
      </c>
      <c r="B10" s="44">
        <v>6487</v>
      </c>
      <c r="C10" s="44">
        <v>6279</v>
      </c>
      <c r="D10" s="44">
        <v>6322</v>
      </c>
      <c r="E10" s="44">
        <v>6056</v>
      </c>
      <c r="F10" s="22">
        <f>E10</f>
        <v>6056</v>
      </c>
      <c r="G10" s="56">
        <f>E10-'Cash Flow Statement'!G15</f>
        <v>6356</v>
      </c>
      <c r="H10" s="3" t="s">
        <v>86</v>
      </c>
    </row>
    <row r="11">
      <c r="A11" s="3" t="s">
        <v>273</v>
      </c>
      <c r="B11" s="44">
        <v>7848</v>
      </c>
      <c r="C11" s="44">
        <v>7817</v>
      </c>
      <c r="D11" s="44">
        <v>7853</v>
      </c>
      <c r="E11" s="44">
        <v>8170</v>
      </c>
      <c r="F11" s="22">
        <f>E11</f>
        <v>8170</v>
      </c>
      <c r="G11" s="56">
        <f>E11-'Cash Flow Statement'!G16</f>
        <v>8470</v>
      </c>
      <c r="H11" s="3" t="s">
        <v>86</v>
      </c>
    </row>
    <row r="12">
      <c r="A12" s="3" t="s">
        <v>274</v>
      </c>
      <c r="B12" s="44">
        <v>1612</v>
      </c>
      <c r="C12" s="44">
        <v>1666</v>
      </c>
      <c r="D12" s="44">
        <v>1506</v>
      </c>
      <c r="E12" s="44">
        <v>2040</v>
      </c>
      <c r="F12" s="22">
        <f>E12</f>
        <v>2040</v>
      </c>
      <c r="G12" s="27">
        <f>E12</f>
        <v>2040</v>
      </c>
      <c r="H12" s="3" t="s">
        <v>86</v>
      </c>
    </row>
    <row r="13">
      <c r="A13" s="28" t="s">
        <v>275</v>
      </c>
      <c r="B13" s="52">
        <f>B9+B10+B11+B12</f>
        <v>27118</v>
      </c>
      <c r="C13" s="52">
        <f>C9+C10+C11+C12</f>
        <v>26587</v>
      </c>
      <c r="D13" s="52">
        <f>D9+D10+D11+D12</f>
        <v>27987</v>
      </c>
      <c r="E13" s="52">
        <f>E9+E10+E11+E12</f>
        <v>26208</v>
      </c>
      <c r="F13" s="52">
        <f>F9+F10+F11+F12</f>
        <v>26208</v>
      </c>
      <c r="G13" s="51">
        <f>G9+G10+G11+G12</f>
        <v>26957.273717150667</v>
      </c>
      <c r="H13" s="3"/>
    </row>
    <row r="14">
      <c r="A14" s="3" t="s">
        <v>276</v>
      </c>
      <c r="B14" s="44">
        <v>24119</v>
      </c>
      <c r="C14" s="44">
        <v>24487</v>
      </c>
      <c r="D14" s="44">
        <v>24574</v>
      </c>
      <c r="E14" s="44">
        <v>25360</v>
      </c>
      <c r="F14" s="22">
        <f>E14</f>
        <v>25360</v>
      </c>
      <c r="G14" s="56">
        <f>E14-'Cash Flow Statement'!G23-'Cash Flow Statement'!G11-('Cash Flow Statement'!G24+'Cash Flow Statement'!G14)</f>
        <v>25692.6432</v>
      </c>
      <c r="H14" s="3" t="s">
        <v>277</v>
      </c>
    </row>
    <row r="15">
      <c r="A15" s="3" t="s">
        <v>278</v>
      </c>
      <c r="B15" s="44">
        <v>41643</v>
      </c>
      <c r="C15" s="44">
        <v>41665</v>
      </c>
      <c r="D15" s="44">
        <v>41359</v>
      </c>
      <c r="E15" s="44">
        <v>41276</v>
      </c>
      <c r="F15" s="22">
        <f>E15</f>
        <v>41276</v>
      </c>
      <c r="G15" s="27">
        <f>E15</f>
        <v>41276</v>
      </c>
      <c r="H15" s="3" t="s">
        <v>86</v>
      </c>
    </row>
    <row r="16">
      <c r="A16" s="3" t="s">
        <v>279</v>
      </c>
      <c r="B16" s="44">
        <v>21818</v>
      </c>
      <c r="C16" s="44">
        <v>21737</v>
      </c>
      <c r="D16" s="44">
        <v>21531</v>
      </c>
      <c r="E16" s="44">
        <v>21444</v>
      </c>
      <c r="F16" s="22">
        <f>E16</f>
        <v>21444</v>
      </c>
      <c r="G16" s="27">
        <f>E16</f>
        <v>21444</v>
      </c>
      <c r="H16" s="3" t="s">
        <v>86</v>
      </c>
    </row>
    <row r="17">
      <c r="A17" s="3" t="s">
        <v>280</v>
      </c>
      <c r="B17" s="44">
        <v>12901</v>
      </c>
      <c r="C17" s="44">
        <v>12809</v>
      </c>
      <c r="D17" s="44">
        <v>12928</v>
      </c>
      <c r="E17" s="44">
        <v>12231</v>
      </c>
      <c r="F17" s="22">
        <f>E17</f>
        <v>12231</v>
      </c>
      <c r="G17" s="56">
        <f>E17-'Cash Flow Statement'!G26-'Cash Flow Statement'!G25</f>
        <v>12331</v>
      </c>
      <c r="H17" s="3" t="s">
        <v>86</v>
      </c>
    </row>
    <row r="18">
      <c r="A18" s="41" t="s">
        <v>281</v>
      </c>
      <c r="B18" s="22">
        <f>B33-(B13+B14+B15+B16+B17)</f>
        <v>0</v>
      </c>
      <c r="C18" s="22">
        <f>C33-(C13+C14+C15+C16+C17)</f>
        <v>1</v>
      </c>
      <c r="D18" s="22">
        <f>D33-(D13+D14+D15+D16+D17)</f>
        <v>-1</v>
      </c>
      <c r="E18" s="22">
        <f>E33-(E13+E14+E15+E16+E17)</f>
        <v>2</v>
      </c>
      <c r="F18" s="22">
        <f>E18</f>
        <v>2</v>
      </c>
      <c r="G18" s="27">
        <f>E18</f>
        <v>2</v>
      </c>
      <c r="H18" s="3"/>
    </row>
    <row r="19">
      <c r="A19" s="28" t="s">
        <v>282</v>
      </c>
      <c r="B19" s="52">
        <f>B13+B14+B15+B16+B17+B18</f>
        <v>127599</v>
      </c>
      <c r="C19" s="52">
        <f>C13+C14+C15+C16+C17+C18</f>
        <v>127286</v>
      </c>
      <c r="D19" s="52">
        <f>D13+D14+D15+D16+D17+D18</f>
        <v>128378</v>
      </c>
      <c r="E19" s="52">
        <f>E13+E14+E15+E16+E17+E18</f>
        <v>126521</v>
      </c>
      <c r="F19" s="52">
        <f>F13+F14+F15+F16+F17+F18</f>
        <v>126521</v>
      </c>
      <c r="G19" s="51">
        <f>G13+G14+G15+G16+G17+G18</f>
        <v>127702.91691715067</v>
      </c>
      <c r="H19" s="3"/>
    </row>
    <row r="20">
      <c r="A20" s="46" t="s">
        <v>71</v>
      </c>
      <c r="B20" s="20" t="s">
        <v>41</v>
      </c>
      <c r="C20" s="20">
        <f>C19/B19-1</f>
        <v>-0.0024529972805429345</v>
      </c>
      <c r="D20" s="20">
        <f>D19/C19-1</f>
        <v>0.008579105321873559</v>
      </c>
      <c r="E20" s="20">
        <f>E19/D19-1</f>
        <v>-0.014465095265543959</v>
      </c>
      <c r="F20" s="20" t="s">
        <v>41</v>
      </c>
      <c r="G20" s="29">
        <f>G19/E19-1</f>
        <v>0.009341665945974631</v>
      </c>
      <c r="H20" s="3"/>
    </row>
    <row r="21">
      <c r="A21" s="3" t="s">
        <v>283</v>
      </c>
      <c r="B21" s="44">
        <v>15609</v>
      </c>
      <c r="C21" s="44">
        <v>15173</v>
      </c>
      <c r="D21" s="44">
        <v>15030</v>
      </c>
      <c r="E21" s="44">
        <v>16306</v>
      </c>
      <c r="F21" s="22">
        <f>E21</f>
        <v>16306</v>
      </c>
      <c r="G21" s="56">
        <f>E21+'Cash Flow Statement'!G17</f>
        <v>16856</v>
      </c>
      <c r="H21" s="3" t="s">
        <v>86</v>
      </c>
    </row>
    <row r="22">
      <c r="A22" s="3" t="s">
        <v>284</v>
      </c>
      <c r="B22" s="44">
        <v>10756</v>
      </c>
      <c r="C22" s="44">
        <v>10463</v>
      </c>
      <c r="D22" s="44">
        <v>10031</v>
      </c>
      <c r="E22" s="44">
        <v>11091</v>
      </c>
      <c r="F22" s="22">
        <f>E22</f>
        <v>11091</v>
      </c>
      <c r="G22" s="56">
        <f>E22+'Cash Flow Statement'!G18</f>
        <v>10741</v>
      </c>
      <c r="H22" s="3" t="s">
        <v>86</v>
      </c>
    </row>
    <row r="23">
      <c r="A23" s="3" t="s">
        <v>285</v>
      </c>
      <c r="B23" s="44">
        <v>11631</v>
      </c>
      <c r="C23" s="44">
        <v>11062</v>
      </c>
      <c r="D23" s="44">
        <v>13174</v>
      </c>
      <c r="E23" s="44">
        <v>11296</v>
      </c>
      <c r="F23" s="22">
        <f>E23</f>
        <v>11296</v>
      </c>
      <c r="G23" s="56">
        <f>E23+'Cash Flow Statement'!G31+'Cash Flow Statement'!G32+'Cash Flow Statement'!G33</f>
        <v>11296</v>
      </c>
      <c r="H23" s="3" t="s">
        <v>86</v>
      </c>
    </row>
    <row r="24">
      <c r="A24" s="28" t="s">
        <v>286</v>
      </c>
      <c r="B24" s="52">
        <f>B21+B22+B23</f>
        <v>37996</v>
      </c>
      <c r="C24" s="52">
        <f>C21+C22+C23</f>
        <v>36698</v>
      </c>
      <c r="D24" s="52">
        <f>D21+D22+D23</f>
        <v>38235</v>
      </c>
      <c r="E24" s="52">
        <f>E21+E22+E23</f>
        <v>38693</v>
      </c>
      <c r="F24" s="52">
        <f>F21+F22+F23</f>
        <v>38693</v>
      </c>
      <c r="G24" s="51">
        <f>G21+G22+G23</f>
        <v>38893</v>
      </c>
      <c r="H24" s="3"/>
    </row>
    <row r="25">
      <c r="A25" s="3" t="s">
        <v>287</v>
      </c>
      <c r="B25" s="44">
        <v>24315</v>
      </c>
      <c r="C25" s="44">
        <v>25577</v>
      </c>
      <c r="D25" s="44">
        <v>23852</v>
      </c>
      <c r="E25" s="44">
        <v>22842</v>
      </c>
      <c r="F25" s="22">
        <f>E25</f>
        <v>22842</v>
      </c>
      <c r="G25" s="56">
        <f>E25+'Cash Flow Statement'!G34+'Cash Flow Statement'!G35</f>
        <v>22842</v>
      </c>
      <c r="H25" s="3" t="s">
        <v>86</v>
      </c>
    </row>
    <row r="26">
      <c r="A26" s="3" t="s">
        <v>288</v>
      </c>
      <c r="B26" s="44">
        <v>5893</v>
      </c>
      <c r="C26" s="44">
        <v>5974</v>
      </c>
      <c r="D26" s="44">
        <v>6047</v>
      </c>
      <c r="E26" s="44">
        <v>5760</v>
      </c>
      <c r="F26" s="22">
        <f>E26</f>
        <v>5760</v>
      </c>
      <c r="G26" s="56">
        <f>E26+'Cash Flow Statement'!G13</f>
        <v>5810</v>
      </c>
      <c r="H26" s="3" t="s">
        <v>86</v>
      </c>
    </row>
    <row r="27">
      <c r="A27" s="3" t="s">
        <v>289</v>
      </c>
      <c r="B27" s="44">
        <v>5844</v>
      </c>
      <c r="C27" s="44">
        <v>5719</v>
      </c>
      <c r="D27" s="44">
        <v>5513</v>
      </c>
      <c r="E27" s="44">
        <v>4914</v>
      </c>
      <c r="F27" s="22">
        <f>E27</f>
        <v>4914</v>
      </c>
      <c r="G27" s="27">
        <f>E27</f>
        <v>4914</v>
      </c>
      <c r="H27" s="3" t="s">
        <v>86</v>
      </c>
    </row>
    <row r="28">
      <c r="A28" s="41" t="s">
        <v>290</v>
      </c>
      <c r="B28" s="22">
        <f>B34-(B24+B25+B26+B27)</f>
        <v>0</v>
      </c>
      <c r="C28" s="22">
        <f>C34-(C24+C25+C26+C27)</f>
        <v>1</v>
      </c>
      <c r="D28" s="22">
        <f>D34-(D24+D25+D26+D27)</f>
        <v>0</v>
      </c>
      <c r="E28" s="22">
        <f>E34-(E24+E25+E26+E27)</f>
        <v>1</v>
      </c>
      <c r="F28" s="22">
        <f>E28</f>
        <v>1</v>
      </c>
      <c r="G28" s="27">
        <f>E28</f>
        <v>1</v>
      </c>
      <c r="H28" s="3"/>
    </row>
    <row r="29">
      <c r="A29" s="28" t="s">
        <v>291</v>
      </c>
      <c r="B29" s="52">
        <f>B24+B25+B26+B27+B28</f>
        <v>74048</v>
      </c>
      <c r="C29" s="52">
        <f>C24+C25+C26+C27+C28</f>
        <v>73969</v>
      </c>
      <c r="D29" s="52">
        <f>D24+D25+D26+D27+D28</f>
        <v>73647</v>
      </c>
      <c r="E29" s="52">
        <f>E24+E25+E26+E27+E28</f>
        <v>72210</v>
      </c>
      <c r="F29" s="52">
        <f>F24+F25+F26+F27+F28</f>
        <v>72210</v>
      </c>
      <c r="G29" s="51">
        <f>G24+G25+G26+G27+G28</f>
        <v>72460</v>
      </c>
      <c r="H29" s="3"/>
    </row>
    <row r="30">
      <c r="A30" s="28" t="s">
        <v>292</v>
      </c>
      <c r="B30" s="63">
        <v>53551</v>
      </c>
      <c r="C30" s="63">
        <v>53317</v>
      </c>
      <c r="D30" s="63">
        <v>54731</v>
      </c>
      <c r="E30" s="63">
        <v>54311</v>
      </c>
      <c r="F30" s="52">
        <f>E30</f>
        <v>54311</v>
      </c>
      <c r="G30" s="77">
        <f>E30+'Cash Flow Statement'!G10+'Cash Flow Statement'!G12+'Cash Flow Statement'!G30+'Cash Flow Statement'!G36+'Cash Flow Statement'!G37+'Cash Flow Statement'!G40</f>
        <v>55242.916917150666</v>
      </c>
      <c r="H30" s="3" t="s">
        <v>86</v>
      </c>
    </row>
    <row r="31">
      <c r="A31" s="28" t="s">
        <v>293</v>
      </c>
      <c r="B31" s="52">
        <f>B29+B30</f>
        <v>127599</v>
      </c>
      <c r="C31" s="52">
        <f>C29+C30</f>
        <v>127286</v>
      </c>
      <c r="D31" s="52">
        <f>D29+D30</f>
        <v>128378</v>
      </c>
      <c r="E31" s="52">
        <f>E29+E30</f>
        <v>126521</v>
      </c>
      <c r="F31" s="52">
        <f>F29+F30</f>
        <v>126521</v>
      </c>
      <c r="G31" s="51">
        <f>G29+G30</f>
        <v>127702.91691715067</v>
      </c>
      <c r="H31" s="3"/>
    </row>
    <row r="32">
      <c r="A32" s="41" t="s">
        <v>294</v>
      </c>
      <c r="B32" s="22">
        <f>B19-B29-B30</f>
        <v>0</v>
      </c>
      <c r="C32" s="22">
        <f>C19-C29-C30</f>
        <v>0</v>
      </c>
      <c r="D32" s="22">
        <f>D19-D29-D30</f>
        <v>0</v>
      </c>
      <c r="E32" s="22">
        <f>E19-E29-E30</f>
        <v>0</v>
      </c>
      <c r="F32" s="22">
        <f>F19-F29-F30</f>
        <v>0</v>
      </c>
      <c r="G32" s="27">
        <f>G19-G29-G30</f>
        <v>0</v>
      </c>
      <c r="H32" s="3"/>
    </row>
    <row r="33">
      <c r="A33" s="41" t="s">
        <v>295</v>
      </c>
      <c r="B33" s="44">
        <v>127599</v>
      </c>
      <c r="C33" s="44">
        <v>127286</v>
      </c>
      <c r="D33" s="44">
        <v>128378</v>
      </c>
      <c r="E33" s="44">
        <v>126521</v>
      </c>
      <c r="F33" s="22">
        <f>E33</f>
        <v>126521</v>
      </c>
      <c r="G33" s="27" t="s">
        <v>41</v>
      </c>
      <c r="H33" s="3" t="s">
        <v>86</v>
      </c>
    </row>
    <row r="34">
      <c r="A34" s="41" t="s">
        <v>296</v>
      </c>
      <c r="B34" s="44">
        <v>74048</v>
      </c>
      <c r="C34" s="44">
        <v>73969</v>
      </c>
      <c r="D34" s="44">
        <v>73647</v>
      </c>
      <c r="E34" s="44">
        <v>72210</v>
      </c>
      <c r="F34" s="22">
        <f>E34</f>
        <v>72210</v>
      </c>
      <c r="G34" s="27" t="s">
        <v>41</v>
      </c>
      <c r="H34" s="3" t="s">
        <v>86</v>
      </c>
    </row>
    <row r="35">
      <c r="A35" s="3"/>
      <c r="B35" s="26"/>
      <c r="C35" s="26"/>
      <c r="D35" s="26"/>
      <c r="E35" s="26"/>
      <c r="F35" s="26"/>
      <c r="G35" s="64"/>
      <c r="H35" s="3"/>
    </row>
    <row r="36">
      <c r="A36" s="49" t="s">
        <v>297</v>
      </c>
      <c r="B36" s="25"/>
      <c r="C36" s="25"/>
      <c r="D36" s="25"/>
      <c r="E36" s="25"/>
      <c r="F36" s="25"/>
      <c r="G36" s="61"/>
      <c r="H36" s="3"/>
    </row>
    <row r="37">
      <c r="A37" s="28" t="s">
        <v>298</v>
      </c>
      <c r="B37" s="52">
        <f>B23+B25</f>
        <v>35946</v>
      </c>
      <c r="C37" s="52">
        <f>C23+C25</f>
        <v>36639</v>
      </c>
      <c r="D37" s="52">
        <f>D23+D25</f>
        <v>37026</v>
      </c>
      <c r="E37" s="52">
        <f>E23+E25</f>
        <v>34138</v>
      </c>
      <c r="F37" s="52">
        <f>F23+F25</f>
        <v>34138</v>
      </c>
      <c r="G37" s="51">
        <f>G23+G25</f>
        <v>34138</v>
      </c>
      <c r="H37" s="3"/>
    </row>
    <row r="38">
      <c r="A38" s="28" t="s">
        <v>299</v>
      </c>
      <c r="B38" s="52">
        <f>B37-B9</f>
        <v>24775</v>
      </c>
      <c r="C38" s="52">
        <f>C37-C9</f>
        <v>25814</v>
      </c>
      <c r="D38" s="52">
        <f>D37-D9</f>
        <v>24720</v>
      </c>
      <c r="E38" s="52">
        <f>E37-E9</f>
        <v>24196</v>
      </c>
      <c r="F38" s="52">
        <f>F37-F9</f>
        <v>24196</v>
      </c>
      <c r="G38" s="51">
        <f>G37-G9</f>
        <v>24046.726282849333</v>
      </c>
      <c r="H38" s="3"/>
    </row>
    <row r="39">
      <c r="A39" s="41" t="s">
        <v>72</v>
      </c>
      <c r="B39" s="22" t="s">
        <v>41</v>
      </c>
      <c r="C39" s="22">
        <f>C38-B38</f>
        <v>1039</v>
      </c>
      <c r="D39" s="22">
        <f>D38-C38</f>
        <v>-1094</v>
      </c>
      <c r="E39" s="22">
        <f>E38-D38</f>
        <v>-524</v>
      </c>
      <c r="F39" s="22" t="s">
        <v>41</v>
      </c>
      <c r="G39" s="27">
        <f>G38-E38</f>
        <v>-149.27371715066693</v>
      </c>
      <c r="H39" s="3"/>
    </row>
    <row r="40">
      <c r="A40" s="3" t="s">
        <v>300</v>
      </c>
      <c r="B40" s="54">
        <f>B38/('Income Statement'!B89*4)</f>
        <v>1.037131614199598</v>
      </c>
      <c r="C40" s="54">
        <f>C38/('Income Statement'!C89*4)</f>
        <v>1.1397915930766513</v>
      </c>
      <c r="D40" s="54">
        <f>D38/('Income Statement'!D89*4)</f>
        <v>1.3093220338983051</v>
      </c>
      <c r="E40" s="54">
        <f>E38/('Income Statement'!E89*4)</f>
        <v>1.4604056011588604</v>
      </c>
      <c r="F40" s="54">
        <f>F38/'Income Statement'!F89</f>
        <v>1.1805230288836845</v>
      </c>
      <c r="G40" s="81">
        <f>G38/('Income Statement'!G89*4)</f>
        <v>1.0564671229292057</v>
      </c>
      <c r="H40" s="3"/>
    </row>
    <row r="41">
      <c r="A41" s="3" t="s">
        <v>301</v>
      </c>
      <c r="B41" s="35">
        <f>B10/'Income Statement'!B9*B$6</f>
        <v>26.659698025551684</v>
      </c>
      <c r="C41" s="35">
        <f>C10/'Income Statement'!C9*C$6</f>
        <v>26.011707492795388</v>
      </c>
      <c r="D41" s="35">
        <f>D10/'Income Statement'!D9*D$6</f>
        <v>26.794443136331527</v>
      </c>
      <c r="E41" s="35">
        <f>E10/'Income Statement'!E9*E$6</f>
        <v>25.991416309012873</v>
      </c>
      <c r="F41" s="35">
        <f>F10/'Income Statement'!F9*F$6</f>
        <v>25.398014523393694</v>
      </c>
      <c r="G41" s="56">
        <f>G10/'Income Statement'!G9*G$6</f>
        <v>25.587690015570917</v>
      </c>
      <c r="H41" s="3"/>
    </row>
    <row r="42">
      <c r="A42" s="41" t="s">
        <v>302</v>
      </c>
      <c r="B42" s="22" t="s">
        <v>41</v>
      </c>
      <c r="C42" s="22">
        <f>C41-B41</f>
        <v>-0.647990532756296</v>
      </c>
      <c r="D42" s="22">
        <f>D41-C41</f>
        <v>0.7827356435361388</v>
      </c>
      <c r="E42" s="22">
        <f>E41-D41</f>
        <v>-0.8030268273186536</v>
      </c>
      <c r="F42" s="22" t="s">
        <v>41</v>
      </c>
      <c r="G42" s="27">
        <f>G41-E41</f>
        <v>-0.4037262934419559</v>
      </c>
      <c r="H42" s="3"/>
    </row>
    <row r="43">
      <c r="A43" s="41" t="s">
        <v>303</v>
      </c>
      <c r="B43" s="35">
        <f>B41-B50/'Income Statement'!B106*B$6</f>
        <v>-0.06376887420449151</v>
      </c>
      <c r="C43" s="35">
        <f>C41-C50/'Income Statement'!C106*C$6</f>
        <v>-0.19832815294083161</v>
      </c>
      <c r="D43" s="35">
        <f>D41-D50/'Income Statement'!D106*D$6</f>
        <v>-1.1439670578432306</v>
      </c>
      <c r="E43" s="35">
        <f>E41-E50/'Income Statement'!E106*E$6</f>
        <v>-0.9526690947881704</v>
      </c>
      <c r="F43" s="35">
        <f>F41-F50/'Income Statement'!F106*F$6</f>
        <v>-1.3867251662271087</v>
      </c>
      <c r="G43" s="56">
        <f>G41-G50/'Income Statement'!G106*G$6</f>
        <v>-1.0720080099807667</v>
      </c>
      <c r="H43" s="3"/>
    </row>
    <row r="44">
      <c r="A44" s="3" t="s">
        <v>304</v>
      </c>
      <c r="B44" s="35">
        <f>B11/'Income Statement'!B13*B$6</f>
        <v>66.31909616974373</v>
      </c>
      <c r="C44" s="35">
        <f>C11/'Income Statement'!C13*C$6</f>
        <v>66.38028429019752</v>
      </c>
      <c r="D44" s="35">
        <f>D11/'Income Statement'!D13*D$6</f>
        <v>65.91773922775602</v>
      </c>
      <c r="E44" s="35">
        <f>E11/'Income Statement'!E13*E$6</f>
        <v>68.08333333333333</v>
      </c>
      <c r="F44" s="35">
        <f>F11/'Income Statement'!F13*F$6</f>
        <v>68.76945783271454</v>
      </c>
      <c r="G44" s="56">
        <f>G11/'Income Statement'!G13*G$6</f>
        <v>68.11106056327122</v>
      </c>
      <c r="H44" s="3"/>
    </row>
    <row r="45">
      <c r="A45" s="41" t="s">
        <v>302</v>
      </c>
      <c r="B45" s="22" t="s">
        <v>41</v>
      </c>
      <c r="C45" s="22">
        <f>C44-B44</f>
        <v>0.061188120453792294</v>
      </c>
      <c r="D45" s="22">
        <f>D44-C44</f>
        <v>-0.4625450624415066</v>
      </c>
      <c r="E45" s="22">
        <f>E44-D44</f>
        <v>2.1655941055773127</v>
      </c>
      <c r="F45" s="22" t="s">
        <v>41</v>
      </c>
      <c r="G45" s="27">
        <f>G44-E44</f>
        <v>0.027727229937895004</v>
      </c>
      <c r="H45" s="3"/>
    </row>
    <row r="46">
      <c r="A46" s="41" t="s">
        <v>303</v>
      </c>
      <c r="B46" s="35">
        <f>B44-B51/('Income Statement'!B106-'Income Statement'!B107)*B$6</f>
        <v>1.9870742908453423</v>
      </c>
      <c r="C46" s="35">
        <f>C44-C51/('Income Statement'!C106-'Income Statement'!C107)*C$6</f>
        <v>4.38757935642905</v>
      </c>
      <c r="D46" s="35">
        <f>D44-D51/('Income Statement'!D106-'Income Statement'!D107)*D$6</f>
        <v>-2.7774644854982284</v>
      </c>
      <c r="E46" s="35">
        <f>E44-E51/('Income Statement'!E106-'Income Statement'!E107)*E$6</f>
        <v>3.4477393158373246</v>
      </c>
      <c r="F46" s="35">
        <f>F44-F51/('Income Statement'!F106-'Income Statement'!F107)*F$6</f>
        <v>1.8149587558512508</v>
      </c>
      <c r="G46" s="56">
        <f>G44-G51/('Income Statement'!G106-'Income Statement'!G107)*G$6</f>
        <v>1.7919643935274934</v>
      </c>
      <c r="H46" s="3"/>
    </row>
    <row r="47">
      <c r="A47" s="3" t="s">
        <v>305</v>
      </c>
      <c r="B47" s="35">
        <f>B21/'Income Statement'!B13*B$6</f>
        <v>131.90300358225406</v>
      </c>
      <c r="C47" s="35">
        <f>C21/'Income Statement'!C13*C$6</f>
        <v>128.84585563965294</v>
      </c>
      <c r="D47" s="35">
        <f>D21/'Income Statement'!D13*D$6</f>
        <v>126.16116396194741</v>
      </c>
      <c r="E47" s="35">
        <f>E21/'Income Statement'!E13*E$6</f>
        <v>135.88333333333333</v>
      </c>
      <c r="F47" s="35">
        <f>F21/'Income Statement'!F13*F$6</f>
        <v>137.2527269792219</v>
      </c>
      <c r="G47" s="56">
        <f>G21/'Income Statement'!G13*G$6</f>
        <v>135.5466395341794</v>
      </c>
      <c r="H47" s="3"/>
    </row>
    <row r="48">
      <c r="A48" s="41" t="s">
        <v>302</v>
      </c>
      <c r="B48" s="22" t="s">
        <v>41</v>
      </c>
      <c r="C48" s="22">
        <f>C47-B47</f>
        <v>-3.0571479426011194</v>
      </c>
      <c r="D48" s="22">
        <f>D47-C47</f>
        <v>-2.68469167770553</v>
      </c>
      <c r="E48" s="22">
        <f>E47-D47</f>
        <v>9.722169371385917</v>
      </c>
      <c r="F48" s="22" t="s">
        <v>41</v>
      </c>
      <c r="G48" s="27">
        <f>G47-E47</f>
        <v>-0.3366937991539203</v>
      </c>
      <c r="H48" s="3"/>
    </row>
    <row r="49">
      <c r="A49" s="41" t="s">
        <v>303</v>
      </c>
      <c r="B49" s="35">
        <f>B47-B52/('Income Statement'!B106-'Income Statement'!B107)*B$6</f>
        <v>-3.6118222501996513</v>
      </c>
      <c r="C49" s="35">
        <f>C47-C52/('Income Statement'!C106-'Income Statement'!C107)*C$6</f>
        <v>0.842400081964314</v>
      </c>
      <c r="D49" s="35">
        <f>D47-D52/('Income Statement'!D106-'Income Statement'!D107)*D$6</f>
        <v>-8.555700401126359</v>
      </c>
      <c r="E49" s="35">
        <f>E47-E52/('Income Statement'!E106-'Income Statement'!E107)*E$6</f>
        <v>5.542161289311139</v>
      </c>
      <c r="F49" s="35">
        <f>F47-F52/('Income Statement'!F106-'Income Statement'!F107)*F$6</f>
        <v>2.2353574330164747</v>
      </c>
      <c r="G49" s="56">
        <f>G47-G52/('Income Statement'!G106-'Income Statement'!G107)*G$6</f>
        <v>3.643635951925347</v>
      </c>
      <c r="H49" s="3"/>
    </row>
    <row r="50">
      <c r="A50" s="41" t="s">
        <v>306</v>
      </c>
      <c r="B50" s="44">
        <v>6314</v>
      </c>
      <c r="C50" s="44">
        <v>6234</v>
      </c>
      <c r="D50" s="44">
        <v>6139</v>
      </c>
      <c r="E50" s="44">
        <v>6185</v>
      </c>
      <c r="F50" s="22">
        <f>E50</f>
        <v>6185</v>
      </c>
      <c r="G50" s="27">
        <f>B10</f>
        <v>6487</v>
      </c>
      <c r="H50" s="3" t="s">
        <v>160</v>
      </c>
    </row>
    <row r="51">
      <c r="A51" s="41" t="s">
        <v>307</v>
      </c>
      <c r="B51" s="44">
        <v>7287</v>
      </c>
      <c r="C51" s="44">
        <v>7020</v>
      </c>
      <c r="D51" s="44">
        <v>7400</v>
      </c>
      <c r="E51" s="44">
        <v>7551</v>
      </c>
      <c r="F51" s="22">
        <f>E51</f>
        <v>7551</v>
      </c>
      <c r="G51" s="27">
        <f>B11</f>
        <v>7848</v>
      </c>
      <c r="H51" s="3" t="s">
        <v>116</v>
      </c>
    </row>
    <row r="52">
      <c r="A52" s="41" t="s">
        <v>308</v>
      </c>
      <c r="B52" s="44">
        <v>15350</v>
      </c>
      <c r="C52" s="44">
        <v>14495</v>
      </c>
      <c r="D52" s="44">
        <v>14512</v>
      </c>
      <c r="E52" s="44">
        <v>15227</v>
      </c>
      <c r="F52" s="22">
        <f>E52</f>
        <v>15227</v>
      </c>
      <c r="G52" s="27">
        <f>B21</f>
        <v>15609</v>
      </c>
      <c r="H52" s="3" t="s">
        <v>116</v>
      </c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90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309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310</v>
      </c>
      <c r="B8" s="25"/>
      <c r="C8" s="25"/>
      <c r="D8" s="25"/>
      <c r="E8" s="25"/>
      <c r="F8" s="25"/>
      <c r="G8" s="61"/>
      <c r="H8" s="3"/>
    </row>
    <row r="9">
      <c r="A9" s="49" t="s">
        <v>311</v>
      </c>
      <c r="B9" s="25"/>
      <c r="C9" s="25"/>
      <c r="D9" s="25"/>
      <c r="E9" s="25"/>
      <c r="F9" s="25"/>
      <c r="G9" s="61"/>
      <c r="H9" s="3"/>
    </row>
    <row r="10">
      <c r="A10" s="3" t="s">
        <v>153</v>
      </c>
      <c r="B10" s="22">
        <f>B61</f>
        <v>4781</v>
      </c>
      <c r="C10" s="22">
        <f>C61-B61</f>
        <v>4331</v>
      </c>
      <c r="D10" s="22">
        <f>D61-C61</f>
        <v>3951</v>
      </c>
      <c r="E10" s="22">
        <f>E61-D61</f>
        <v>3081</v>
      </c>
      <c r="F10" s="22">
        <f>SUM(B10:E10)</f>
        <v>16144</v>
      </c>
      <c r="G10" s="56">
        <f>'Income Statement'!G41</f>
        <v>4508.2905088</v>
      </c>
      <c r="H10" s="3" t="s">
        <v>79</v>
      </c>
    </row>
    <row r="11">
      <c r="A11" s="3" t="s">
        <v>312</v>
      </c>
      <c r="B11" s="22">
        <f>B62</f>
        <v>761</v>
      </c>
      <c r="C11" s="22">
        <f>C62-B62</f>
        <v>802</v>
      </c>
      <c r="D11" s="22">
        <f>D62-C62</f>
        <v>785</v>
      </c>
      <c r="E11" s="22">
        <f>E62-D62</f>
        <v>812</v>
      </c>
      <c r="F11" s="22">
        <f>SUM(B11:E11)</f>
        <v>3160</v>
      </c>
      <c r="G11" s="67">
        <v>800</v>
      </c>
      <c r="H11" s="3" t="s">
        <v>79</v>
      </c>
    </row>
    <row r="12">
      <c r="A12" s="3" t="s">
        <v>313</v>
      </c>
      <c r="B12" s="22">
        <f>B63</f>
        <v>121</v>
      </c>
      <c r="C12" s="22">
        <f>C63-B63</f>
        <v>141</v>
      </c>
      <c r="D12" s="22">
        <f>D63-C63</f>
        <v>132</v>
      </c>
      <c r="E12" s="22">
        <f>E63-D63</f>
        <v>130</v>
      </c>
      <c r="F12" s="22">
        <f>SUM(B12:E12)</f>
        <v>524</v>
      </c>
      <c r="G12" s="67">
        <v>125</v>
      </c>
      <c r="H12" s="3" t="s">
        <v>79</v>
      </c>
    </row>
    <row r="13">
      <c r="A13" s="3" t="s">
        <v>288</v>
      </c>
      <c r="B13" s="22">
        <f>B64</f>
        <v>53</v>
      </c>
      <c r="C13" s="22">
        <f>C64-B64</f>
        <v>143</v>
      </c>
      <c r="D13" s="22">
        <f>D64-C64</f>
        <v>-18</v>
      </c>
      <c r="E13" s="22">
        <f>E64-D64</f>
        <v>-127</v>
      </c>
      <c r="F13" s="22">
        <f>SUM(B13:E13)</f>
        <v>51</v>
      </c>
      <c r="G13" s="67">
        <v>50</v>
      </c>
      <c r="H13" s="3" t="s">
        <v>79</v>
      </c>
    </row>
    <row r="14">
      <c r="A14" s="3" t="s">
        <v>314</v>
      </c>
      <c r="B14" s="22">
        <f>B65</f>
        <v>-3</v>
      </c>
      <c r="C14" s="22">
        <f>C65-B65</f>
        <v>4</v>
      </c>
      <c r="D14" s="22">
        <f>D65-C65</f>
        <v>-346</v>
      </c>
      <c r="E14" s="22">
        <f>E65-D65</f>
        <v>-6</v>
      </c>
      <c r="F14" s="22">
        <f>SUM(B14:E14)</f>
        <v>-351</v>
      </c>
      <c r="G14" s="67">
        <v>0</v>
      </c>
      <c r="H14" s="3" t="s">
        <v>79</v>
      </c>
    </row>
    <row r="15">
      <c r="A15" s="3" t="s">
        <v>315</v>
      </c>
      <c r="B15" s="22">
        <f>B66</f>
        <v>-305</v>
      </c>
      <c r="C15" s="22">
        <f>C66-B66</f>
        <v>213</v>
      </c>
      <c r="D15" s="22">
        <f>D66-C66</f>
        <v>-94</v>
      </c>
      <c r="E15" s="22">
        <f>E66-D66</f>
        <v>270</v>
      </c>
      <c r="F15" s="22">
        <f>SUM(B15:E15)</f>
        <v>84</v>
      </c>
      <c r="G15" s="67">
        <v>-300</v>
      </c>
      <c r="H15" s="3" t="s">
        <v>79</v>
      </c>
    </row>
    <row r="16">
      <c r="A16" s="3" t="s">
        <v>316</v>
      </c>
      <c r="B16" s="22">
        <f>B67</f>
        <v>-303</v>
      </c>
      <c r="C16" s="22">
        <f>C67-B67</f>
        <v>48</v>
      </c>
      <c r="D16" s="22">
        <f>D67-C67</f>
        <v>-91</v>
      </c>
      <c r="E16" s="22">
        <f>E67-D67</f>
        <v>-295</v>
      </c>
      <c r="F16" s="22">
        <f>SUM(B16:E16)</f>
        <v>-641</v>
      </c>
      <c r="G16" s="67">
        <v>-300</v>
      </c>
      <c r="H16" s="3" t="s">
        <v>79</v>
      </c>
    </row>
    <row r="17">
      <c r="A17" s="3" t="s">
        <v>317</v>
      </c>
      <c r="B17" s="22">
        <f>B68</f>
        <v>648</v>
      </c>
      <c r="C17" s="22">
        <f>C68-B68</f>
        <v>-409</v>
      </c>
      <c r="D17" s="22">
        <f>D68-C68</f>
        <v>-43</v>
      </c>
      <c r="E17" s="22">
        <f>E68-D68</f>
        <v>723</v>
      </c>
      <c r="F17" s="22">
        <f>SUM(B17:E17)</f>
        <v>919</v>
      </c>
      <c r="G17" s="67">
        <v>550</v>
      </c>
      <c r="H17" s="3" t="s">
        <v>79</v>
      </c>
    </row>
    <row r="18">
      <c r="A18" s="3" t="s">
        <v>318</v>
      </c>
      <c r="B18" s="22">
        <f>B69</f>
        <v>-344</v>
      </c>
      <c r="C18" s="22">
        <f>C69-B69</f>
        <v>-301</v>
      </c>
      <c r="D18" s="22">
        <f>D69-C69</f>
        <v>-232</v>
      </c>
      <c r="E18" s="22">
        <f>E69-D69</f>
        <v>544</v>
      </c>
      <c r="F18" s="22">
        <f>SUM(B18:E18)</f>
        <v>-333</v>
      </c>
      <c r="G18" s="67">
        <v>-350</v>
      </c>
      <c r="H18" s="3" t="s">
        <v>79</v>
      </c>
    </row>
    <row r="19">
      <c r="A19" s="41" t="s">
        <v>319</v>
      </c>
      <c r="B19" s="22">
        <f>B20-(B10+B11+B12+B13+B14+B15+B16+B17+B18)</f>
        <v>-1</v>
      </c>
      <c r="C19" s="22">
        <f>C20-(C10+C11+C12+C13+C14+C15+C16+C17+C18)</f>
        <v>0</v>
      </c>
      <c r="D19" s="22">
        <f>D20-(D10+D11+D12+D13+D14+D15+D16+D17+D18)</f>
        <v>1</v>
      </c>
      <c r="E19" s="22">
        <f>E20-(E10+E11+E12+E13+E14+E15+E16+E17+E18)</f>
        <v>-1</v>
      </c>
      <c r="F19" s="22">
        <f>SUM(B19:E19)</f>
        <v>-1</v>
      </c>
      <c r="G19" s="67">
        <v>0</v>
      </c>
      <c r="H19" s="3"/>
    </row>
    <row r="20">
      <c r="A20" s="28" t="s">
        <v>320</v>
      </c>
      <c r="B20" s="52">
        <f>B82</f>
        <v>5408</v>
      </c>
      <c r="C20" s="52">
        <f>C82-B82</f>
        <v>4972</v>
      </c>
      <c r="D20" s="52">
        <f>D82-C82</f>
        <v>4045</v>
      </c>
      <c r="E20" s="52">
        <f>E82-D82</f>
        <v>5131</v>
      </c>
      <c r="F20" s="52">
        <f>SUM(B20:E20)</f>
        <v>19556</v>
      </c>
      <c r="G20" s="51">
        <f>G10+G11+G12+G13+G14+G15+G16+G17+G18+G19</f>
        <v>5083.2905088</v>
      </c>
      <c r="H20" s="3"/>
    </row>
    <row r="21">
      <c r="A21" s="46" t="s">
        <v>70</v>
      </c>
      <c r="B21" s="20">
        <f>IFERROR(B20/B57-1,"n/a")</f>
        <v>0.2570897257089726</v>
      </c>
      <c r="C21" s="20">
        <f>IFERROR(C20/C57-1,"n/a")</f>
        <v>0.03046632124352322</v>
      </c>
      <c r="D21" s="20">
        <f>IFERROR(D20/D57-1,"n/a")</f>
        <v>0.09176788124156543</v>
      </c>
      <c r="E21" s="20">
        <f>IFERROR(E20/E57-1,"n/a")</f>
        <v>0.02928786359077229</v>
      </c>
      <c r="F21" s="20">
        <f>IFERROR(F20/F57-1,"n/a")</f>
        <v>0.09760341247123527</v>
      </c>
      <c r="G21" s="29">
        <f>IFERROR(G20/G57-1,"n/a")</f>
        <v>-0.060042435502958624</v>
      </c>
      <c r="H21" s="3"/>
    </row>
    <row r="22">
      <c r="A22" s="49" t="s">
        <v>321</v>
      </c>
      <c r="B22" s="25"/>
      <c r="C22" s="25"/>
      <c r="D22" s="25"/>
      <c r="E22" s="25"/>
      <c r="F22" s="25"/>
      <c r="G22" s="61"/>
      <c r="H22" s="3"/>
    </row>
    <row r="23">
      <c r="A23" s="3" t="s">
        <v>322</v>
      </c>
      <c r="B23" s="22">
        <f>B70</f>
        <v>-1200</v>
      </c>
      <c r="C23" s="22">
        <f>C70-B70</f>
        <v>-1167</v>
      </c>
      <c r="D23" s="22">
        <f>D70-C70</f>
        <v>-1019</v>
      </c>
      <c r="E23" s="22">
        <f>E70-D70</f>
        <v>-1023</v>
      </c>
      <c r="F23" s="22">
        <f>SUM(B23:E23)</f>
        <v>-4409</v>
      </c>
      <c r="G23" s="56">
        <f>-G54*'Income Statement'!G9</f>
        <v>-1142.6432</v>
      </c>
      <c r="H23" s="3" t="s">
        <v>79</v>
      </c>
    </row>
    <row r="24">
      <c r="A24" s="3" t="s">
        <v>323</v>
      </c>
      <c r="B24" s="22">
        <f>B71</f>
        <v>8</v>
      </c>
      <c r="C24" s="22">
        <f>C71-B71</f>
        <v>8</v>
      </c>
      <c r="D24" s="22">
        <f>D71-C71</f>
        <v>485</v>
      </c>
      <c r="E24" s="22">
        <f>E71-D71</f>
        <v>7</v>
      </c>
      <c r="F24" s="22">
        <f>SUM(B24:E24)</f>
        <v>508</v>
      </c>
      <c r="G24" s="67">
        <v>10</v>
      </c>
      <c r="H24" s="3" t="s">
        <v>79</v>
      </c>
    </row>
    <row r="25">
      <c r="A25" s="3" t="s">
        <v>324</v>
      </c>
      <c r="B25" s="22">
        <f>B72</f>
        <v>-5</v>
      </c>
      <c r="C25" s="22">
        <f>C72-B72</f>
        <v>0</v>
      </c>
      <c r="D25" s="22">
        <f>D72-C72</f>
        <v>-80</v>
      </c>
      <c r="E25" s="22">
        <f>E72-D72</f>
        <v>0</v>
      </c>
      <c r="F25" s="22">
        <f>SUM(B25:E25)</f>
        <v>-85</v>
      </c>
      <c r="G25" s="67">
        <v>0</v>
      </c>
      <c r="H25" s="3" t="s">
        <v>79</v>
      </c>
    </row>
    <row r="26">
      <c r="A26" s="3" t="s">
        <v>325</v>
      </c>
      <c r="B26" s="22">
        <f>B73</f>
        <v>-338</v>
      </c>
      <c r="C26" s="22">
        <f>C73-B73</f>
        <v>-70</v>
      </c>
      <c r="D26" s="22">
        <f>D73-C73</f>
        <v>-50</v>
      </c>
      <c r="E26" s="22">
        <f>E73-D73</f>
        <v>-180</v>
      </c>
      <c r="F26" s="22">
        <f>SUM(B26:E26)</f>
        <v>-638</v>
      </c>
      <c r="G26" s="67">
        <v>-100</v>
      </c>
      <c r="H26" s="3" t="s">
        <v>79</v>
      </c>
    </row>
    <row r="27">
      <c r="A27" s="41" t="s">
        <v>319</v>
      </c>
      <c r="B27" s="22">
        <f>B28-(B23+B24+B25+B26)</f>
        <v>0</v>
      </c>
      <c r="C27" s="22">
        <f>C28-(C23+C24+C25+C26)</f>
        <v>1</v>
      </c>
      <c r="D27" s="22">
        <f>D28-(D23+D24+D25+D26)</f>
        <v>-1</v>
      </c>
      <c r="E27" s="22">
        <f>E28-(E23+E24+E25+E26)</f>
        <v>0</v>
      </c>
      <c r="F27" s="22">
        <f>SUM(B27:E27)</f>
        <v>0</v>
      </c>
      <c r="G27" s="67">
        <v>0</v>
      </c>
      <c r="H27" s="3"/>
    </row>
    <row r="28">
      <c r="A28" s="28" t="s">
        <v>326</v>
      </c>
      <c r="B28" s="52">
        <f>B83</f>
        <v>-1535</v>
      </c>
      <c r="C28" s="52">
        <f>C83-B83</f>
        <v>-1228</v>
      </c>
      <c r="D28" s="52">
        <f>D83-C83</f>
        <v>-665</v>
      </c>
      <c r="E28" s="52">
        <f>E83-D83</f>
        <v>-1196</v>
      </c>
      <c r="F28" s="52">
        <f>SUM(B28:E28)</f>
        <v>-4624</v>
      </c>
      <c r="G28" s="51">
        <f>G23+G24+G25+G26+G27</f>
        <v>-1232.6432</v>
      </c>
      <c r="H28" s="3"/>
    </row>
    <row r="29">
      <c r="A29" s="49" t="s">
        <v>327</v>
      </c>
      <c r="B29" s="25"/>
      <c r="C29" s="25"/>
      <c r="D29" s="25"/>
      <c r="E29" s="25"/>
      <c r="F29" s="25"/>
      <c r="G29" s="61"/>
      <c r="H29" s="3"/>
    </row>
    <row r="30">
      <c r="A30" s="3" t="s">
        <v>328</v>
      </c>
      <c r="B30" s="22">
        <f>B74</f>
        <v>-2549</v>
      </c>
      <c r="C30" s="22">
        <f>C74-B74</f>
        <v>-2544</v>
      </c>
      <c r="D30" s="22">
        <f>D74-C74</f>
        <v>-2530</v>
      </c>
      <c r="E30" s="22">
        <f>E74-D74</f>
        <v>-2609</v>
      </c>
      <c r="F30" s="22">
        <f>SUM(B30:E30)</f>
        <v>-10232</v>
      </c>
      <c r="G30" s="56">
        <f>-('Income Statement'!G58*'Share Count'!G9+'Share Count'!G22)</f>
        <v>-2601.3735916493333</v>
      </c>
      <c r="H30" s="3" t="s">
        <v>79</v>
      </c>
    </row>
    <row r="31">
      <c r="A31" s="3" t="s">
        <v>329</v>
      </c>
      <c r="B31" s="22">
        <f>B75</f>
        <v>1123</v>
      </c>
      <c r="C31" s="22">
        <f>C75-B75</f>
        <v>3057</v>
      </c>
      <c r="D31" s="22">
        <f>D75-C75</f>
        <v>3605</v>
      </c>
      <c r="E31" s="22">
        <f>E75-D75</f>
        <v>156</v>
      </c>
      <c r="F31" s="22">
        <f>SUM(B31:E31)</f>
        <v>7941</v>
      </c>
      <c r="G31" s="67">
        <v>0</v>
      </c>
      <c r="H31" s="3" t="s">
        <v>79</v>
      </c>
    </row>
    <row r="32">
      <c r="A32" s="3" t="s">
        <v>330</v>
      </c>
      <c r="B32" s="22">
        <f>B76</f>
        <v>-1800</v>
      </c>
      <c r="C32" s="22">
        <f>C76-B76</f>
        <v>-1470</v>
      </c>
      <c r="D32" s="22">
        <f>D76-C76</f>
        <v>-3083</v>
      </c>
      <c r="E32" s="22">
        <f>E76-D76</f>
        <v>-3631</v>
      </c>
      <c r="F32" s="22">
        <f>SUM(B32:E32)</f>
        <v>-9984</v>
      </c>
      <c r="G32" s="67">
        <v>0</v>
      </c>
      <c r="H32" s="3" t="s">
        <v>79</v>
      </c>
    </row>
    <row r="33">
      <c r="A33" s="3" t="s">
        <v>331</v>
      </c>
      <c r="B33" s="22">
        <f>B77</f>
        <v>2108</v>
      </c>
      <c r="C33" s="22">
        <f>C77-B77</f>
        <v>-2579</v>
      </c>
      <c r="D33" s="22">
        <f>D77-C77</f>
        <v>1499</v>
      </c>
      <c r="E33" s="22">
        <f>E77-D77</f>
        <v>1646</v>
      </c>
      <c r="F33" s="22">
        <f>SUM(B33:E33)</f>
        <v>2674</v>
      </c>
      <c r="G33" s="67">
        <v>0</v>
      </c>
      <c r="H33" s="3" t="s">
        <v>79</v>
      </c>
    </row>
    <row r="34">
      <c r="A34" s="3" t="s">
        <v>332</v>
      </c>
      <c r="B34" s="22">
        <f>B78</f>
        <v>0</v>
      </c>
      <c r="C34" s="22">
        <f>C78-B78</f>
        <v>2652</v>
      </c>
      <c r="D34" s="22">
        <f>D78-C78</f>
        <v>0</v>
      </c>
      <c r="E34" s="22">
        <f>E78-D78</f>
        <v>0</v>
      </c>
      <c r="F34" s="22">
        <f>SUM(B34:E34)</f>
        <v>2652</v>
      </c>
      <c r="G34" s="67">
        <v>0</v>
      </c>
      <c r="H34" s="3" t="s">
        <v>79</v>
      </c>
    </row>
    <row r="35">
      <c r="A35" s="3" t="s">
        <v>333</v>
      </c>
      <c r="B35" s="22">
        <f>B79</f>
        <v>-3</v>
      </c>
      <c r="C35" s="22">
        <f>C79-B79</f>
        <v>-1002</v>
      </c>
      <c r="D35" s="22">
        <f>D79-C79</f>
        <v>-1356</v>
      </c>
      <c r="E35" s="22">
        <f>E79-D79</f>
        <v>-1029</v>
      </c>
      <c r="F35" s="22">
        <f>SUM(B35:E35)</f>
        <v>-3390</v>
      </c>
      <c r="G35" s="67">
        <v>0</v>
      </c>
      <c r="H35" s="3" t="s">
        <v>79</v>
      </c>
    </row>
    <row r="36">
      <c r="A36" s="3" t="s">
        <v>334</v>
      </c>
      <c r="B36" s="22">
        <f>B80</f>
        <v>-1250</v>
      </c>
      <c r="C36" s="22">
        <f>C80-B80</f>
        <v>-2278</v>
      </c>
      <c r="D36" s="22">
        <f>D80-C80</f>
        <v>-625</v>
      </c>
      <c r="E36" s="22">
        <f>E80-D80</f>
        <v>-875</v>
      </c>
      <c r="F36" s="22">
        <f>SUM(B36:E36)</f>
        <v>-5028</v>
      </c>
      <c r="G36" s="67">
        <v>-1250</v>
      </c>
      <c r="H36" s="3" t="s">
        <v>79</v>
      </c>
    </row>
    <row r="37">
      <c r="A37" s="3" t="s">
        <v>335</v>
      </c>
      <c r="B37" s="22">
        <f>B81</f>
        <v>134</v>
      </c>
      <c r="C37" s="22">
        <f>C81-B81</f>
        <v>74</v>
      </c>
      <c r="D37" s="22">
        <f>D81-C81</f>
        <v>664</v>
      </c>
      <c r="E37" s="22">
        <f>E81-D81</f>
        <v>35</v>
      </c>
      <c r="F37" s="22">
        <f>SUM(B37:E37)</f>
        <v>907</v>
      </c>
      <c r="G37" s="67">
        <v>150</v>
      </c>
      <c r="H37" s="3" t="s">
        <v>79</v>
      </c>
    </row>
    <row r="38">
      <c r="A38" s="41" t="s">
        <v>319</v>
      </c>
      <c r="B38" s="22">
        <f>B39-(B30+B31+B32+B33+B34+B35+B36+B37)</f>
        <v>-2</v>
      </c>
      <c r="C38" s="22">
        <f>C39-(C30+C31+C32+C33+C34+C35+C36+C37)</f>
        <v>2</v>
      </c>
      <c r="D38" s="22">
        <f>D39-(D30+D31+D32+D33+D34+D35+D36+D37)</f>
        <v>-1</v>
      </c>
      <c r="E38" s="22">
        <f>E39-(E30+E31+E32+E33+E34+E35+E36+E37)</f>
        <v>1</v>
      </c>
      <c r="F38" s="22">
        <f>SUM(B38:E38)</f>
        <v>0</v>
      </c>
      <c r="G38" s="67">
        <v>0</v>
      </c>
      <c r="H38" s="3"/>
    </row>
    <row r="39">
      <c r="A39" s="28" t="s">
        <v>336</v>
      </c>
      <c r="B39" s="52">
        <f>B84</f>
        <v>-2239</v>
      </c>
      <c r="C39" s="52">
        <f>C84-B84</f>
        <v>-4088</v>
      </c>
      <c r="D39" s="52">
        <f>D84-C84</f>
        <v>-1827</v>
      </c>
      <c r="E39" s="52">
        <f>E84-D84</f>
        <v>-6306</v>
      </c>
      <c r="F39" s="52">
        <f>SUM(B39:E39)</f>
        <v>-14460</v>
      </c>
      <c r="G39" s="51">
        <f>G30+G31+G32+G33+G34+G35+G36+G37+G38</f>
        <v>-3701.3735916493333</v>
      </c>
      <c r="H39" s="3"/>
    </row>
    <row r="40">
      <c r="A40" s="3" t="s">
        <v>337</v>
      </c>
      <c r="B40" s="22">
        <f>B85</f>
        <v>-20</v>
      </c>
      <c r="C40" s="22">
        <f>C85-B85</f>
        <v>-1</v>
      </c>
      <c r="D40" s="22">
        <f>D85-C85</f>
        <v>-73</v>
      </c>
      <c r="E40" s="22">
        <f>E85-D85</f>
        <v>8</v>
      </c>
      <c r="F40" s="22">
        <f>SUM(B40:E40)</f>
        <v>-86</v>
      </c>
      <c r="G40" s="67">
        <v>0</v>
      </c>
      <c r="H40" s="3" t="s">
        <v>86</v>
      </c>
    </row>
    <row r="41">
      <c r="A41" s="41" t="s">
        <v>338</v>
      </c>
      <c r="B41" s="22">
        <f>B42-(B20+B28+B39+B40)</f>
        <v>1</v>
      </c>
      <c r="C41" s="22">
        <f>C42-(C20+C28+C39+C40)</f>
        <v>-1</v>
      </c>
      <c r="D41" s="22">
        <f>D42-(D20+D28+D39+D40)</f>
        <v>1</v>
      </c>
      <c r="E41" s="22">
        <f>E42-(E20+E28+E39+E40)</f>
        <v>-1</v>
      </c>
      <c r="F41" s="22">
        <f>SUM(B41:E41)</f>
        <v>0</v>
      </c>
      <c r="G41" s="67">
        <v>0</v>
      </c>
      <c r="H41" s="3"/>
    </row>
    <row r="42">
      <c r="A42" s="28" t="s">
        <v>339</v>
      </c>
      <c r="B42" s="52">
        <f>B87-B86</f>
        <v>1615</v>
      </c>
      <c r="C42" s="52">
        <f>C87-B87</f>
        <v>-346</v>
      </c>
      <c r="D42" s="52">
        <f>D87-C87</f>
        <v>1481</v>
      </c>
      <c r="E42" s="52">
        <f>E87-D87</f>
        <v>-2364</v>
      </c>
      <c r="F42" s="52">
        <f>SUM(B42:E42)</f>
        <v>386</v>
      </c>
      <c r="G42" s="51">
        <f>G20+G28+G39+G40+G41</f>
        <v>149.27371715066647</v>
      </c>
      <c r="H42" s="3"/>
    </row>
    <row r="43">
      <c r="A43" s="3" t="s">
        <v>340</v>
      </c>
      <c r="B43" s="22">
        <f>B86</f>
        <v>9556</v>
      </c>
      <c r="C43" s="22">
        <f>B44</f>
        <v>11171</v>
      </c>
      <c r="D43" s="22">
        <f>C44</f>
        <v>10825</v>
      </c>
      <c r="E43" s="22">
        <f>D44</f>
        <v>12306</v>
      </c>
      <c r="F43" s="22">
        <f>B43</f>
        <v>9556</v>
      </c>
      <c r="G43" s="27">
        <f>E44</f>
        <v>9942</v>
      </c>
      <c r="H43" s="3"/>
    </row>
    <row r="44">
      <c r="A44" s="28" t="s">
        <v>341</v>
      </c>
      <c r="B44" s="52">
        <f>B43+B42</f>
        <v>11171</v>
      </c>
      <c r="C44" s="52">
        <f>C43+C42</f>
        <v>10825</v>
      </c>
      <c r="D44" s="52">
        <f>D43+D42</f>
        <v>12306</v>
      </c>
      <c r="E44" s="52">
        <f>E43+E42</f>
        <v>9942</v>
      </c>
      <c r="F44" s="52">
        <f>F43+F42</f>
        <v>9942</v>
      </c>
      <c r="G44" s="51">
        <f>G43+G42</f>
        <v>10091.273717150667</v>
      </c>
      <c r="H44" s="3"/>
    </row>
    <row r="45">
      <c r="A45" s="41" t="s">
        <v>342</v>
      </c>
      <c r="B45" s="35">
        <f>B44-'Balance Sheet'!B9</f>
        <v>0</v>
      </c>
      <c r="C45" s="35">
        <f>C44-'Balance Sheet'!C9</f>
        <v>0</v>
      </c>
      <c r="D45" s="35">
        <f>D44-'Balance Sheet'!D9</f>
        <v>0</v>
      </c>
      <c r="E45" s="35">
        <f>E44-'Balance Sheet'!E9</f>
        <v>0</v>
      </c>
      <c r="F45" s="35">
        <f>F44-'Balance Sheet'!F9</f>
        <v>0</v>
      </c>
      <c r="G45" s="56">
        <f>G44-'Balance Sheet'!G9</f>
        <v>0</v>
      </c>
      <c r="H45" s="3"/>
    </row>
    <row r="46">
      <c r="A46" s="3"/>
      <c r="B46" s="26"/>
      <c r="C46" s="26"/>
      <c r="D46" s="26"/>
      <c r="E46" s="26"/>
      <c r="F46" s="26"/>
      <c r="G46" s="64"/>
      <c r="H46" s="3"/>
    </row>
    <row r="47">
      <c r="A47" s="49" t="s">
        <v>343</v>
      </c>
      <c r="B47" s="25"/>
      <c r="C47" s="25"/>
      <c r="D47" s="25"/>
      <c r="E47" s="25"/>
      <c r="F47" s="25"/>
      <c r="G47" s="61"/>
      <c r="H47" s="3"/>
    </row>
    <row r="48">
      <c r="A48" s="28" t="s">
        <v>344</v>
      </c>
      <c r="B48" s="52">
        <f>B20+B23</f>
        <v>4208</v>
      </c>
      <c r="C48" s="52">
        <f>C20+C23</f>
        <v>3805</v>
      </c>
      <c r="D48" s="52">
        <f>D20+D23</f>
        <v>3026</v>
      </c>
      <c r="E48" s="52">
        <f>E20+E23</f>
        <v>4108</v>
      </c>
      <c r="F48" s="52">
        <f>F20+F23</f>
        <v>15147</v>
      </c>
      <c r="G48" s="51">
        <f>G20+G23</f>
        <v>3940.6473088</v>
      </c>
      <c r="H48" s="3"/>
    </row>
    <row r="49">
      <c r="A49" s="46" t="s">
        <v>70</v>
      </c>
      <c r="B49" s="20">
        <f>IFERROR(B48/(B57+B58)-1,"n/a")</f>
        <v>0.2716832880024176</v>
      </c>
      <c r="C49" s="20">
        <f>IFERROR(C48/(C57+C58)-1,"n/a")</f>
        <v>-0.024358974358974383</v>
      </c>
      <c r="D49" s="20">
        <f>IFERROR(D48/(D57+D58)-1,"n/a")</f>
        <v>0.06324666198172868</v>
      </c>
      <c r="E49" s="20">
        <f>IFERROR(E48/(E57+E58)-1,"n/a")</f>
        <v>0.029832038104788072</v>
      </c>
      <c r="F49" s="20">
        <f>IFERROR(F48/(F57+F58)-1,"n/a")</f>
        <v>0.07853887781258906</v>
      </c>
      <c r="G49" s="29">
        <f>IFERROR(G48/(G57+G58)-1,"n/a")</f>
        <v>-0.06353438479087459</v>
      </c>
      <c r="H49" s="3"/>
    </row>
    <row r="50">
      <c r="A50" s="3" t="s">
        <v>345</v>
      </c>
      <c r="B50" s="22">
        <f>B88</f>
        <v>688</v>
      </c>
      <c r="C50" s="22">
        <f>C88-B88</f>
        <v>0</v>
      </c>
      <c r="D50" s="22">
        <f>D88-C88</f>
        <v>0</v>
      </c>
      <c r="E50" s="22">
        <f>E88-D88</f>
        <v>0</v>
      </c>
      <c r="F50" s="22">
        <f>SUM(B50:E50)</f>
        <v>688</v>
      </c>
      <c r="G50" s="67">
        <v>0</v>
      </c>
      <c r="H50" s="3" t="s">
        <v>268</v>
      </c>
    </row>
    <row r="51">
      <c r="A51" s="28" t="s">
        <v>346</v>
      </c>
      <c r="B51" s="52">
        <f>B48+B50</f>
        <v>4896</v>
      </c>
      <c r="C51" s="52">
        <f>C48+C50</f>
        <v>3805</v>
      </c>
      <c r="D51" s="52">
        <f>D48+D50</f>
        <v>3026</v>
      </c>
      <c r="E51" s="52">
        <f>E48+E50</f>
        <v>4108</v>
      </c>
      <c r="F51" s="52">
        <f>F48+F50</f>
        <v>15835</v>
      </c>
      <c r="G51" s="51">
        <f>G48+G50</f>
        <v>3940.6473088</v>
      </c>
      <c r="H51" s="3"/>
    </row>
    <row r="52">
      <c r="A52" s="3" t="s">
        <v>347</v>
      </c>
      <c r="B52" s="35">
        <f>B10+'Income Statement'!B65+'Income Statement'!B69</f>
        <v>4781</v>
      </c>
      <c r="C52" s="35">
        <f>C10+'Income Statement'!C65+'Income Statement'!C69</f>
        <v>4331</v>
      </c>
      <c r="D52" s="35">
        <f>D10+'Income Statement'!D65+'Income Statement'!D69</f>
        <v>3689</v>
      </c>
      <c r="E52" s="35">
        <f>E10+'Income Statement'!E65+'Income Statement'!E69</f>
        <v>3081</v>
      </c>
      <c r="F52" s="35">
        <f>F10+'Income Statement'!F65+'Income Statement'!F69</f>
        <v>15882</v>
      </c>
      <c r="G52" s="56">
        <f>G10+'Income Statement'!G65+'Income Statement'!G69</f>
        <v>4508.2905088</v>
      </c>
      <c r="H52" s="3"/>
    </row>
    <row r="53">
      <c r="A53" s="11" t="s">
        <v>348</v>
      </c>
      <c r="B53" s="20">
        <f>IFERROR(B51/B52,"n/a")</f>
        <v>1.0240535452834134</v>
      </c>
      <c r="C53" s="20">
        <f>IFERROR(C51/C52,"n/a")</f>
        <v>0.8785499884553221</v>
      </c>
      <c r="D53" s="20">
        <f>IFERROR(D51/D52,"n/a")</f>
        <v>0.8202764976958525</v>
      </c>
      <c r="E53" s="20">
        <f>IFERROR(E51/E52,"n/a")</f>
        <v>1.3333333333333333</v>
      </c>
      <c r="F53" s="20">
        <f>IFERROR(F51/F52,"n/a")</f>
        <v>0.9970406749779624</v>
      </c>
      <c r="G53" s="29">
        <f>IFERROR(G51/G52,"n/a")</f>
        <v>0.8740890368772857</v>
      </c>
      <c r="H53" s="3"/>
    </row>
    <row r="54">
      <c r="A54" s="11" t="s">
        <v>349</v>
      </c>
      <c r="B54" s="21">
        <f>-B23/'Income Statement'!B9</f>
        <v>0.05360493165371214</v>
      </c>
      <c r="C54" s="21">
        <f>-C23/'Income Statement'!C9</f>
        <v>0.05254863112391931</v>
      </c>
      <c r="D54" s="21">
        <f>-D23/'Income Statement'!D9</f>
        <v>0.04798681422180363</v>
      </c>
      <c r="E54" s="21">
        <f>-E23/'Income Statement'!E9</f>
        <v>0.04824788944960619</v>
      </c>
      <c r="F54" s="21">
        <f>-F23/'Income Statement'!F9</f>
        <v>0.050659527530103866</v>
      </c>
      <c r="G54" s="72">
        <v>0.05</v>
      </c>
      <c r="H54" s="3" t="s">
        <v>350</v>
      </c>
    </row>
    <row r="55">
      <c r="A55" s="41" t="s">
        <v>93</v>
      </c>
      <c r="B55" s="66" t="s">
        <v>41</v>
      </c>
      <c r="C55" s="66">
        <f>(C54-B54)*10000</f>
        <v>-10.563005297928306</v>
      </c>
      <c r="D55" s="66">
        <f>(D54-C54)*10000</f>
        <v>-45.61816902115684</v>
      </c>
      <c r="E55" s="66">
        <f>(E54-D54)*10000</f>
        <v>2.6107522780256103</v>
      </c>
      <c r="F55" s="66" t="s">
        <v>41</v>
      </c>
      <c r="G55" s="69">
        <f>(G54-E54)*10000</f>
        <v>17.521105503938152</v>
      </c>
      <c r="H55" s="3"/>
    </row>
    <row r="56">
      <c r="A56" s="41" t="s">
        <v>94</v>
      </c>
      <c r="B56" s="74">
        <f>(B54+B58/'Income Statement'!B106)*10000</f>
        <v>79.22454770977632</v>
      </c>
      <c r="C56" s="74">
        <f>(C54+C58/'Income Statement'!C106)*10000</f>
        <v>102.76443938104487</v>
      </c>
      <c r="D56" s="74">
        <f>(D54+D58/'Income Statement'!D106)*10000</f>
        <v>45.50325548664469</v>
      </c>
      <c r="E56" s="74">
        <f>(E54+E58/'Income Statement'!E106)*10000</f>
        <v>5.672920059755712</v>
      </c>
      <c r="F56" s="74">
        <f>(F54+F58/'Income Statement'!F106)*10000</f>
        <v>58.942102694138214</v>
      </c>
      <c r="G56" s="86">
        <f>(G54+G58/'Income Statement'!G106)*10000</f>
        <v>-36.049316537121385</v>
      </c>
      <c r="H56" s="3"/>
    </row>
    <row r="57">
      <c r="A57" s="41" t="s">
        <v>351</v>
      </c>
      <c r="B57" s="22">
        <f>B89</f>
        <v>4302</v>
      </c>
      <c r="C57" s="22">
        <f>C89-B89</f>
        <v>4825</v>
      </c>
      <c r="D57" s="22">
        <f>D89-C89</f>
        <v>3705</v>
      </c>
      <c r="E57" s="22">
        <f>E89-D89</f>
        <v>4985</v>
      </c>
      <c r="F57" s="22">
        <f>SUM(B57:E57)</f>
        <v>17817</v>
      </c>
      <c r="G57" s="27">
        <f>B20</f>
        <v>5408</v>
      </c>
      <c r="H57" s="3"/>
    </row>
    <row r="58">
      <c r="A58" s="41" t="s">
        <v>352</v>
      </c>
      <c r="B58" s="22">
        <f>B90</f>
        <v>-993</v>
      </c>
      <c r="C58" s="22">
        <f>C90-B90</f>
        <v>-925</v>
      </c>
      <c r="D58" s="22">
        <f>D90-C90</f>
        <v>-859</v>
      </c>
      <c r="E58" s="22">
        <f>E90-D90</f>
        <v>-996</v>
      </c>
      <c r="F58" s="22">
        <f>SUM(B58:E58)</f>
        <v>-3773</v>
      </c>
      <c r="G58" s="27">
        <f>B23</f>
        <v>-1200</v>
      </c>
      <c r="H58" s="3"/>
    </row>
    <row r="59">
      <c r="A59" s="3"/>
      <c r="B59" s="26"/>
      <c r="C59" s="26"/>
      <c r="D59" s="26"/>
      <c r="E59" s="26"/>
      <c r="F59" s="26"/>
      <c r="G59" s="64"/>
      <c r="H59" s="3"/>
    </row>
    <row r="60">
      <c r="A60" s="49" t="s">
        <v>353</v>
      </c>
      <c r="B60" s="25"/>
      <c r="C60" s="25"/>
      <c r="D60" s="25"/>
      <c r="E60" s="25"/>
      <c r="F60" s="25"/>
      <c r="G60" s="61"/>
      <c r="H60" s="3"/>
    </row>
    <row r="61">
      <c r="A61" s="41" t="s">
        <v>354</v>
      </c>
      <c r="B61" s="44">
        <v>4781</v>
      </c>
      <c r="C61" s="44">
        <v>9112</v>
      </c>
      <c r="D61" s="44">
        <v>13063</v>
      </c>
      <c r="E61" s="44">
        <v>16144</v>
      </c>
      <c r="F61" s="22"/>
      <c r="G61" s="27"/>
      <c r="H61" s="3" t="s">
        <v>86</v>
      </c>
    </row>
    <row r="62">
      <c r="A62" s="41" t="s">
        <v>355</v>
      </c>
      <c r="B62" s="44">
        <v>761</v>
      </c>
      <c r="C62" s="44">
        <v>1563</v>
      </c>
      <c r="D62" s="44">
        <v>2348</v>
      </c>
      <c r="E62" s="44">
        <v>3160</v>
      </c>
      <c r="F62" s="22"/>
      <c r="G62" s="27"/>
      <c r="H62" s="3" t="s">
        <v>86</v>
      </c>
    </row>
    <row r="63">
      <c r="A63" s="41" t="s">
        <v>356</v>
      </c>
      <c r="B63" s="44">
        <v>121</v>
      </c>
      <c r="C63" s="44">
        <v>262</v>
      </c>
      <c r="D63" s="44">
        <v>394</v>
      </c>
      <c r="E63" s="44">
        <v>524</v>
      </c>
      <c r="F63" s="22"/>
      <c r="G63" s="27"/>
      <c r="H63" s="3" t="s">
        <v>86</v>
      </c>
    </row>
    <row r="64">
      <c r="A64" s="41" t="s">
        <v>357</v>
      </c>
      <c r="B64" s="44">
        <v>53</v>
      </c>
      <c r="C64" s="44">
        <v>196</v>
      </c>
      <c r="D64" s="44">
        <v>178</v>
      </c>
      <c r="E64" s="44">
        <v>51</v>
      </c>
      <c r="F64" s="22"/>
      <c r="G64" s="27"/>
      <c r="H64" s="3" t="s">
        <v>86</v>
      </c>
    </row>
    <row r="65">
      <c r="A65" s="41" t="s">
        <v>358</v>
      </c>
      <c r="B65" s="44">
        <v>-3</v>
      </c>
      <c r="C65" s="44">
        <v>1</v>
      </c>
      <c r="D65" s="44">
        <v>-345</v>
      </c>
      <c r="E65" s="44">
        <v>-351</v>
      </c>
      <c r="F65" s="22"/>
      <c r="G65" s="27"/>
      <c r="H65" s="3" t="s">
        <v>86</v>
      </c>
    </row>
    <row r="66">
      <c r="A66" s="41" t="s">
        <v>359</v>
      </c>
      <c r="B66" s="44">
        <v>-305</v>
      </c>
      <c r="C66" s="44">
        <v>-92</v>
      </c>
      <c r="D66" s="44">
        <v>-186</v>
      </c>
      <c r="E66" s="44">
        <v>84</v>
      </c>
      <c r="F66" s="22"/>
      <c r="G66" s="27"/>
      <c r="H66" s="3" t="s">
        <v>86</v>
      </c>
    </row>
    <row r="67">
      <c r="A67" s="41" t="s">
        <v>360</v>
      </c>
      <c r="B67" s="44">
        <v>-303</v>
      </c>
      <c r="C67" s="44">
        <v>-255</v>
      </c>
      <c r="D67" s="44">
        <v>-346</v>
      </c>
      <c r="E67" s="44">
        <v>-641</v>
      </c>
      <c r="F67" s="22"/>
      <c r="G67" s="27"/>
      <c r="H67" s="3" t="s">
        <v>86</v>
      </c>
    </row>
    <row r="68">
      <c r="A68" s="41" t="s">
        <v>361</v>
      </c>
      <c r="B68" s="44">
        <v>648</v>
      </c>
      <c r="C68" s="44">
        <v>239</v>
      </c>
      <c r="D68" s="44">
        <v>196</v>
      </c>
      <c r="E68" s="44">
        <v>919</v>
      </c>
      <c r="F68" s="22"/>
      <c r="G68" s="27"/>
      <c r="H68" s="3" t="s">
        <v>86</v>
      </c>
    </row>
    <row r="69">
      <c r="A69" s="41" t="s">
        <v>362</v>
      </c>
      <c r="B69" s="44">
        <v>-344</v>
      </c>
      <c r="C69" s="44">
        <v>-645</v>
      </c>
      <c r="D69" s="44">
        <v>-877</v>
      </c>
      <c r="E69" s="44">
        <v>-333</v>
      </c>
      <c r="F69" s="22"/>
      <c r="G69" s="27"/>
      <c r="H69" s="3" t="s">
        <v>86</v>
      </c>
    </row>
    <row r="70">
      <c r="A70" s="41" t="s">
        <v>363</v>
      </c>
      <c r="B70" s="44">
        <v>-1200</v>
      </c>
      <c r="C70" s="44">
        <v>-2367</v>
      </c>
      <c r="D70" s="44">
        <v>-3386</v>
      </c>
      <c r="E70" s="44">
        <v>-4409</v>
      </c>
      <c r="F70" s="22"/>
      <c r="G70" s="27"/>
      <c r="H70" s="3" t="s">
        <v>86</v>
      </c>
    </row>
    <row r="71">
      <c r="A71" s="41" t="s">
        <v>364</v>
      </c>
      <c r="B71" s="44">
        <v>8</v>
      </c>
      <c r="C71" s="44">
        <v>16</v>
      </c>
      <c r="D71" s="44">
        <v>501</v>
      </c>
      <c r="E71" s="44">
        <v>508</v>
      </c>
      <c r="F71" s="22"/>
      <c r="G71" s="27"/>
      <c r="H71" s="3" t="s">
        <v>86</v>
      </c>
    </row>
    <row r="72">
      <c r="A72" s="41" t="s">
        <v>365</v>
      </c>
      <c r="B72" s="44">
        <v>-5</v>
      </c>
      <c r="C72" s="44">
        <v>-5</v>
      </c>
      <c r="D72" s="44">
        <v>-85</v>
      </c>
      <c r="E72" s="44">
        <v>-85</v>
      </c>
      <c r="F72" s="22"/>
      <c r="G72" s="27"/>
      <c r="H72" s="3" t="s">
        <v>86</v>
      </c>
    </row>
    <row r="73">
      <c r="A73" s="41" t="s">
        <v>366</v>
      </c>
      <c r="B73" s="44">
        <v>-338</v>
      </c>
      <c r="C73" s="44">
        <v>-408</v>
      </c>
      <c r="D73" s="44">
        <v>-458</v>
      </c>
      <c r="E73" s="44">
        <v>-638</v>
      </c>
      <c r="F73" s="22"/>
      <c r="G73" s="27"/>
      <c r="H73" s="3" t="s">
        <v>86</v>
      </c>
    </row>
    <row r="74">
      <c r="A74" s="41" t="s">
        <v>367</v>
      </c>
      <c r="B74" s="44">
        <v>-2549</v>
      </c>
      <c r="C74" s="44">
        <v>-5093</v>
      </c>
      <c r="D74" s="44">
        <v>-7623</v>
      </c>
      <c r="E74" s="44">
        <v>-10232</v>
      </c>
      <c r="F74" s="22"/>
      <c r="G74" s="27"/>
      <c r="H74" s="3" t="s">
        <v>86</v>
      </c>
    </row>
    <row r="75">
      <c r="A75" s="41" t="s">
        <v>368</v>
      </c>
      <c r="B75" s="44">
        <v>1123</v>
      </c>
      <c r="C75" s="44">
        <v>4180</v>
      </c>
      <c r="D75" s="44">
        <v>7785</v>
      </c>
      <c r="E75" s="44">
        <v>7941</v>
      </c>
      <c r="F75" s="22"/>
      <c r="G75" s="27"/>
      <c r="H75" s="3" t="s">
        <v>86</v>
      </c>
    </row>
    <row r="76">
      <c r="A76" s="41" t="s">
        <v>369</v>
      </c>
      <c r="B76" s="44">
        <v>-1800</v>
      </c>
      <c r="C76" s="44">
        <v>-3270</v>
      </c>
      <c r="D76" s="44">
        <v>-6353</v>
      </c>
      <c r="E76" s="44">
        <v>-9984</v>
      </c>
      <c r="F76" s="22"/>
      <c r="G76" s="27"/>
      <c r="H76" s="3" t="s">
        <v>86</v>
      </c>
    </row>
    <row r="77">
      <c r="A77" s="41" t="s">
        <v>370</v>
      </c>
      <c r="B77" s="44">
        <v>2108</v>
      </c>
      <c r="C77" s="44">
        <v>-471</v>
      </c>
      <c r="D77" s="44">
        <v>1028</v>
      </c>
      <c r="E77" s="44">
        <v>2674</v>
      </c>
      <c r="F77" s="22"/>
      <c r="G77" s="27"/>
      <c r="H77" s="3" t="s">
        <v>86</v>
      </c>
    </row>
    <row r="78">
      <c r="A78" s="41" t="s">
        <v>371</v>
      </c>
      <c r="B78" s="44">
        <v>0</v>
      </c>
      <c r="C78" s="44">
        <v>2652</v>
      </c>
      <c r="D78" s="44">
        <v>2652</v>
      </c>
      <c r="E78" s="44">
        <v>2652</v>
      </c>
      <c r="F78" s="22"/>
      <c r="G78" s="27"/>
      <c r="H78" s="3" t="s">
        <v>86</v>
      </c>
    </row>
    <row r="79">
      <c r="A79" s="41" t="s">
        <v>372</v>
      </c>
      <c r="B79" s="44">
        <v>-3</v>
      </c>
      <c r="C79" s="44">
        <v>-1005</v>
      </c>
      <c r="D79" s="44">
        <v>-2361</v>
      </c>
      <c r="E79" s="44">
        <v>-3390</v>
      </c>
      <c r="F79" s="22"/>
      <c r="G79" s="27"/>
      <c r="H79" s="3" t="s">
        <v>86</v>
      </c>
    </row>
    <row r="80">
      <c r="A80" s="41" t="s">
        <v>373</v>
      </c>
      <c r="B80" s="44">
        <v>-1250</v>
      </c>
      <c r="C80" s="44">
        <v>-3528</v>
      </c>
      <c r="D80" s="44">
        <v>-4153</v>
      </c>
      <c r="E80" s="44">
        <v>-5028</v>
      </c>
      <c r="F80" s="22"/>
      <c r="G80" s="27"/>
      <c r="H80" s="3" t="s">
        <v>86</v>
      </c>
    </row>
    <row r="81">
      <c r="A81" s="41" t="s">
        <v>374</v>
      </c>
      <c r="B81" s="44">
        <v>134</v>
      </c>
      <c r="C81" s="44">
        <v>208</v>
      </c>
      <c r="D81" s="44">
        <v>872</v>
      </c>
      <c r="E81" s="44">
        <v>907</v>
      </c>
      <c r="F81" s="22"/>
      <c r="G81" s="27"/>
      <c r="H81" s="3" t="s">
        <v>86</v>
      </c>
    </row>
    <row r="82">
      <c r="A82" s="79" t="s">
        <v>375</v>
      </c>
      <c r="B82" s="63">
        <v>5408</v>
      </c>
      <c r="C82" s="63">
        <v>10380</v>
      </c>
      <c r="D82" s="63">
        <v>14425</v>
      </c>
      <c r="E82" s="63">
        <v>19556</v>
      </c>
      <c r="F82" s="52"/>
      <c r="G82" s="51"/>
      <c r="H82" s="3" t="s">
        <v>86</v>
      </c>
    </row>
    <row r="83">
      <c r="A83" s="79" t="s">
        <v>376</v>
      </c>
      <c r="B83" s="63">
        <v>-1535</v>
      </c>
      <c r="C83" s="63">
        <v>-2763</v>
      </c>
      <c r="D83" s="63">
        <v>-3428</v>
      </c>
      <c r="E83" s="63">
        <v>-4624</v>
      </c>
      <c r="F83" s="52"/>
      <c r="G83" s="51"/>
      <c r="H83" s="3" t="s">
        <v>86</v>
      </c>
    </row>
    <row r="84">
      <c r="A84" s="79" t="s">
        <v>377</v>
      </c>
      <c r="B84" s="63">
        <v>-2239</v>
      </c>
      <c r="C84" s="63">
        <v>-6327</v>
      </c>
      <c r="D84" s="63">
        <v>-8154</v>
      </c>
      <c r="E84" s="63">
        <v>-14460</v>
      </c>
      <c r="F84" s="52"/>
      <c r="G84" s="51"/>
      <c r="H84" s="3" t="s">
        <v>86</v>
      </c>
    </row>
    <row r="85">
      <c r="A85" s="41" t="s">
        <v>378</v>
      </c>
      <c r="B85" s="44">
        <v>-20</v>
      </c>
      <c r="C85" s="44">
        <v>-21</v>
      </c>
      <c r="D85" s="44">
        <v>-94</v>
      </c>
      <c r="E85" s="44">
        <v>-86</v>
      </c>
      <c r="F85" s="22"/>
      <c r="G85" s="27"/>
      <c r="H85" s="3" t="s">
        <v>86</v>
      </c>
    </row>
    <row r="86">
      <c r="A86" s="41" t="s">
        <v>379</v>
      </c>
      <c r="B86" s="44">
        <v>9556</v>
      </c>
      <c r="C86" s="44">
        <v>9556</v>
      </c>
      <c r="D86" s="44">
        <v>9556</v>
      </c>
      <c r="E86" s="44">
        <v>9556</v>
      </c>
      <c r="F86" s="22"/>
      <c r="G86" s="27"/>
      <c r="H86" s="3" t="s">
        <v>86</v>
      </c>
    </row>
    <row r="87">
      <c r="A87" s="41" t="s">
        <v>380</v>
      </c>
      <c r="B87" s="44">
        <v>11171</v>
      </c>
      <c r="C87" s="44">
        <v>10825</v>
      </c>
      <c r="D87" s="44">
        <v>12306</v>
      </c>
      <c r="E87" s="44">
        <v>9942</v>
      </c>
      <c r="F87" s="22"/>
      <c r="G87" s="27"/>
      <c r="H87" s="3" t="s">
        <v>86</v>
      </c>
    </row>
    <row r="88">
      <c r="A88" s="41" t="s">
        <v>381</v>
      </c>
      <c r="B88" s="44">
        <v>688</v>
      </c>
      <c r="C88" s="44">
        <v>688</v>
      </c>
      <c r="D88" s="44">
        <v>688</v>
      </c>
      <c r="E88" s="44">
        <v>688</v>
      </c>
      <c r="F88" s="22"/>
      <c r="G88" s="27"/>
      <c r="H88" s="3" t="s">
        <v>268</v>
      </c>
    </row>
    <row r="89">
      <c r="A89" s="41" t="s">
        <v>382</v>
      </c>
      <c r="B89" s="44">
        <v>4302</v>
      </c>
      <c r="C89" s="44">
        <v>9127</v>
      </c>
      <c r="D89" s="44">
        <v>12832</v>
      </c>
      <c r="E89" s="44">
        <v>17817</v>
      </c>
      <c r="F89" s="22"/>
      <c r="G89" s="27"/>
      <c r="H89" s="3" t="s">
        <v>383</v>
      </c>
    </row>
    <row r="90">
      <c r="A90" s="41" t="s">
        <v>384</v>
      </c>
      <c r="B90" s="44">
        <v>-993</v>
      </c>
      <c r="C90" s="44">
        <v>-1918</v>
      </c>
      <c r="D90" s="44">
        <v>-2777</v>
      </c>
      <c r="E90" s="44">
        <v>-3773</v>
      </c>
      <c r="F90" s="22"/>
      <c r="G90" s="27"/>
      <c r="H90" s="3" t="s">
        <v>383</v>
      </c>
    </row>
  </sheetData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385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386</v>
      </c>
      <c r="B8" s="25"/>
      <c r="C8" s="25"/>
      <c r="D8" s="25"/>
      <c r="E8" s="25"/>
      <c r="F8" s="25"/>
      <c r="G8" s="61"/>
      <c r="H8" s="3"/>
    </row>
    <row r="9">
      <c r="A9" s="3" t="s">
        <v>387</v>
      </c>
      <c r="B9" s="22" t="s">
        <v>41</v>
      </c>
      <c r="C9" s="22" t="s">
        <v>41</v>
      </c>
      <c r="D9" s="22" t="s">
        <v>41</v>
      </c>
      <c r="E9" s="22" t="s">
        <v>41</v>
      </c>
      <c r="F9" s="44">
        <v>41700</v>
      </c>
      <c r="G9" s="27" t="s">
        <v>41</v>
      </c>
      <c r="H9" s="3" t="s">
        <v>388</v>
      </c>
    </row>
    <row r="10">
      <c r="A10" s="46" t="s">
        <v>70</v>
      </c>
      <c r="B10" s="20" t="s">
        <v>41</v>
      </c>
      <c r="C10" s="20" t="s">
        <v>41</v>
      </c>
      <c r="D10" s="20" t="s">
        <v>41</v>
      </c>
      <c r="E10" s="20" t="s">
        <v>41</v>
      </c>
      <c r="F10" s="20">
        <f>F9/F19-1</f>
        <v>0.0024038461538462563</v>
      </c>
      <c r="G10" s="29" t="s">
        <v>41</v>
      </c>
      <c r="H10" s="3"/>
    </row>
    <row r="11">
      <c r="A11" s="46" t="s">
        <v>389</v>
      </c>
      <c r="B11" s="20" t="s">
        <v>41</v>
      </c>
      <c r="C11" s="20" t="s">
        <v>41</v>
      </c>
      <c r="D11" s="20" t="s">
        <v>41</v>
      </c>
      <c r="E11" s="20" t="s">
        <v>41</v>
      </c>
      <c r="F11" s="20">
        <f>F9/F15</f>
        <v>0.4793103448275862</v>
      </c>
      <c r="G11" s="29" t="s">
        <v>41</v>
      </c>
      <c r="H11" s="3"/>
    </row>
    <row r="12">
      <c r="A12" s="3" t="s">
        <v>390</v>
      </c>
      <c r="B12" s="22" t="s">
        <v>41</v>
      </c>
      <c r="C12" s="22" t="s">
        <v>41</v>
      </c>
      <c r="D12" s="22" t="s">
        <v>41</v>
      </c>
      <c r="E12" s="22" t="s">
        <v>41</v>
      </c>
      <c r="F12" s="44">
        <v>45300</v>
      </c>
      <c r="G12" s="27" t="s">
        <v>41</v>
      </c>
      <c r="H12" s="3" t="s">
        <v>388</v>
      </c>
    </row>
    <row r="13">
      <c r="A13" s="46" t="s">
        <v>70</v>
      </c>
      <c r="B13" s="20" t="s">
        <v>41</v>
      </c>
      <c r="C13" s="20" t="s">
        <v>41</v>
      </c>
      <c r="D13" s="20" t="s">
        <v>41</v>
      </c>
      <c r="E13" s="20" t="s">
        <v>41</v>
      </c>
      <c r="F13" s="20">
        <f>F12/F20-1</f>
        <v>0.060889929742388826</v>
      </c>
      <c r="G13" s="29" t="s">
        <v>41</v>
      </c>
      <c r="H13" s="3"/>
    </row>
    <row r="14">
      <c r="A14" s="46" t="s">
        <v>389</v>
      </c>
      <c r="B14" s="20" t="s">
        <v>41</v>
      </c>
      <c r="C14" s="20" t="s">
        <v>41</v>
      </c>
      <c r="D14" s="20" t="s">
        <v>41</v>
      </c>
      <c r="E14" s="20" t="s">
        <v>41</v>
      </c>
      <c r="F14" s="20">
        <f>F12/F15</f>
        <v>0.5206896551724138</v>
      </c>
      <c r="G14" s="29" t="s">
        <v>41</v>
      </c>
      <c r="H14" s="3"/>
    </row>
    <row r="15">
      <c r="A15" s="28" t="s">
        <v>391</v>
      </c>
      <c r="B15" s="52" t="s">
        <v>41</v>
      </c>
      <c r="C15" s="52" t="s">
        <v>41</v>
      </c>
      <c r="D15" s="52" t="s">
        <v>41</v>
      </c>
      <c r="E15" s="52" t="s">
        <v>41</v>
      </c>
      <c r="F15" s="52">
        <f>F9+F12</f>
        <v>87000</v>
      </c>
      <c r="G15" s="51" t="s">
        <v>41</v>
      </c>
      <c r="H15" s="3"/>
    </row>
    <row r="16">
      <c r="A16" s="41" t="s">
        <v>392</v>
      </c>
      <c r="B16" s="22"/>
      <c r="C16" s="22"/>
      <c r="D16" s="22"/>
      <c r="E16" s="22"/>
      <c r="F16" s="35">
        <f>F15-'Income Statement'!F9</f>
        <v>-32</v>
      </c>
      <c r="G16" s="27"/>
      <c r="H16" s="3"/>
    </row>
    <row r="17">
      <c r="A17" s="41" t="s">
        <v>393</v>
      </c>
      <c r="B17" s="22"/>
      <c r="C17" s="22"/>
      <c r="D17" s="22"/>
      <c r="E17" s="22"/>
      <c r="F17" s="44">
        <v>50</v>
      </c>
      <c r="G17" s="27"/>
      <c r="H17" s="3" t="s">
        <v>394</v>
      </c>
    </row>
    <row r="18">
      <c r="A18" s="41" t="s">
        <v>395</v>
      </c>
      <c r="B18" s="26"/>
      <c r="C18" s="26"/>
      <c r="D18" s="26"/>
      <c r="E18" s="26"/>
      <c r="F18" s="22" t="b">
        <f>ABS(F16)&lt;=F17</f>
        <v>1</v>
      </c>
      <c r="G18" s="64"/>
      <c r="H18" s="3"/>
    </row>
    <row r="19">
      <c r="A19" s="41" t="s">
        <v>396</v>
      </c>
      <c r="B19" s="22" t="s">
        <v>41</v>
      </c>
      <c r="C19" s="22" t="s">
        <v>41</v>
      </c>
      <c r="D19" s="22" t="s">
        <v>41</v>
      </c>
      <c r="E19" s="22" t="s">
        <v>41</v>
      </c>
      <c r="F19" s="44">
        <v>41600</v>
      </c>
      <c r="G19" s="27" t="s">
        <v>41</v>
      </c>
      <c r="H19" s="3" t="s">
        <v>394</v>
      </c>
    </row>
    <row r="20">
      <c r="A20" s="41" t="s">
        <v>397</v>
      </c>
      <c r="B20" s="22" t="s">
        <v>41</v>
      </c>
      <c r="C20" s="22" t="s">
        <v>41</v>
      </c>
      <c r="D20" s="22" t="s">
        <v>41</v>
      </c>
      <c r="E20" s="22" t="s">
        <v>41</v>
      </c>
      <c r="F20" s="44">
        <v>42700</v>
      </c>
      <c r="G20" s="27" t="s">
        <v>41</v>
      </c>
      <c r="H20" s="3" t="s">
        <v>394</v>
      </c>
    </row>
    <row r="21">
      <c r="A21" s="3"/>
      <c r="B21" s="26"/>
      <c r="C21" s="26"/>
      <c r="D21" s="26"/>
      <c r="E21" s="26"/>
      <c r="F21" s="26"/>
      <c r="G21" s="64"/>
      <c r="H21" s="3"/>
    </row>
    <row r="22">
      <c r="A22" s="49" t="s">
        <v>398</v>
      </c>
      <c r="B22" s="25"/>
      <c r="C22" s="25"/>
      <c r="D22" s="25"/>
      <c r="E22" s="25"/>
      <c r="F22" s="25"/>
      <c r="G22" s="61"/>
      <c r="H22" s="3"/>
    </row>
    <row r="23">
      <c r="A23" s="3" t="s">
        <v>387</v>
      </c>
      <c r="B23" s="22" t="s">
        <v>41</v>
      </c>
      <c r="C23" s="22" t="s">
        <v>41</v>
      </c>
      <c r="D23" s="22" t="s">
        <v>41</v>
      </c>
      <c r="E23" s="22" t="s">
        <v>41</v>
      </c>
      <c r="F23" s="44">
        <v>13900</v>
      </c>
      <c r="G23" s="27" t="s">
        <v>41</v>
      </c>
      <c r="H23" s="3" t="s">
        <v>388</v>
      </c>
    </row>
    <row r="24">
      <c r="A24" s="3" t="s">
        <v>390</v>
      </c>
      <c r="B24" s="22" t="s">
        <v>41</v>
      </c>
      <c r="C24" s="22" t="s">
        <v>41</v>
      </c>
      <c r="D24" s="22" t="s">
        <v>41</v>
      </c>
      <c r="E24" s="22" t="s">
        <v>41</v>
      </c>
      <c r="F24" s="44">
        <v>11500</v>
      </c>
      <c r="G24" s="27" t="s">
        <v>41</v>
      </c>
      <c r="H24" s="3" t="s">
        <v>388</v>
      </c>
    </row>
    <row r="25">
      <c r="A25" s="28" t="s">
        <v>399</v>
      </c>
      <c r="B25" s="52" t="s">
        <v>41</v>
      </c>
      <c r="C25" s="52" t="s">
        <v>41</v>
      </c>
      <c r="D25" s="52" t="s">
        <v>41</v>
      </c>
      <c r="E25" s="52" t="s">
        <v>41</v>
      </c>
      <c r="F25" s="52">
        <f>F23+F24</f>
        <v>25400</v>
      </c>
      <c r="G25" s="51" t="s">
        <v>41</v>
      </c>
      <c r="H25" s="3"/>
    </row>
    <row r="26">
      <c r="A26" s="41" t="s">
        <v>400</v>
      </c>
      <c r="B26" s="22"/>
      <c r="C26" s="22"/>
      <c r="D26" s="22"/>
      <c r="E26" s="22"/>
      <c r="F26" s="35">
        <f>F25-'Balance Sheet'!F14</f>
        <v>40</v>
      </c>
      <c r="G26" s="27"/>
      <c r="H26" s="3"/>
    </row>
    <row r="27">
      <c r="A27" s="3"/>
      <c r="B27" s="26"/>
      <c r="C27" s="26"/>
      <c r="D27" s="26"/>
      <c r="E27" s="26"/>
      <c r="F27" s="26"/>
      <c r="G27" s="64"/>
      <c r="H27" s="3"/>
    </row>
    <row r="28">
      <c r="A28" s="49" t="s">
        <v>401</v>
      </c>
      <c r="B28" s="25"/>
      <c r="C28" s="25"/>
      <c r="D28" s="25"/>
      <c r="E28" s="25"/>
      <c r="F28" s="25"/>
      <c r="G28" s="61"/>
      <c r="H28" s="3"/>
    </row>
    <row r="29">
      <c r="A29" s="11" t="s">
        <v>402</v>
      </c>
      <c r="B29" s="20" t="s">
        <v>41</v>
      </c>
      <c r="C29" s="20" t="s">
        <v>41</v>
      </c>
      <c r="D29" s="20" t="s">
        <v>41</v>
      </c>
      <c r="E29" s="20" t="s">
        <v>41</v>
      </c>
      <c r="F29" s="17">
        <v>0.04</v>
      </c>
      <c r="G29" s="29" t="s">
        <v>41</v>
      </c>
      <c r="H29" s="3" t="s">
        <v>403</v>
      </c>
    </row>
    <row r="30">
      <c r="A30" s="11" t="s">
        <v>404</v>
      </c>
      <c r="B30" s="20" t="s">
        <v>41</v>
      </c>
      <c r="C30" s="20" t="s">
        <v>41</v>
      </c>
      <c r="D30" s="20" t="s">
        <v>41</v>
      </c>
      <c r="E30" s="20" t="s">
        <v>41</v>
      </c>
      <c r="F30" s="17">
        <v>0.06</v>
      </c>
      <c r="G30" s="29" t="s">
        <v>41</v>
      </c>
      <c r="H30" s="3" t="s">
        <v>403</v>
      </c>
    </row>
    <row r="31">
      <c r="A31" s="11" t="s">
        <v>405</v>
      </c>
      <c r="B31" s="20" t="s">
        <v>41</v>
      </c>
      <c r="C31" s="20" t="s">
        <v>41</v>
      </c>
      <c r="D31" s="20" t="s">
        <v>41</v>
      </c>
      <c r="E31" s="20" t="s">
        <v>41</v>
      </c>
      <c r="F31" s="17">
        <v>0.04</v>
      </c>
      <c r="G31" s="29" t="s">
        <v>41</v>
      </c>
      <c r="H31" s="3" t="s">
        <v>403</v>
      </c>
    </row>
    <row r="32">
      <c r="A32" s="11" t="s">
        <v>406</v>
      </c>
      <c r="B32" s="20" t="s">
        <v>41</v>
      </c>
      <c r="C32" s="20" t="s">
        <v>41</v>
      </c>
      <c r="D32" s="20" t="s">
        <v>41</v>
      </c>
      <c r="E32" s="20" t="s">
        <v>41</v>
      </c>
      <c r="F32" s="17">
        <v>0.06</v>
      </c>
      <c r="G32" s="29" t="s">
        <v>41</v>
      </c>
      <c r="H32" s="3" t="s">
        <v>403</v>
      </c>
    </row>
    <row r="33">
      <c r="A33" s="11" t="s">
        <v>407</v>
      </c>
      <c r="B33" s="20" t="s">
        <v>41</v>
      </c>
      <c r="C33" s="20" t="s">
        <v>41</v>
      </c>
      <c r="D33" s="20" t="s">
        <v>41</v>
      </c>
      <c r="E33" s="20" t="s">
        <v>41</v>
      </c>
      <c r="F33" s="17">
        <v>0.2</v>
      </c>
      <c r="G33" s="29" t="s">
        <v>41</v>
      </c>
      <c r="H33" s="3" t="s">
        <v>403</v>
      </c>
    </row>
    <row r="34">
      <c r="A34" s="11" t="s">
        <v>408</v>
      </c>
      <c r="B34" s="20" t="s">
        <v>41</v>
      </c>
      <c r="C34" s="20" t="s">
        <v>41</v>
      </c>
      <c r="D34" s="20" t="s">
        <v>41</v>
      </c>
      <c r="E34" s="20" t="s">
        <v>41</v>
      </c>
      <c r="F34" s="17">
        <v>0.21</v>
      </c>
      <c r="G34" s="29" t="s">
        <v>41</v>
      </c>
      <c r="H34" s="3" t="s">
        <v>394</v>
      </c>
    </row>
  </sheetData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2"/>
  <sheetViews>
    <sheetView showGridLines="0" workbookViewId="0"/>
  </sheetViews>
  <sheetFormatPr defaultColWidth="8.42578125" defaultRowHeight="15"/>
  <cols>
    <col min="1" max="1" width="38" customWidth="1"/>
    <col min="2" max="7" width="12" customWidth="1"/>
    <col min="8" max="8" width="1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204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62</v>
      </c>
      <c r="C4" s="5" t="s">
        <v>63</v>
      </c>
      <c r="D4" s="5" t="s">
        <v>64</v>
      </c>
      <c r="E4" s="5" t="s">
        <v>65</v>
      </c>
      <c r="F4" s="5" t="s">
        <v>66</v>
      </c>
      <c r="G4" s="58" t="s">
        <v>4</v>
      </c>
      <c r="H4" s="57" t="s">
        <v>5</v>
      </c>
    </row>
    <row r="5">
      <c r="A5" s="7" t="s">
        <v>6</v>
      </c>
      <c r="B5" s="23">
        <f>DATE(2025,9,30)</f>
        <v>45930</v>
      </c>
      <c r="C5" s="23">
        <f>DATE(2025,12,31)</f>
        <v>46022</v>
      </c>
      <c r="D5" s="23">
        <f>DATE(2026,3,31)</f>
        <v>46112</v>
      </c>
      <c r="E5" s="23">
        <f>DATE(2026,6,30)</f>
        <v>46203</v>
      </c>
      <c r="F5" s="23">
        <f>DATE(2026,6,30)</f>
        <v>46203</v>
      </c>
      <c r="G5" s="70">
        <f>DATE(2026,9,30)</f>
        <v>46295</v>
      </c>
      <c r="H5" s="7"/>
    </row>
    <row r="6">
      <c r="A6" s="6" t="s">
        <v>7</v>
      </c>
      <c r="B6" s="40">
        <f>B5-DATE(2025,6,30)</f>
        <v>92</v>
      </c>
      <c r="C6" s="40">
        <f>C5-B5</f>
        <v>92</v>
      </c>
      <c r="D6" s="40">
        <f>D5-C5</f>
        <v>90</v>
      </c>
      <c r="E6" s="40">
        <f>E5-D5</f>
        <v>91</v>
      </c>
      <c r="F6" s="40">
        <f>F5-DATE(2025,6,30)</f>
        <v>365</v>
      </c>
      <c r="G6" s="50">
        <f>G5-E5</f>
        <v>92</v>
      </c>
      <c r="H6" s="6"/>
    </row>
    <row r="7">
      <c r="A7" s="3"/>
      <c r="B7" s="3"/>
      <c r="C7" s="3"/>
      <c r="D7" s="3"/>
      <c r="E7" s="3"/>
      <c r="F7" s="3"/>
      <c r="G7" s="59"/>
      <c r="H7" s="3"/>
    </row>
    <row r="8">
      <c r="A8" s="49" t="s">
        <v>409</v>
      </c>
      <c r="B8" s="25"/>
      <c r="C8" s="25"/>
      <c r="D8" s="25"/>
      <c r="E8" s="25"/>
      <c r="F8" s="25"/>
      <c r="G8" s="61"/>
      <c r="H8" s="3"/>
    </row>
    <row r="9">
      <c r="A9" s="3" t="s">
        <v>410</v>
      </c>
      <c r="B9" s="44">
        <v>2342.1</v>
      </c>
      <c r="C9" s="44">
        <v>2335.3</v>
      </c>
      <c r="D9" s="44">
        <v>2328.5</v>
      </c>
      <c r="E9" s="22">
        <f>4*F9-SUM(B9:D9)</f>
        <v>2328.8999999999996</v>
      </c>
      <c r="F9" s="44">
        <v>2333.7</v>
      </c>
      <c r="G9" s="27">
        <f>E9-E35-G39+G40</f>
        <v>2322.8053207619046</v>
      </c>
      <c r="H9" s="3" t="s">
        <v>411</v>
      </c>
    </row>
    <row r="10">
      <c r="A10" s="41" t="s">
        <v>72</v>
      </c>
      <c r="B10" s="22" t="s">
        <v>41</v>
      </c>
      <c r="C10" s="22">
        <f>C9-B9</f>
        <v>-6.799999999999727</v>
      </c>
      <c r="D10" s="22">
        <f>D9-C9</f>
        <v>-6.800000000000182</v>
      </c>
      <c r="E10" s="22">
        <f>E9-D9</f>
        <v>0.3999999999996362</v>
      </c>
      <c r="F10" s="22" t="s">
        <v>41</v>
      </c>
      <c r="G10" s="27">
        <f>G9-E9</f>
        <v>-6.094679238095068</v>
      </c>
      <c r="H10" s="3"/>
    </row>
    <row r="11">
      <c r="A11" s="3" t="s">
        <v>412</v>
      </c>
      <c r="B11" s="44">
        <v>25.3</v>
      </c>
      <c r="C11" s="44">
        <v>20</v>
      </c>
      <c r="D11" s="44">
        <v>20</v>
      </c>
      <c r="E11" s="22" t="s">
        <v>41</v>
      </c>
      <c r="F11" s="44">
        <v>20.5</v>
      </c>
      <c r="G11" s="27" t="s">
        <v>41</v>
      </c>
      <c r="H11" s="3" t="s">
        <v>413</v>
      </c>
    </row>
    <row r="12">
      <c r="A12" s="3" t="s">
        <v>414</v>
      </c>
      <c r="B12" s="44">
        <v>69.4</v>
      </c>
      <c r="C12" s="44">
        <v>68.7</v>
      </c>
      <c r="D12" s="44">
        <v>68</v>
      </c>
      <c r="E12" s="22" t="s">
        <v>41</v>
      </c>
      <c r="F12" s="44">
        <v>68.3</v>
      </c>
      <c r="G12" s="27" t="s">
        <v>41</v>
      </c>
      <c r="H12" s="3" t="s">
        <v>413</v>
      </c>
    </row>
    <row r="13">
      <c r="A13" s="28" t="s">
        <v>415</v>
      </c>
      <c r="B13" s="52">
        <f>B11+B12</f>
        <v>94.7</v>
      </c>
      <c r="C13" s="52">
        <f>C11+C12</f>
        <v>88.7</v>
      </c>
      <c r="D13" s="52">
        <f>D11+D12</f>
        <v>88</v>
      </c>
      <c r="E13" s="52">
        <f>E17-E9</f>
        <v>83.80000000000018</v>
      </c>
      <c r="F13" s="52">
        <f>F11+F12</f>
        <v>88.8</v>
      </c>
      <c r="G13" s="51">
        <f>E13</f>
        <v>83.80000000000018</v>
      </c>
      <c r="H13" s="3" t="s">
        <v>416</v>
      </c>
    </row>
    <row r="14">
      <c r="A14" s="28" t="s">
        <v>417</v>
      </c>
      <c r="B14" s="52">
        <f>B9+B13</f>
        <v>2436.7999999999997</v>
      </c>
      <c r="C14" s="52">
        <f>C9+C13</f>
        <v>2424</v>
      </c>
      <c r="D14" s="52">
        <f>D9+D13</f>
        <v>2416.5</v>
      </c>
      <c r="E14" s="52">
        <f>E9+E13</f>
        <v>2412.7</v>
      </c>
      <c r="F14" s="52">
        <f>F9+F13</f>
        <v>2422.5</v>
      </c>
      <c r="G14" s="51">
        <f>G9+G13</f>
        <v>2406.6053207619047</v>
      </c>
      <c r="H14" s="3"/>
    </row>
    <row r="15">
      <c r="A15" s="46" t="s">
        <v>70</v>
      </c>
      <c r="B15" s="20">
        <f>IFERROR(B14/B19-1,"n/a")</f>
        <v>-0.01184103811841053</v>
      </c>
      <c r="C15" s="20">
        <f>IFERROR(C14/C19-1,"n/a")</f>
        <v>-0.013872503152841609</v>
      </c>
      <c r="D15" s="20">
        <f>IFERROR(D14/D19-1,"n/a")</f>
        <v>-0.013592946362968483</v>
      </c>
      <c r="E15" s="20">
        <f>IFERROR(E14/E19-1,"n/a")</f>
        <v>-0.012726082330796418</v>
      </c>
      <c r="F15" s="20">
        <f>IFERROR(F14/F19-1,"n/a")</f>
        <v>-0.012997066492829279</v>
      </c>
      <c r="G15" s="29">
        <f>IFERROR(G14/G19-1,"n/a")</f>
        <v>-0.0123911191883187</v>
      </c>
      <c r="H15" s="3"/>
    </row>
    <row r="16">
      <c r="A16" s="41" t="s">
        <v>72</v>
      </c>
      <c r="B16" s="22" t="s">
        <v>41</v>
      </c>
      <c r="C16" s="22">
        <f>C14-B14</f>
        <v>-12.799999999999727</v>
      </c>
      <c r="D16" s="22">
        <f>D14-C14</f>
        <v>-7.5</v>
      </c>
      <c r="E16" s="22">
        <f>E14-D14</f>
        <v>-3.800000000000182</v>
      </c>
      <c r="F16" s="22" t="s">
        <v>41</v>
      </c>
      <c r="G16" s="27">
        <f>G14-E14</f>
        <v>-6.094679238095068</v>
      </c>
      <c r="H16" s="3"/>
    </row>
    <row r="17">
      <c r="A17" s="41" t="s">
        <v>418</v>
      </c>
      <c r="B17" s="44">
        <v>2436.8</v>
      </c>
      <c r="C17" s="44">
        <v>2424</v>
      </c>
      <c r="D17" s="44">
        <v>2416.5</v>
      </c>
      <c r="E17" s="44">
        <v>2412.7</v>
      </c>
      <c r="F17" s="44">
        <v>2422.5</v>
      </c>
      <c r="G17" s="27" t="s">
        <v>41</v>
      </c>
      <c r="H17" s="3" t="s">
        <v>92</v>
      </c>
    </row>
    <row r="18">
      <c r="A18" s="41" t="s">
        <v>419</v>
      </c>
      <c r="B18" s="22">
        <f>B14-B17</f>
        <v>0</v>
      </c>
      <c r="C18" s="22">
        <f>C14-C17</f>
        <v>0</v>
      </c>
      <c r="D18" s="22">
        <f>D14-D17</f>
        <v>0</v>
      </c>
      <c r="E18" s="22">
        <f>E14-E17</f>
        <v>0</v>
      </c>
      <c r="F18" s="22">
        <f>F14-F17</f>
        <v>0</v>
      </c>
      <c r="G18" s="27"/>
      <c r="H18" s="3"/>
    </row>
    <row r="19">
      <c r="A19" s="41" t="s">
        <v>420</v>
      </c>
      <c r="B19" s="44">
        <v>2466</v>
      </c>
      <c r="C19" s="44">
        <v>2458.1</v>
      </c>
      <c r="D19" s="44">
        <v>2449.8</v>
      </c>
      <c r="E19" s="44">
        <v>2443.8</v>
      </c>
      <c r="F19" s="44">
        <v>2454.4</v>
      </c>
      <c r="G19" s="27">
        <f>B14</f>
        <v>2436.7999999999997</v>
      </c>
      <c r="H19" s="3" t="s">
        <v>86</v>
      </c>
    </row>
    <row r="20">
      <c r="A20" s="3"/>
      <c r="B20" s="26"/>
      <c r="C20" s="26"/>
      <c r="D20" s="26"/>
      <c r="E20" s="26"/>
      <c r="F20" s="26"/>
      <c r="G20" s="64"/>
      <c r="H20" s="3"/>
    </row>
    <row r="21">
      <c r="A21" s="49" t="s">
        <v>421</v>
      </c>
      <c r="B21" s="25"/>
      <c r="C21" s="25"/>
      <c r="D21" s="25"/>
      <c r="E21" s="25"/>
      <c r="F21" s="25"/>
      <c r="G21" s="61"/>
      <c r="H21" s="3"/>
    </row>
    <row r="22">
      <c r="A22" s="3" t="s">
        <v>422</v>
      </c>
      <c r="B22" s="44">
        <v>73</v>
      </c>
      <c r="C22" s="44">
        <v>73</v>
      </c>
      <c r="D22" s="44">
        <v>72</v>
      </c>
      <c r="E22" s="22">
        <f>F23-SUM(B22:D22)</f>
        <v>74</v>
      </c>
      <c r="F22" s="22">
        <f>SUM(B22:E22)</f>
        <v>292</v>
      </c>
      <c r="G22" s="67">
        <v>73</v>
      </c>
      <c r="H22" s="3" t="s">
        <v>423</v>
      </c>
    </row>
    <row r="23">
      <c r="A23" s="41" t="s">
        <v>424</v>
      </c>
      <c r="B23" s="22"/>
      <c r="C23" s="22"/>
      <c r="D23" s="22"/>
      <c r="E23" s="22"/>
      <c r="F23" s="44">
        <v>292</v>
      </c>
      <c r="G23" s="27"/>
      <c r="H23" s="3" t="s">
        <v>394</v>
      </c>
    </row>
    <row r="24">
      <c r="A24" s="3"/>
      <c r="B24" s="26"/>
      <c r="C24" s="26"/>
      <c r="D24" s="26"/>
      <c r="E24" s="26"/>
      <c r="F24" s="26"/>
      <c r="G24" s="64"/>
      <c r="H24" s="3"/>
    </row>
    <row r="25">
      <c r="A25" s="49" t="s">
        <v>425</v>
      </c>
      <c r="B25" s="25"/>
      <c r="C25" s="25"/>
      <c r="D25" s="25"/>
      <c r="E25" s="25"/>
      <c r="F25" s="25"/>
      <c r="G25" s="61"/>
      <c r="H25" s="3"/>
    </row>
    <row r="26">
      <c r="A26" s="3" t="s">
        <v>426</v>
      </c>
      <c r="B26" s="35">
        <f>-'Cash Flow Statement'!B36</f>
        <v>1250</v>
      </c>
      <c r="C26" s="35">
        <f>-'Cash Flow Statement'!C36</f>
        <v>2278</v>
      </c>
      <c r="D26" s="35">
        <f>-'Cash Flow Statement'!D36</f>
        <v>625</v>
      </c>
      <c r="E26" s="35">
        <f>-'Cash Flow Statement'!E36</f>
        <v>875</v>
      </c>
      <c r="F26" s="35">
        <f>-'Cash Flow Statement'!F36</f>
        <v>5028</v>
      </c>
      <c r="G26" s="56">
        <f>-'Cash Flow Statement'!G36</f>
        <v>1250</v>
      </c>
      <c r="H26" s="3" t="s">
        <v>309</v>
      </c>
    </row>
    <row r="27">
      <c r="A27" s="3" t="s">
        <v>427</v>
      </c>
      <c r="B27" s="22"/>
      <c r="C27" s="22"/>
      <c r="D27" s="22"/>
      <c r="E27" s="44">
        <v>3.116914</v>
      </c>
      <c r="F27" s="22"/>
      <c r="G27" s="27"/>
      <c r="H27" s="3" t="s">
        <v>428</v>
      </c>
    </row>
    <row r="28">
      <c r="A28" s="3" t="s">
        <v>429</v>
      </c>
      <c r="B28" s="22"/>
      <c r="C28" s="22"/>
      <c r="D28" s="22"/>
      <c r="E28" s="44">
        <v>2.816725</v>
      </c>
      <c r="F28" s="22"/>
      <c r="G28" s="27"/>
      <c r="H28" s="3" t="s">
        <v>428</v>
      </c>
    </row>
    <row r="29">
      <c r="A29" s="28" t="s">
        <v>430</v>
      </c>
      <c r="B29" s="52"/>
      <c r="C29" s="52"/>
      <c r="D29" s="52"/>
      <c r="E29" s="52">
        <f>E27+E28</f>
        <v>5.933638999999999</v>
      </c>
      <c r="F29" s="52"/>
      <c r="G29" s="51"/>
      <c r="H29" s="3"/>
    </row>
    <row r="30">
      <c r="A30" s="3" t="s">
        <v>431</v>
      </c>
      <c r="B30" s="76"/>
      <c r="C30" s="76"/>
      <c r="D30" s="76"/>
      <c r="E30" s="94">
        <v>147.46</v>
      </c>
      <c r="F30" s="76"/>
      <c r="G30" s="98"/>
      <c r="H30" s="3" t="s">
        <v>428</v>
      </c>
    </row>
    <row r="31">
      <c r="A31" s="41" t="s">
        <v>432</v>
      </c>
      <c r="B31" s="22"/>
      <c r="C31" s="22"/>
      <c r="D31" s="22"/>
      <c r="E31" s="22">
        <f>E29*E30</f>
        <v>874.97440694</v>
      </c>
      <c r="F31" s="22"/>
      <c r="G31" s="27"/>
      <c r="H31" s="3"/>
    </row>
    <row r="32">
      <c r="A32" s="46" t="s">
        <v>433</v>
      </c>
      <c r="B32" s="20"/>
      <c r="C32" s="20"/>
      <c r="D32" s="20"/>
      <c r="E32" s="20">
        <f>(DATE(2026,6,30)-DATE(2026,5,16))/E$6</f>
        <v>0.4945054945054945</v>
      </c>
      <c r="F32" s="20"/>
      <c r="G32" s="29"/>
      <c r="H32" s="3"/>
    </row>
    <row r="33">
      <c r="A33" s="46" t="s">
        <v>434</v>
      </c>
      <c r="B33" s="20"/>
      <c r="C33" s="20"/>
      <c r="D33" s="20"/>
      <c r="E33" s="20">
        <f>(DATE(2026,6,30)-DATE(2026,6,15))/E$6</f>
        <v>0.16483516483516483</v>
      </c>
      <c r="F33" s="20"/>
      <c r="G33" s="29"/>
      <c r="H33" s="3"/>
    </row>
    <row r="34">
      <c r="A34" s="41" t="s">
        <v>435</v>
      </c>
      <c r="B34" s="22"/>
      <c r="C34" s="22"/>
      <c r="D34" s="22"/>
      <c r="E34" s="22">
        <f>E27*E32+E28*E33</f>
        <v>2.0056264285714285</v>
      </c>
      <c r="F34" s="22"/>
      <c r="G34" s="27"/>
      <c r="H34" s="3"/>
    </row>
    <row r="35">
      <c r="A35" s="28" t="s">
        <v>436</v>
      </c>
      <c r="B35" s="52"/>
      <c r="C35" s="52"/>
      <c r="D35" s="52"/>
      <c r="E35" s="52">
        <f>E29-E34</f>
        <v>3.928012571428571</v>
      </c>
      <c r="F35" s="52"/>
      <c r="G35" s="51"/>
      <c r="H35" s="3"/>
    </row>
    <row r="36">
      <c r="A36" s="3" t="s">
        <v>437</v>
      </c>
      <c r="B36" s="76"/>
      <c r="C36" s="76"/>
      <c r="D36" s="76"/>
      <c r="E36" s="76"/>
      <c r="F36" s="76"/>
      <c r="G36" s="102">
        <v>150</v>
      </c>
      <c r="H36" s="3" t="s">
        <v>438</v>
      </c>
    </row>
    <row r="37">
      <c r="A37" s="3" t="s">
        <v>439</v>
      </c>
      <c r="B37" s="22"/>
      <c r="C37" s="22"/>
      <c r="D37" s="22"/>
      <c r="E37" s="22"/>
      <c r="F37" s="22"/>
      <c r="G37" s="27">
        <f>G26/G36</f>
        <v>8.333333333333334</v>
      </c>
      <c r="H37" s="3"/>
    </row>
    <row r="38">
      <c r="A38" s="11" t="s">
        <v>440</v>
      </c>
      <c r="B38" s="20"/>
      <c r="C38" s="20"/>
      <c r="D38" s="20"/>
      <c r="E38" s="20"/>
      <c r="F38" s="20"/>
      <c r="G38" s="72">
        <v>0.5</v>
      </c>
      <c r="H38" s="3" t="s">
        <v>441</v>
      </c>
    </row>
    <row r="39">
      <c r="A39" s="3" t="s">
        <v>442</v>
      </c>
      <c r="B39" s="22"/>
      <c r="C39" s="22"/>
      <c r="D39" s="22"/>
      <c r="E39" s="22"/>
      <c r="F39" s="22"/>
      <c r="G39" s="27">
        <f>G37*G38</f>
        <v>4.166666666666667</v>
      </c>
      <c r="H39" s="3"/>
    </row>
    <row r="40">
      <c r="A40" s="3" t="s">
        <v>443</v>
      </c>
      <c r="B40" s="22"/>
      <c r="C40" s="22"/>
      <c r="D40" s="22"/>
      <c r="E40" s="22"/>
      <c r="F40" s="22"/>
      <c r="G40" s="67">
        <v>2</v>
      </c>
      <c r="H40" s="3" t="s">
        <v>438</v>
      </c>
    </row>
    <row r="41">
      <c r="A41" s="28" t="s">
        <v>444</v>
      </c>
      <c r="B41" s="52"/>
      <c r="C41" s="52"/>
      <c r="D41" s="52"/>
      <c r="E41" s="52"/>
      <c r="F41" s="52"/>
      <c r="G41" s="51">
        <f>G14</f>
        <v>2406.6053207619047</v>
      </c>
      <c r="H41" s="3"/>
    </row>
    <row r="42">
      <c r="A42" s="41" t="s">
        <v>445</v>
      </c>
      <c r="B42" s="45"/>
      <c r="C42" s="45"/>
      <c r="D42" s="45"/>
      <c r="E42" s="45"/>
      <c r="F42" s="45"/>
      <c r="G42" s="101">
        <f>('Income Statement'!G72/(G14-5)-'Income Statement'!G72/G14)*100</f>
        <v>0.3954597765226442</v>
      </c>
      <c r="H42" s="3"/>
    </row>
  </sheetData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2"/>
  <sheetViews>
    <sheetView showGridLines="0" workbookViewId="0"/>
  </sheetViews>
  <sheetFormatPr defaultColWidth="8.42578125" defaultRowHeight="15"/>
  <cols>
    <col min="1" max="1" width="52" customWidth="1"/>
    <col min="2" max="2" width="11" customWidth="1"/>
    <col min="3" max="3" width="7" customWidth="1"/>
    <col min="4" max="7" width="12" customWidth="1"/>
    <col min="8" max="8" width="38" customWidth="1"/>
    <col min="9" max="9" width="8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  <c r="I1" s="3"/>
    </row>
    <row r="2">
      <c r="A2" s="12" t="s">
        <v>446</v>
      </c>
      <c r="B2" s="3"/>
      <c r="C2" s="3"/>
      <c r="D2" s="3"/>
      <c r="E2" s="3"/>
      <c r="F2" s="3"/>
      <c r="G2" s="3"/>
      <c r="H2" s="3"/>
      <c r="I2" s="3"/>
    </row>
    <row r="3">
      <c r="A3" s="11" t="s">
        <v>2</v>
      </c>
      <c r="B3" s="3"/>
      <c r="C3" s="3"/>
      <c r="D3" s="3"/>
      <c r="E3" s="3"/>
      <c r="F3" s="3"/>
      <c r="G3" s="3"/>
      <c r="H3" s="3"/>
      <c r="I3" s="3"/>
    </row>
    <row r="4">
      <c r="A4" s="9" t="s">
        <v>447</v>
      </c>
      <c r="B4" s="5" t="s">
        <v>4</v>
      </c>
      <c r="C4" s="9"/>
      <c r="D4" s="9"/>
      <c r="E4" s="9"/>
      <c r="F4" s="9"/>
      <c r="G4" s="9"/>
      <c r="H4" s="9"/>
      <c r="I4" s="9"/>
    </row>
    <row r="5">
      <c r="A5" s="7" t="s">
        <v>448</v>
      </c>
      <c r="B5" s="23">
        <f>DATE(2026,9,30)</f>
        <v>46295</v>
      </c>
      <c r="C5" s="7"/>
      <c r="D5" s="7"/>
      <c r="E5" s="7"/>
      <c r="F5" s="7"/>
      <c r="G5" s="7"/>
      <c r="H5" s="7"/>
      <c r="I5" s="7"/>
    </row>
    <row r="6">
      <c r="A6" s="6" t="s">
        <v>449</v>
      </c>
      <c r="B6" s="40">
        <f>B5-DATE(2026,6,30)</f>
        <v>92</v>
      </c>
      <c r="C6" s="6"/>
      <c r="D6" s="6"/>
      <c r="E6" s="6"/>
      <c r="F6" s="6"/>
      <c r="G6" s="6"/>
      <c r="H6" s="6"/>
      <c r="I6" s="6"/>
    </row>
    <row r="7">
      <c r="A7" s="3"/>
      <c r="B7" s="3"/>
      <c r="C7" s="3"/>
      <c r="D7" s="3"/>
      <c r="E7" s="3"/>
      <c r="F7" s="3"/>
      <c r="G7" s="3"/>
      <c r="H7" s="3"/>
      <c r="I7" s="3"/>
    </row>
    <row r="8">
      <c r="A8" s="103" t="s">
        <v>450</v>
      </c>
      <c r="B8" s="87"/>
      <c r="C8" s="87"/>
      <c r="D8" s="24"/>
      <c r="E8" s="24"/>
      <c r="F8" s="24"/>
      <c r="G8" s="24"/>
      <c r="H8" s="19"/>
      <c r="I8" s="91"/>
    </row>
    <row r="9">
      <c r="A9" s="28" t="s">
        <v>451</v>
      </c>
      <c r="B9" s="88" t="s">
        <v>452</v>
      </c>
      <c r="C9" s="88" t="s">
        <v>3</v>
      </c>
      <c r="D9" s="105" t="s">
        <v>453</v>
      </c>
      <c r="E9" s="105" t="s">
        <v>454</v>
      </c>
      <c r="F9" s="105" t="s">
        <v>455</v>
      </c>
      <c r="G9" s="105" t="s">
        <v>456</v>
      </c>
      <c r="H9" s="92" t="s">
        <v>457</v>
      </c>
      <c r="I9" s="107" t="s">
        <v>5</v>
      </c>
    </row>
    <row r="10">
      <c r="A10" s="3" t="s">
        <v>458</v>
      </c>
      <c r="B10" s="18" t="s">
        <v>459</v>
      </c>
      <c r="C10" s="18" t="s">
        <v>460</v>
      </c>
      <c r="D10" s="109">
        <v>0</v>
      </c>
      <c r="E10" s="109">
        <v>0.04</v>
      </c>
      <c r="F10" s="110">
        <f>IFERROR(AVERAGE(D10,E10),"n/a")</f>
        <v>0.02</v>
      </c>
      <c r="G10" s="21">
        <f>'Revenue summary'!F72</f>
        <v>0.01</v>
      </c>
      <c r="H10" s="16" t="str">
        <f>IF(ISNUMBER(G10),IF(ISNUMBER(D10),IF(G10&gt;E10,"Above range",IF(G10&lt;D10,"Below range",IF(G10&gt;=F10,"In range, ≥ midpoint","In range, &lt; midpoint"))),IF(G10&lt;=E10,"Within bound (estimate)","Above bound (estimate)")),"Pending")</f>
        <v>In range, &lt; midpoint</v>
      </c>
      <c r="I10" s="3" t="s">
        <v>461</v>
      </c>
    </row>
    <row r="11">
      <c r="A11" s="3" t="s">
        <v>462</v>
      </c>
      <c r="B11" s="18" t="s">
        <v>459</v>
      </c>
      <c r="C11" s="18" t="s">
        <v>460</v>
      </c>
      <c r="D11" s="109">
        <v>0.01</v>
      </c>
      <c r="E11" s="109">
        <v>0.05</v>
      </c>
      <c r="F11" s="110">
        <f>IFERROR(AVERAGE(D11,E11),"n/a")</f>
        <v>0.030000000000000002</v>
      </c>
      <c r="G11" s="21">
        <f>'Income Statement'!F10</f>
        <v>0.03260405296378899</v>
      </c>
      <c r="H11" s="16" t="str">
        <f>IF(ISNUMBER(G11),IF(ISNUMBER(D11),IF(G11&gt;E11,"Above range",IF(G11&lt;D11,"Below range",IF(G11&gt;=F11,"In range, ≥ midpoint","In range, &lt; midpoint"))),IF(G11&lt;=E11,"Within bound (estimate)","Above bound (estimate)")),"Pending")</f>
        <v>In range, ≥ midpoint</v>
      </c>
      <c r="I11" s="3" t="s">
        <v>463</v>
      </c>
    </row>
    <row r="12">
      <c r="A12" s="3" t="s">
        <v>464</v>
      </c>
      <c r="B12" s="18" t="s">
        <v>459</v>
      </c>
      <c r="C12" s="18" t="s">
        <v>460</v>
      </c>
      <c r="D12" s="39">
        <v>6.83</v>
      </c>
      <c r="E12" s="39">
        <v>7.09</v>
      </c>
      <c r="F12" s="38">
        <f>IFERROR(AVERAGE(D12,E12),"n/a")</f>
        <v>6.96</v>
      </c>
      <c r="G12" s="42">
        <f>'Income Statement'!F74</f>
        <v>6.887100103199175</v>
      </c>
      <c r="H12" s="16" t="str">
        <f>IF(ISNUMBER(G12),IF(ISNUMBER(D12),IF(G12&gt;E12,"Above range",IF(G12&lt;D12,"Below range",IF(G12&gt;=F12,"In range, ≥ midpoint","In range, &lt; midpoint"))),IF(G12&lt;=E12,"Within bound (estimate)","Above bound (estimate)")),"Pending")</f>
        <v>In range, &lt; midpoint</v>
      </c>
      <c r="I12" s="3" t="s">
        <v>463</v>
      </c>
    </row>
    <row r="13">
      <c r="A13" s="3" t="s">
        <v>465</v>
      </c>
      <c r="B13" s="18" t="s">
        <v>459</v>
      </c>
      <c r="C13" s="18" t="s">
        <v>460</v>
      </c>
      <c r="D13" s="109">
        <v>0.03</v>
      </c>
      <c r="E13" s="109">
        <v>0.09</v>
      </c>
      <c r="F13" s="110">
        <f>IFERROR(AVERAGE(D13,E13),"n/a")</f>
        <v>0.06</v>
      </c>
      <c r="G13" s="21">
        <f>'Income Statement'!F53/'Income Statement'!F114-1</f>
        <v>0.0174075289425335</v>
      </c>
      <c r="H13" s="16" t="str">
        <f>IF(ISNUMBER(G13),IF(ISNUMBER(D13),IF(G13&gt;E13,"Above range",IF(G13&lt;D13,"Below range",IF(G13&gt;=F13,"In range, ≥ midpoint","In range, &lt; midpoint"))),IF(G13&lt;=E13,"Within bound (estimate)","Above bound (estimate)")),"Pending")</f>
        <v>Below range</v>
      </c>
      <c r="I13" s="3" t="s">
        <v>463</v>
      </c>
    </row>
    <row r="14">
      <c r="A14" s="3" t="s">
        <v>466</v>
      </c>
      <c r="B14" s="18" t="s">
        <v>467</v>
      </c>
      <c r="C14" s="18" t="s">
        <v>460</v>
      </c>
      <c r="D14" s="109">
        <v>0.01</v>
      </c>
      <c r="E14" s="109">
        <v>0.06</v>
      </c>
      <c r="F14" s="110">
        <f>IFERROR(AVERAGE(D14,E14),"n/a")</f>
        <v>0.034999999999999996</v>
      </c>
      <c r="G14" s="21">
        <f>'Income Statement'!F53/'Income Statement'!F114-1</f>
        <v>0.0174075289425335</v>
      </c>
      <c r="H14" s="16" t="str">
        <f>IF(ISNUMBER(G14),IF(ISNUMBER(D14),IF(G14&gt;E14,"Above range",IF(G14&lt;D14,"Below range",IF(G14&gt;=F14,"In range, ≥ midpoint","In range, &lt; midpoint"))),IF(G14&lt;=E14,"Within bound (estimate)","Above bound (estimate)")),"Pending")</f>
        <v>In range, &lt; midpoint</v>
      </c>
      <c r="I14" s="3" t="s">
        <v>468</v>
      </c>
    </row>
    <row r="15">
      <c r="A15" s="3" t="s">
        <v>469</v>
      </c>
      <c r="B15" s="18" t="s">
        <v>467</v>
      </c>
      <c r="C15" s="18" t="s">
        <v>460</v>
      </c>
      <c r="D15" s="109">
        <v>0.2</v>
      </c>
      <c r="E15" s="109">
        <v>0.21</v>
      </c>
      <c r="F15" s="110">
        <f>IFERROR(AVERAGE(D15,E15),"n/a")</f>
        <v>0.20500000000000002</v>
      </c>
      <c r="G15" s="21">
        <f>'Income Statement'!F97</f>
        <v>0.19859612262439116</v>
      </c>
      <c r="H15" s="16" t="str">
        <f>IF(ISNUMBER(G15),IF(ISNUMBER(D15),IF(G15&gt;E15,"Above range",IF(G15&lt;D15,"Below range",IF(G15&gt;=F15,"In range, ≥ midpoint","In range, &lt; midpoint"))),IF(G15&lt;=E15,"Within bound (estimate)","Above bound (estimate)")),"Pending")</f>
        <v>Below range</v>
      </c>
      <c r="I15" s="3" t="s">
        <v>468</v>
      </c>
    </row>
    <row r="16">
      <c r="A16" s="3" t="s">
        <v>470</v>
      </c>
      <c r="B16" s="18" t="s">
        <v>467</v>
      </c>
      <c r="C16" s="18" t="s">
        <v>460</v>
      </c>
      <c r="D16" s="109">
        <v>0.04</v>
      </c>
      <c r="E16" s="109">
        <v>0.05</v>
      </c>
      <c r="F16" s="110">
        <f>IFERROR(AVERAGE(D16,E16),"n/a")</f>
        <v>0.045</v>
      </c>
      <c r="G16" s="21">
        <f>'Cash Flow Statement'!F54</f>
        <v>0.050659527530103866</v>
      </c>
      <c r="H16" s="16" t="str">
        <f>IF(ISNUMBER(G16),IF(ISNUMBER(D16),IF(G16&gt;E16,"Above range",IF(G16&lt;D16,"Below range",IF(G16&gt;=F16,"In range, ≥ midpoint","In range, &lt; midpoint"))),IF(G16&lt;=E16,"Within bound (estimate)","Above bound (estimate)")),"Pending")</f>
        <v>Above range</v>
      </c>
      <c r="I16" s="3" t="s">
        <v>468</v>
      </c>
    </row>
    <row r="17">
      <c r="A17" s="3" t="s">
        <v>471</v>
      </c>
      <c r="B17" s="18" t="s">
        <v>467</v>
      </c>
      <c r="C17" s="18" t="s">
        <v>460</v>
      </c>
      <c r="D17" s="109">
        <v>0.85</v>
      </c>
      <c r="E17" s="109">
        <v>0.9</v>
      </c>
      <c r="F17" s="110">
        <f>IFERROR(AVERAGE(D17,E17),"n/a")</f>
        <v>0.875</v>
      </c>
      <c r="G17" s="21">
        <f>'Cash Flow Statement'!F53</f>
        <v>0.9970406749779624</v>
      </c>
      <c r="H17" s="16" t="str">
        <f>IF(ISNUMBER(G17),IF(ISNUMBER(D17),IF(G17&gt;E17,"Above range",IF(G17&lt;D17,"Below range",IF(G17&gt;=F17,"In range, ≥ midpoint","In range, &lt; midpoint"))),IF(G17&lt;=E17,"Within bound (estimate)","Above bound (estimate)")),"Pending")</f>
        <v>Above range</v>
      </c>
      <c r="I17" s="3" t="s">
        <v>468</v>
      </c>
    </row>
    <row r="18">
      <c r="A18" s="3" t="s">
        <v>472</v>
      </c>
      <c r="B18" s="18" t="s">
        <v>467</v>
      </c>
      <c r="C18" s="18" t="s">
        <v>460</v>
      </c>
      <c r="D18" s="44">
        <v>10000</v>
      </c>
      <c r="E18" s="44">
        <v>10000</v>
      </c>
      <c r="F18" s="22">
        <f>IFERROR(AVERAGE(D18,E18),"n/a")</f>
        <v>10000</v>
      </c>
      <c r="G18" s="35">
        <f>-'Cash Flow Statement'!F30</f>
        <v>10232</v>
      </c>
      <c r="H18" s="106" t="str">
        <f>IF(ISNUMBER(G18),"Approx. point: "&amp;TEXT(G18/F18-1,"+0.0%;-0.0%")&amp;" vs guide","Pending")</f>
        <v>Approx. point: +2.3% vs guide</v>
      </c>
      <c r="I18" s="3" t="s">
        <v>468</v>
      </c>
    </row>
    <row r="19">
      <c r="A19" s="3" t="s">
        <v>473</v>
      </c>
      <c r="B19" s="18" t="s">
        <v>467</v>
      </c>
      <c r="C19" s="18" t="s">
        <v>460</v>
      </c>
      <c r="D19" s="44">
        <v>5000</v>
      </c>
      <c r="E19" s="44">
        <v>5000</v>
      </c>
      <c r="F19" s="22">
        <f>IFERROR(AVERAGE(D19,E19),"n/a")</f>
        <v>5000</v>
      </c>
      <c r="G19" s="35">
        <f>-'Cash Flow Statement'!F36</f>
        <v>5028</v>
      </c>
      <c r="H19" s="106" t="str">
        <f>IF(ISNUMBER(G19),"Approx. point: "&amp;TEXT(G19/F19-1,"+0.0%;-0.0%")&amp;" vs guide","Pending")</f>
        <v>Approx. point: +0.6% vs guide</v>
      </c>
      <c r="I19" s="3" t="s">
        <v>468</v>
      </c>
    </row>
    <row r="20">
      <c r="A20" s="3" t="s">
        <v>474</v>
      </c>
      <c r="B20" s="18" t="s">
        <v>475</v>
      </c>
      <c r="C20" s="18" t="s">
        <v>476</v>
      </c>
      <c r="D20" s="109">
        <v>0.01</v>
      </c>
      <c r="E20" s="109">
        <v>0.03</v>
      </c>
      <c r="F20" s="110">
        <f>IFERROR(AVERAGE(D20,E20),"n/a")</f>
        <v>0.02</v>
      </c>
      <c r="G20" s="20" t="s">
        <v>41</v>
      </c>
      <c r="H20" s="16" t="str">
        <f>IF(ISNUMBER(G20),IF(ISNUMBER(D20),IF(G20&gt;E20,"Above range",IF(G20&lt;D20,"Below range",IF(G20&gt;=F20,"In range, ≥ midpoint","In range, &lt; midpoint"))),IF(G20&lt;=E20,"Within bound (estimate)","Above bound (estimate)")),"Pending")</f>
        <v>Pending</v>
      </c>
      <c r="I20" s="3" t="s">
        <v>477</v>
      </c>
    </row>
    <row r="21">
      <c r="A21" s="3" t="s">
        <v>478</v>
      </c>
      <c r="B21" s="18" t="s">
        <v>475</v>
      </c>
      <c r="C21" s="18" t="s">
        <v>476</v>
      </c>
      <c r="D21" s="109">
        <v>0.01</v>
      </c>
      <c r="E21" s="109">
        <v>0.03</v>
      </c>
      <c r="F21" s="110">
        <f>IFERROR(AVERAGE(D21,E21),"n/a")</f>
        <v>0.02</v>
      </c>
      <c r="G21" s="20" t="s">
        <v>41</v>
      </c>
      <c r="H21" s="16" t="str">
        <f>IF(ISNUMBER(G21),IF(ISNUMBER(D21),IF(G21&gt;E21,"Above range",IF(G21&lt;D21,"Below range",IF(G21&gt;=F21,"In range, ≥ midpoint","In range, &lt; midpoint"))),IF(G21&lt;=E21,"Within bound (estimate)","Above bound (estimate)")),"Pending")</f>
        <v>Pending</v>
      </c>
      <c r="I21" s="3" t="s">
        <v>477</v>
      </c>
    </row>
    <row r="22">
      <c r="A22" s="3" t="s">
        <v>479</v>
      </c>
      <c r="B22" s="18" t="s">
        <v>475</v>
      </c>
      <c r="C22" s="18" t="s">
        <v>476</v>
      </c>
      <c r="D22" s="39">
        <v>6.89</v>
      </c>
      <c r="E22" s="39">
        <v>7.11</v>
      </c>
      <c r="F22" s="38">
        <f>IFERROR(AVERAGE(D22,E22),"n/a")</f>
        <v>7</v>
      </c>
      <c r="G22" s="38" t="s">
        <v>41</v>
      </c>
      <c r="H22" s="16" t="str">
        <f>IF(ISNUMBER(G22),IF(ISNUMBER(D22),IF(G22&gt;E22,"Above range",IF(G22&lt;D22,"Below range",IF(G22&gt;=F22,"In range, ≥ midpoint","In range, &lt; midpoint"))),IF(G22&lt;=E22,"Within bound (estimate)","Above bound (estimate)")),"Pending")</f>
        <v>Pending</v>
      </c>
      <c r="I22" s="3" t="s">
        <v>477</v>
      </c>
    </row>
    <row r="23">
      <c r="A23" s="3" t="s">
        <v>480</v>
      </c>
      <c r="B23" s="18" t="s">
        <v>475</v>
      </c>
      <c r="C23" s="18" t="s">
        <v>476</v>
      </c>
      <c r="D23" s="109">
        <v>0.01</v>
      </c>
      <c r="E23" s="109">
        <v>0.05</v>
      </c>
      <c r="F23" s="110">
        <f>IFERROR(AVERAGE(D23,E23),"n/a")</f>
        <v>0.030000000000000002</v>
      </c>
      <c r="G23" s="20" t="s">
        <v>41</v>
      </c>
      <c r="H23" s="16" t="str">
        <f>IF(ISNUMBER(G23),IF(ISNUMBER(D23),IF(G23&gt;E23,"Above range",IF(G23&lt;D23,"Below range",IF(G23&gt;=F23,"In range, ≥ midpoint","In range, &lt; midpoint"))),IF(G23&lt;=E23,"Within bound (estimate)","Above bound (estimate)")),"Pending")</f>
        <v>Pending</v>
      </c>
      <c r="I23" s="3" t="s">
        <v>477</v>
      </c>
    </row>
    <row r="24">
      <c r="A24" s="3" t="s">
        <v>481</v>
      </c>
      <c r="B24" s="18" t="s">
        <v>475</v>
      </c>
      <c r="C24" s="18" t="s">
        <v>476</v>
      </c>
      <c r="D24" s="39">
        <v>0.13</v>
      </c>
      <c r="E24" s="39">
        <v>0.17</v>
      </c>
      <c r="F24" s="38">
        <f>IFERROR(AVERAGE(D24,E24),"n/a")</f>
        <v>0.15000000000000002</v>
      </c>
      <c r="G24" s="38" t="s">
        <v>41</v>
      </c>
      <c r="H24" s="16" t="str">
        <f>IF(ISNUMBER(G24),IF(ISNUMBER(D24),IF(G24&gt;E24,"Above range",IF(G24&lt;D24,"Below range",IF(G24&gt;=F24,"In range, ≥ midpoint","In range, &lt; midpoint"))),IF(G24&lt;=E24,"Within bound (estimate)","Above bound (estimate)")),"Pending")</f>
        <v>Pending</v>
      </c>
      <c r="I24" s="3" t="s">
        <v>477</v>
      </c>
    </row>
    <row r="25">
      <c r="A25" s="3" t="s">
        <v>482</v>
      </c>
      <c r="B25" s="18" t="s">
        <v>475</v>
      </c>
      <c r="C25" s="18" t="s">
        <v>476</v>
      </c>
      <c r="D25" s="109">
        <v>0.2</v>
      </c>
      <c r="E25" s="109">
        <v>0.2</v>
      </c>
      <c r="F25" s="110">
        <f>IFERROR(AVERAGE(D25,E25),"n/a")</f>
        <v>0.2</v>
      </c>
      <c r="G25" s="20" t="s">
        <v>41</v>
      </c>
      <c r="H25" s="16" t="str">
        <f>IF(ISNUMBER(G25),IF(ISNUMBER(D25),IF(G25&gt;E25,"Above range",IF(G25&lt;D25,"Below range",IF(G25&gt;=F25,"In range, ≥ midpoint","In range, &lt; midpoint"))),IF(G25&lt;=E25,"Within bound (estimate)","Above bound (estimate)")),"Pending")</f>
        <v>Pending</v>
      </c>
      <c r="I25" s="3" t="s">
        <v>477</v>
      </c>
    </row>
    <row r="26">
      <c r="A26" s="3" t="s">
        <v>483</v>
      </c>
      <c r="B26" s="18" t="s">
        <v>475</v>
      </c>
      <c r="C26" s="18" t="s">
        <v>476</v>
      </c>
      <c r="D26" s="109">
        <v>0.045</v>
      </c>
      <c r="E26" s="109">
        <v>0.055</v>
      </c>
      <c r="F26" s="110">
        <f>IFERROR(AVERAGE(D26,E26),"n/a")</f>
        <v>0.05</v>
      </c>
      <c r="G26" s="20" t="s">
        <v>41</v>
      </c>
      <c r="H26" s="16" t="str">
        <f>IF(ISNUMBER(G26),IF(ISNUMBER(D26),IF(G26&gt;E26,"Above range",IF(G26&lt;D26,"Below range",IF(G26&gt;=F26,"In range, ≥ midpoint","In range, &lt; midpoint"))),IF(G26&lt;=E26,"Within bound (estimate)","Above bound (estimate)")),"Pending")</f>
        <v>Pending</v>
      </c>
      <c r="I26" s="3" t="s">
        <v>477</v>
      </c>
    </row>
    <row r="27">
      <c r="A27" s="3" t="s">
        <v>484</v>
      </c>
      <c r="B27" s="18" t="s">
        <v>475</v>
      </c>
      <c r="C27" s="18" t="s">
        <v>476</v>
      </c>
      <c r="D27" s="109">
        <v>0.85</v>
      </c>
      <c r="E27" s="109">
        <v>0.9</v>
      </c>
      <c r="F27" s="110">
        <f>IFERROR(AVERAGE(D27,E27),"n/a")</f>
        <v>0.875</v>
      </c>
      <c r="G27" s="20" t="s">
        <v>41</v>
      </c>
      <c r="H27" s="16" t="str">
        <f>IF(ISNUMBER(G27),IF(ISNUMBER(D27),IF(G27&gt;E27,"Above range",IF(G27&lt;D27,"Below range",IF(G27&gt;=F27,"In range, ≥ midpoint","In range, &lt; midpoint"))),IF(G27&lt;=E27,"Within bound (estimate)","Above bound (estimate)")),"Pending")</f>
        <v>Pending</v>
      </c>
      <c r="I27" s="3" t="s">
        <v>477</v>
      </c>
    </row>
    <row r="28">
      <c r="A28" s="3" t="s">
        <v>485</v>
      </c>
      <c r="B28" s="18" t="s">
        <v>475</v>
      </c>
      <c r="C28" s="18" t="s">
        <v>476</v>
      </c>
      <c r="D28" s="44">
        <v>10000</v>
      </c>
      <c r="E28" s="44">
        <v>10000</v>
      </c>
      <c r="F28" s="22">
        <f>IFERROR(AVERAGE(D28,E28),"n/a")</f>
        <v>10000</v>
      </c>
      <c r="G28" s="22" t="s">
        <v>41</v>
      </c>
      <c r="H28" s="106" t="str">
        <f>IF(ISNUMBER(G28),"Approx. point: "&amp;TEXT(G28/F28-1,"+0.0%;-0.0%")&amp;" vs guide","Pending")</f>
        <v>Pending</v>
      </c>
      <c r="I28" s="3" t="s">
        <v>477</v>
      </c>
    </row>
    <row r="29">
      <c r="A29" s="3" t="s">
        <v>486</v>
      </c>
      <c r="B29" s="18" t="s">
        <v>475</v>
      </c>
      <c r="C29" s="18" t="s">
        <v>476</v>
      </c>
      <c r="D29" s="44">
        <v>5000</v>
      </c>
      <c r="E29" s="44">
        <v>5000</v>
      </c>
      <c r="F29" s="22">
        <f>IFERROR(AVERAGE(D29,E29),"n/a")</f>
        <v>5000</v>
      </c>
      <c r="G29" s="22" t="s">
        <v>41</v>
      </c>
      <c r="H29" s="106" t="str">
        <f>IF(ISNUMBER(G29),"Approx. point: "&amp;TEXT(G29/F29-1,"+0.0%;-0.0%")&amp;" vs guide","Pending")</f>
        <v>Pending</v>
      </c>
      <c r="I29" s="3" t="s">
        <v>477</v>
      </c>
    </row>
    <row r="30">
      <c r="A30" s="3" t="s">
        <v>487</v>
      </c>
      <c r="B30" s="18" t="s">
        <v>475</v>
      </c>
      <c r="C30" s="18" t="s">
        <v>476</v>
      </c>
      <c r="D30" s="44">
        <v>1000</v>
      </c>
      <c r="E30" s="44">
        <v>1000</v>
      </c>
      <c r="F30" s="22">
        <f>IFERROR(AVERAGE(D30,E30),"n/a")</f>
        <v>1000</v>
      </c>
      <c r="G30" s="22" t="s">
        <v>41</v>
      </c>
      <c r="H30" s="16" t="str">
        <f>IF(ISNUMBER(G30),IF(ISNUMBER(D30),IF(G30&gt;E30,"Above range",IF(G30&lt;D30,"Below range",IF(G30&gt;=F30,"In range, ≥ midpoint","In range, &lt; midpoint"))),IF(G30&lt;=E30,"Within bound (estimate)","Above bound (estimate)")),"Pending")</f>
        <v>Pending</v>
      </c>
      <c r="I30" s="3" t="s">
        <v>477</v>
      </c>
    </row>
    <row r="31">
      <c r="A31" s="3" t="s">
        <v>488</v>
      </c>
      <c r="B31" s="18" t="s">
        <v>475</v>
      </c>
      <c r="C31" s="18" t="s">
        <v>489</v>
      </c>
      <c r="D31" s="109">
        <v>0.05</v>
      </c>
      <c r="E31" s="110" t="s">
        <v>41</v>
      </c>
      <c r="F31" s="110" t="s">
        <v>41</v>
      </c>
      <c r="G31" s="21">
        <f>1-'Income Statement'!G74/'Income Statement'!B76</f>
        <v>0.045489142267217564</v>
      </c>
      <c r="H31" s="16" t="str">
        <f>IF(ISNUMBER(G31),IF(G31&gt;=D31,"Meets guided minimum (estimate)","Less decline than guided (estimate)"),"Pending")</f>
        <v>Less decline than guided (estimate)</v>
      </c>
      <c r="I31" s="3" t="s">
        <v>403</v>
      </c>
    </row>
    <row r="32">
      <c r="A32" s="3" t="s">
        <v>490</v>
      </c>
      <c r="B32" s="18" t="s">
        <v>475</v>
      </c>
      <c r="C32" s="18" t="s">
        <v>489</v>
      </c>
      <c r="D32" s="38" t="s">
        <v>41</v>
      </c>
      <c r="E32" s="42">
        <f>'Income Statement'!B76*(1-D31)</f>
        <v>1.8904999999999998</v>
      </c>
      <c r="F32" s="38" t="s">
        <v>41</v>
      </c>
      <c r="G32" s="42">
        <f>'Income Statement'!G74</f>
        <v>1.899476606888237</v>
      </c>
      <c r="H32" s="16" t="str">
        <f>IF(ISNUMBER(G32),IF(ISNUMBER(D32),IF(G32&gt;E32,"Above range",IF(G32&lt;D32,"Below range",IF(G32&gt;=F32,"In range, ≥ midpoint","In range, &lt; midpoint"))),IF(G32&lt;=E32,"Within bound (estimate)","Above bound (estimate)")),"Pending")</f>
        <v>Above bound (estimate)</v>
      </c>
      <c r="I32" s="3" t="s">
        <v>403</v>
      </c>
    </row>
  </sheetData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4"/>
  <sheetViews>
    <sheetView showGridLines="0" workbookViewId="0"/>
  </sheetViews>
  <sheetFormatPr defaultColWidth="8.42578125" defaultRowHeight="15"/>
  <cols>
    <col min="1" max="1" width="14" customWidth="1"/>
    <col min="2" max="2" width="11" customWidth="1"/>
    <col min="3" max="3" width="50" customWidth="1"/>
    <col min="4" max="5" width="60" customWidth="1"/>
  </cols>
  <sheetData>
    <row r="1">
      <c r="A1" s="14" t="s">
        <v>0</v>
      </c>
      <c r="B1" s="3"/>
      <c r="C1" s="3"/>
      <c r="D1" s="3"/>
      <c r="E1" s="3"/>
    </row>
    <row r="2">
      <c r="A2" s="12" t="s">
        <v>491</v>
      </c>
      <c r="B2" s="3"/>
      <c r="C2" s="3"/>
      <c r="D2" s="3"/>
      <c r="E2" s="3"/>
    </row>
    <row r="3">
      <c r="A3" s="11" t="s">
        <v>2</v>
      </c>
      <c r="B3" s="3"/>
      <c r="C3" s="3"/>
      <c r="D3" s="3"/>
      <c r="E3" s="3"/>
    </row>
    <row r="4">
      <c r="A4" s="9" t="s">
        <v>447</v>
      </c>
      <c r="B4" s="5" t="s">
        <v>4</v>
      </c>
      <c r="C4" s="9"/>
      <c r="D4" s="9"/>
      <c r="E4" s="9"/>
    </row>
    <row r="5">
      <c r="A5" s="7" t="s">
        <v>448</v>
      </c>
      <c r="B5" s="23">
        <f>DATE(2026,9,30)</f>
        <v>46295</v>
      </c>
      <c r="C5" s="7"/>
      <c r="D5" s="7"/>
      <c r="E5" s="7"/>
    </row>
    <row r="6">
      <c r="A6" s="6" t="s">
        <v>449</v>
      </c>
      <c r="B6" s="40">
        <f>B5-DATE(2026,6,30)</f>
        <v>92</v>
      </c>
      <c r="C6" s="6"/>
      <c r="D6" s="6"/>
      <c r="E6" s="6"/>
    </row>
    <row r="7">
      <c r="A7" s="3"/>
      <c r="B7" s="3"/>
      <c r="C7" s="3"/>
      <c r="D7" s="3"/>
      <c r="E7" s="3"/>
    </row>
    <row r="8" ht="14.624267578125">
      <c r="A8" s="30" t="s">
        <v>492</v>
      </c>
      <c r="B8" s="30" t="s">
        <v>493</v>
      </c>
      <c r="C8" s="15" t="s">
        <v>494</v>
      </c>
      <c r="D8" s="15" t="s">
        <v>495</v>
      </c>
      <c r="E8" s="15" t="s">
        <v>496</v>
      </c>
      <c r="F8" s="10"/>
      <c r="G8" s="10"/>
    </row>
    <row r="9" ht="25.5">
      <c r="A9" s="1" t="s">
        <v>60</v>
      </c>
      <c r="B9" s="1" t="s">
        <v>497</v>
      </c>
      <c r="C9" s="2" t="s">
        <v>498</v>
      </c>
      <c r="D9" s="2" t="s">
        <v>499</v>
      </c>
      <c r="E9" s="2" t="s">
        <v>500</v>
      </c>
    </row>
    <row r="10" ht="25.5">
      <c r="A10" s="1" t="s">
        <v>89</v>
      </c>
      <c r="B10" s="1" t="s">
        <v>497</v>
      </c>
      <c r="C10" s="2" t="s">
        <v>498</v>
      </c>
      <c r="D10" s="2" t="s">
        <v>501</v>
      </c>
      <c r="E10" s="2" t="s">
        <v>502</v>
      </c>
    </row>
    <row r="11" ht="25.5">
      <c r="A11" s="1" t="s">
        <v>463</v>
      </c>
      <c r="B11" s="1" t="s">
        <v>503</v>
      </c>
      <c r="C11" s="2" t="s">
        <v>504</v>
      </c>
      <c r="D11" s="2" t="s">
        <v>505</v>
      </c>
      <c r="E11" s="2" t="s">
        <v>506</v>
      </c>
    </row>
    <row r="12" ht="25.5">
      <c r="A12" s="1" t="s">
        <v>468</v>
      </c>
      <c r="B12" s="1" t="s">
        <v>467</v>
      </c>
      <c r="C12" s="2" t="s">
        <v>504</v>
      </c>
      <c r="D12" s="2" t="s">
        <v>507</v>
      </c>
      <c r="E12" s="2" t="s">
        <v>508</v>
      </c>
    </row>
    <row r="13" ht="25.5">
      <c r="A13" s="1" t="s">
        <v>220</v>
      </c>
      <c r="B13" s="1" t="s">
        <v>509</v>
      </c>
      <c r="C13" s="2" t="s">
        <v>504</v>
      </c>
      <c r="D13" s="2" t="s">
        <v>510</v>
      </c>
      <c r="E13" s="2" t="s">
        <v>511</v>
      </c>
    </row>
    <row r="14" ht="25.5">
      <c r="A14" s="1" t="s">
        <v>477</v>
      </c>
      <c r="B14" s="1" t="s">
        <v>475</v>
      </c>
      <c r="C14" s="2" t="s">
        <v>504</v>
      </c>
      <c r="D14" s="2" t="s">
        <v>512</v>
      </c>
      <c r="E14" s="2" t="s">
        <v>513</v>
      </c>
    </row>
    <row r="15" ht="25.5">
      <c r="A15" s="1" t="s">
        <v>394</v>
      </c>
      <c r="B15" s="1" t="s">
        <v>514</v>
      </c>
      <c r="C15" s="2" t="s">
        <v>515</v>
      </c>
      <c r="D15" s="2" t="s">
        <v>516</v>
      </c>
      <c r="E15" s="2" t="s">
        <v>517</v>
      </c>
    </row>
    <row r="16" ht="25.5">
      <c r="A16" s="1" t="s">
        <v>518</v>
      </c>
      <c r="B16" s="1" t="s">
        <v>509</v>
      </c>
      <c r="C16" s="2" t="s">
        <v>519</v>
      </c>
      <c r="D16" s="2" t="s">
        <v>520</v>
      </c>
      <c r="E16" s="2" t="s">
        <v>521</v>
      </c>
    </row>
    <row r="17" ht="25.5">
      <c r="A17" s="1" t="s">
        <v>403</v>
      </c>
      <c r="B17" s="1" t="s">
        <v>522</v>
      </c>
      <c r="C17" s="2" t="s">
        <v>523</v>
      </c>
      <c r="D17" s="2" t="s">
        <v>524</v>
      </c>
      <c r="E17" s="2" t="s">
        <v>525</v>
      </c>
    </row>
    <row r="18" ht="36.75">
      <c r="A18" s="1" t="s">
        <v>526</v>
      </c>
      <c r="B18" s="1" t="s">
        <v>527</v>
      </c>
      <c r="C18" s="2" t="s">
        <v>528</v>
      </c>
      <c r="D18" s="2" t="s">
        <v>529</v>
      </c>
      <c r="E18" s="2" t="s">
        <v>530</v>
      </c>
    </row>
    <row r="19" ht="25.5">
      <c r="A19" s="1" t="s">
        <v>531</v>
      </c>
      <c r="B19" s="1" t="s">
        <v>527</v>
      </c>
      <c r="C19" s="2" t="s">
        <v>532</v>
      </c>
      <c r="D19" s="2" t="s">
        <v>533</v>
      </c>
      <c r="E19" s="2" t="s">
        <v>534</v>
      </c>
    </row>
    <row r="20" ht="25.5">
      <c r="A20" s="1" t="s">
        <v>535</v>
      </c>
      <c r="B20" s="1" t="s">
        <v>536</v>
      </c>
      <c r="C20" s="2" t="s">
        <v>537</v>
      </c>
      <c r="D20" s="2" t="s">
        <v>538</v>
      </c>
      <c r="E20" s="2" t="s">
        <v>539</v>
      </c>
    </row>
    <row r="21" ht="25.5">
      <c r="A21" s="1" t="s">
        <v>540</v>
      </c>
      <c r="B21" s="1" t="s">
        <v>541</v>
      </c>
      <c r="C21" s="2" t="s">
        <v>542</v>
      </c>
      <c r="D21" s="2" t="s">
        <v>543</v>
      </c>
      <c r="E21" s="2" t="s">
        <v>544</v>
      </c>
    </row>
    <row r="22" ht="36.75">
      <c r="A22" s="1" t="s">
        <v>52</v>
      </c>
      <c r="B22" s="1" t="s">
        <v>545</v>
      </c>
      <c r="C22" s="2" t="s">
        <v>546</v>
      </c>
      <c r="D22" s="2" t="s">
        <v>547</v>
      </c>
      <c r="E22" s="2" t="s">
        <v>548</v>
      </c>
    </row>
    <row r="23" ht="25.5">
      <c r="A23" s="1" t="s">
        <v>49</v>
      </c>
      <c r="B23" s="1" t="s">
        <v>549</v>
      </c>
      <c r="C23" s="2" t="s">
        <v>550</v>
      </c>
      <c r="D23" s="2" t="s">
        <v>551</v>
      </c>
      <c r="E23" s="2" t="s">
        <v>552</v>
      </c>
    </row>
    <row r="24" ht="25.5">
      <c r="A24" s="1" t="s">
        <v>54</v>
      </c>
      <c r="B24" s="1" t="s">
        <v>553</v>
      </c>
      <c r="C24" s="2" t="s">
        <v>554</v>
      </c>
      <c r="D24" s="2" t="s">
        <v>555</v>
      </c>
      <c r="E24" s="2" t="s">
        <v>556</v>
      </c>
    </row>
    <row r="25" ht="25.5">
      <c r="A25" s="1" t="s">
        <v>57</v>
      </c>
      <c r="B25" s="1" t="s">
        <v>549</v>
      </c>
      <c r="C25" s="2" t="s">
        <v>557</v>
      </c>
      <c r="D25" s="2" t="s">
        <v>558</v>
      </c>
      <c r="E25" s="2" t="s">
        <v>559</v>
      </c>
    </row>
    <row r="26" ht="25.5">
      <c r="A26" s="1" t="s">
        <v>560</v>
      </c>
      <c r="B26" s="1" t="s">
        <v>549</v>
      </c>
      <c r="C26" s="2" t="s">
        <v>561</v>
      </c>
      <c r="D26" s="2" t="s">
        <v>562</v>
      </c>
      <c r="E26" s="2" t="s">
        <v>563</v>
      </c>
    </row>
    <row r="27" ht="25.5">
      <c r="A27" s="1" t="s">
        <v>564</v>
      </c>
      <c r="B27" s="1" t="s">
        <v>565</v>
      </c>
      <c r="C27" s="2" t="s">
        <v>566</v>
      </c>
      <c r="D27" s="2" t="s">
        <v>567</v>
      </c>
      <c r="E27" s="2" t="s">
        <v>568</v>
      </c>
    </row>
    <row r="28" ht="25.5">
      <c r="A28" s="1" t="s">
        <v>569</v>
      </c>
      <c r="B28" s="1" t="s">
        <v>549</v>
      </c>
      <c r="C28" s="2" t="s">
        <v>570</v>
      </c>
      <c r="D28" s="2" t="s">
        <v>571</v>
      </c>
      <c r="E28" s="2" t="s">
        <v>572</v>
      </c>
    </row>
    <row r="29" ht="14.624267578125">
      <c r="A29" s="1" t="s">
        <v>573</v>
      </c>
      <c r="B29" s="1" t="s">
        <v>545</v>
      </c>
      <c r="C29" s="2" t="s">
        <v>574</v>
      </c>
      <c r="D29" s="2" t="s">
        <v>575</v>
      </c>
      <c r="E29" s="2" t="s">
        <v>576</v>
      </c>
    </row>
    <row r="30" ht="25.5">
      <c r="A30" s="1" t="s">
        <v>577</v>
      </c>
      <c r="B30" s="1" t="s">
        <v>545</v>
      </c>
      <c r="C30" s="2" t="s">
        <v>578</v>
      </c>
      <c r="D30" s="2" t="s">
        <v>579</v>
      </c>
      <c r="E30" s="2" t="s">
        <v>580</v>
      </c>
    </row>
    <row r="31" ht="25.5">
      <c r="A31" s="1" t="s">
        <v>581</v>
      </c>
      <c r="B31" s="1" t="s">
        <v>582</v>
      </c>
      <c r="C31" s="2" t="s">
        <v>583</v>
      </c>
      <c r="D31" s="2" t="s">
        <v>584</v>
      </c>
      <c r="E31" s="2" t="s">
        <v>585</v>
      </c>
    </row>
    <row r="32" ht="25.5">
      <c r="A32" s="1" t="s">
        <v>586</v>
      </c>
      <c r="B32" s="1" t="s">
        <v>587</v>
      </c>
      <c r="C32" s="2" t="s">
        <v>504</v>
      </c>
      <c r="D32" s="2" t="s">
        <v>588</v>
      </c>
      <c r="E32" s="2" t="s">
        <v>589</v>
      </c>
    </row>
    <row r="33" ht="25.5">
      <c r="A33" s="1" t="s">
        <v>590</v>
      </c>
      <c r="B33" s="1" t="s">
        <v>591</v>
      </c>
      <c r="C33" s="2" t="s">
        <v>504</v>
      </c>
      <c r="D33" s="2" t="s">
        <v>592</v>
      </c>
      <c r="E33" s="2" t="s">
        <v>593</v>
      </c>
    </row>
    <row r="34" ht="25.5">
      <c r="A34" s="1" t="s">
        <v>594</v>
      </c>
      <c r="B34" s="1" t="s">
        <v>595</v>
      </c>
      <c r="C34" s="2" t="s">
        <v>504</v>
      </c>
      <c r="D34" s="2" t="s">
        <v>596</v>
      </c>
      <c r="E34" s="2" t="s">
        <v>597</v>
      </c>
    </row>
    <row r="35" ht="25.5">
      <c r="A35" s="1" t="s">
        <v>461</v>
      </c>
      <c r="B35" s="1" t="s">
        <v>459</v>
      </c>
      <c r="C35" s="2" t="s">
        <v>504</v>
      </c>
      <c r="D35" s="2" t="s">
        <v>598</v>
      </c>
      <c r="E35" s="2" t="s">
        <v>599</v>
      </c>
    </row>
    <row r="36">
      <c r="A36" s="1"/>
      <c r="B36" s="1"/>
      <c r="C36" s="2"/>
      <c r="D36" s="2"/>
      <c r="E36" s="2"/>
    </row>
    <row r="37" ht="14.624267578125">
      <c r="A37" s="13" t="s">
        <v>600</v>
      </c>
      <c r="B37" s="8"/>
      <c r="C37" s="4"/>
      <c r="D37" s="4"/>
      <c r="E37" s="4"/>
      <c r="F37" s="10"/>
      <c r="G37" s="10"/>
    </row>
    <row r="38" ht="14.624267578125">
      <c r="A38" s="1" t="s">
        <v>601</v>
      </c>
      <c r="B38" s="1"/>
      <c r="C38" s="2"/>
      <c r="D38" s="2"/>
      <c r="E38" s="2"/>
    </row>
    <row r="39" ht="14.624267578125">
      <c r="A39" s="1" t="s">
        <v>602</v>
      </c>
      <c r="B39" s="1"/>
      <c r="C39" s="2"/>
      <c r="D39" s="2"/>
      <c r="E39" s="2"/>
    </row>
    <row r="40" ht="14.624267578125">
      <c r="A40" s="1" t="s">
        <v>603</v>
      </c>
      <c r="B40" s="1"/>
      <c r="C40" s="2"/>
      <c r="D40" s="2"/>
      <c r="E40" s="2"/>
    </row>
    <row r="41" ht="14.624267578125">
      <c r="A41" s="1" t="s">
        <v>604</v>
      </c>
      <c r="B41" s="1"/>
      <c r="C41" s="2"/>
      <c r="D41" s="2"/>
      <c r="E41" s="2"/>
    </row>
    <row r="42" ht="14.624267578125">
      <c r="A42" s="1" t="s">
        <v>605</v>
      </c>
      <c r="B42" s="1"/>
      <c r="C42" s="2"/>
      <c r="D42" s="2"/>
      <c r="E42" s="2"/>
    </row>
    <row r="43" ht="14.624267578125">
      <c r="A43" s="104" t="s">
        <v>606</v>
      </c>
    </row>
    <row r="44" ht="14.624267578125">
      <c r="A44" s="104" t="s">
        <v>607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H129"/>
  <sheetViews>
    <sheetView showGridLines="0" workbookViewId="0"/>
  </sheetViews>
  <sheetFormatPr defaultColWidth="8.42578125" defaultRowHeight="15"/>
  <cols>
    <col min="1" max="1" width="48" customWidth="1"/>
    <col min="2" max="8" width="12" customWidth="1"/>
  </cols>
  <sheetData>
    <row r="1">
      <c r="A1" s="14" t="s">
        <v>0</v>
      </c>
      <c r="B1" s="3"/>
      <c r="C1" s="3"/>
      <c r="D1" s="3"/>
      <c r="E1" s="3"/>
      <c r="F1" s="3"/>
      <c r="G1" s="3"/>
      <c r="H1" s="3"/>
    </row>
    <row r="2">
      <c r="A2" s="12" t="s">
        <v>608</v>
      </c>
      <c r="B2" s="3"/>
      <c r="C2" s="3"/>
      <c r="D2" s="3"/>
      <c r="E2" s="3"/>
      <c r="F2" s="3"/>
      <c r="G2" s="3"/>
      <c r="H2" s="3"/>
    </row>
    <row r="3">
      <c r="A3" s="11" t="s">
        <v>2</v>
      </c>
      <c r="B3" s="3"/>
      <c r="C3" s="3"/>
      <c r="D3" s="3"/>
      <c r="E3" s="3"/>
      <c r="F3" s="3"/>
      <c r="G3" s="3"/>
      <c r="H3" s="3"/>
    </row>
    <row r="4">
      <c r="A4" s="9" t="s">
        <v>3</v>
      </c>
      <c r="B4" s="5" t="s">
        <v>609</v>
      </c>
      <c r="C4" s="5" t="s">
        <v>610</v>
      </c>
      <c r="D4" s="5" t="s">
        <v>62</v>
      </c>
      <c r="E4" s="5" t="s">
        <v>63</v>
      </c>
      <c r="F4" s="5" t="s">
        <v>64</v>
      </c>
      <c r="G4" s="5" t="s">
        <v>65</v>
      </c>
      <c r="H4" s="57" t="s">
        <v>5</v>
      </c>
    </row>
    <row r="5">
      <c r="A5" s="7" t="s">
        <v>6</v>
      </c>
      <c r="B5" s="23">
        <f>DATE(2025,3,31)</f>
        <v>45747</v>
      </c>
      <c r="C5" s="23">
        <f>DATE(2025,6,30)</f>
        <v>45838</v>
      </c>
      <c r="D5" s="23">
        <f>DATE(2025,9,30)</f>
        <v>45930</v>
      </c>
      <c r="E5" s="23">
        <f>DATE(2025,12,31)</f>
        <v>46022</v>
      </c>
      <c r="F5" s="23">
        <f>DATE(2026,3,31)</f>
        <v>46112</v>
      </c>
      <c r="G5" s="23">
        <f>DATE(2026,6,30)</f>
        <v>46203</v>
      </c>
      <c r="H5" s="7"/>
    </row>
    <row r="6">
      <c r="A6" s="6" t="s">
        <v>7</v>
      </c>
      <c r="B6" s="40">
        <f>B5-DATE(2024,12,31)</f>
        <v>90</v>
      </c>
      <c r="C6" s="40">
        <f>C5-B5</f>
        <v>91</v>
      </c>
      <c r="D6" s="40">
        <f>D5-C5</f>
        <v>92</v>
      </c>
      <c r="E6" s="40">
        <f>E5-D5</f>
        <v>92</v>
      </c>
      <c r="F6" s="40">
        <f>F5-E5</f>
        <v>90</v>
      </c>
      <c r="G6" s="40">
        <f>G5-F5</f>
        <v>91</v>
      </c>
      <c r="H6" s="6"/>
    </row>
    <row r="7">
      <c r="A7" s="3"/>
      <c r="B7" s="3"/>
      <c r="C7" s="3"/>
      <c r="D7" s="3"/>
      <c r="E7" s="3"/>
      <c r="F7" s="3"/>
      <c r="G7" s="3"/>
      <c r="H7" s="3"/>
    </row>
    <row r="8">
      <c r="A8" s="49" t="s">
        <v>611</v>
      </c>
      <c r="B8" s="25"/>
      <c r="C8" s="25"/>
      <c r="D8" s="25"/>
      <c r="E8" s="25"/>
      <c r="F8" s="25"/>
      <c r="G8" s="25"/>
      <c r="H8" s="3"/>
    </row>
    <row r="9">
      <c r="A9" s="3" t="s">
        <v>612</v>
      </c>
      <c r="B9" s="100">
        <f>DATE(2025,3,31)</f>
        <v>45747</v>
      </c>
      <c r="C9" s="100">
        <f>DATE(2025,6,30)</f>
        <v>45838</v>
      </c>
      <c r="D9" s="100">
        <f>DATE(2025,9,30)</f>
        <v>45930</v>
      </c>
      <c r="E9" s="100">
        <f>DATE(2025,12,31)</f>
        <v>46022</v>
      </c>
      <c r="F9" s="100">
        <f>DATE(2026,3,31)</f>
        <v>46112</v>
      </c>
      <c r="G9" s="100">
        <f>DATE(2026,6,30)</f>
        <v>46203</v>
      </c>
      <c r="H9" s="3" t="s">
        <v>89</v>
      </c>
    </row>
    <row r="10">
      <c r="A10" s="3" t="s">
        <v>613</v>
      </c>
      <c r="B10" s="100">
        <f>DATE(2025,4,24)</f>
        <v>45771</v>
      </c>
      <c r="C10" s="100">
        <f>DATE(2025,7,29)</f>
        <v>45867</v>
      </c>
      <c r="D10" s="100">
        <f>DATE(2025,10,24)</f>
        <v>45954</v>
      </c>
      <c r="E10" s="100">
        <f>DATE(2026,1,22)</f>
        <v>46044</v>
      </c>
      <c r="F10" s="100">
        <f>DATE(2026,4,24)</f>
        <v>46136</v>
      </c>
      <c r="G10" s="100">
        <f>DATE(2026,7,29)</f>
        <v>46232</v>
      </c>
      <c r="H10" s="3" t="s">
        <v>89</v>
      </c>
    </row>
    <row r="11">
      <c r="A11" s="3" t="s">
        <v>614</v>
      </c>
      <c r="B11" s="39">
        <v>1.53</v>
      </c>
      <c r="C11" s="39">
        <v>1.42</v>
      </c>
      <c r="D11" s="39">
        <v>1.9</v>
      </c>
      <c r="E11" s="39">
        <v>1.86</v>
      </c>
      <c r="F11" s="39">
        <v>1.56</v>
      </c>
      <c r="G11" s="39">
        <v>1.41</v>
      </c>
      <c r="H11" s="3" t="s">
        <v>89</v>
      </c>
    </row>
    <row r="12">
      <c r="A12" s="3" t="s">
        <v>615</v>
      </c>
      <c r="B12" s="39">
        <v>1.54</v>
      </c>
      <c r="C12" s="39">
        <v>1.48</v>
      </c>
      <c r="D12" s="39">
        <v>1.99</v>
      </c>
      <c r="E12" s="39">
        <v>1.88</v>
      </c>
      <c r="F12" s="39">
        <v>1.59</v>
      </c>
      <c r="G12" s="39">
        <v>1.43</v>
      </c>
      <c r="H12" s="3" t="s">
        <v>89</v>
      </c>
    </row>
    <row r="13">
      <c r="A13" s="3" t="s">
        <v>616</v>
      </c>
      <c r="B13" s="39">
        <v>1.53</v>
      </c>
      <c r="C13" s="39">
        <v>1.41</v>
      </c>
      <c r="D13" s="39">
        <v>1.84</v>
      </c>
      <c r="E13" s="39">
        <v>1.83</v>
      </c>
      <c r="F13" s="39">
        <v>1.56</v>
      </c>
      <c r="G13" s="39">
        <v>1.4</v>
      </c>
      <c r="H13" s="3" t="s">
        <v>89</v>
      </c>
    </row>
    <row r="14">
      <c r="A14" s="3" t="s">
        <v>617</v>
      </c>
      <c r="B14" s="39">
        <v>1.54</v>
      </c>
      <c r="C14" s="39">
        <v>1.48</v>
      </c>
      <c r="D14" s="39">
        <v>1.95</v>
      </c>
      <c r="E14" s="39">
        <v>1.78</v>
      </c>
      <c r="F14" s="39">
        <v>1.63</v>
      </c>
      <c r="G14" s="39">
        <v>1.26</v>
      </c>
      <c r="H14" s="3" t="s">
        <v>89</v>
      </c>
    </row>
    <row r="15">
      <c r="A15" s="3" t="s">
        <v>618</v>
      </c>
      <c r="B15" s="44">
        <v>20152.33</v>
      </c>
      <c r="C15" s="44">
        <v>20842.14</v>
      </c>
      <c r="D15" s="44">
        <v>22168.95</v>
      </c>
      <c r="E15" s="44">
        <v>22289.38</v>
      </c>
      <c r="F15" s="44">
        <v>20503.59</v>
      </c>
      <c r="G15" s="44">
        <v>21377.44</v>
      </c>
      <c r="H15" s="3" t="s">
        <v>89</v>
      </c>
    </row>
    <row r="16">
      <c r="A16" s="3" t="s">
        <v>619</v>
      </c>
      <c r="B16" s="44">
        <v>19776</v>
      </c>
      <c r="C16" s="44">
        <v>20889</v>
      </c>
      <c r="D16" s="44">
        <v>22386</v>
      </c>
      <c r="E16" s="44">
        <v>22208</v>
      </c>
      <c r="F16" s="44">
        <v>21235</v>
      </c>
      <c r="G16" s="44">
        <v>21203</v>
      </c>
      <c r="H16" s="3" t="s">
        <v>89</v>
      </c>
    </row>
    <row r="17">
      <c r="A17" s="41" t="s">
        <v>620</v>
      </c>
      <c r="B17" s="38">
        <f>B12-B11</f>
        <v>0.010000000000000009</v>
      </c>
      <c r="C17" s="38">
        <f>C12-C11</f>
        <v>0.06000000000000005</v>
      </c>
      <c r="D17" s="38">
        <f>D12-D11</f>
        <v>0.09000000000000008</v>
      </c>
      <c r="E17" s="38">
        <f>E12-E11</f>
        <v>0.019999999999999796</v>
      </c>
      <c r="F17" s="38">
        <f>F12-F11</f>
        <v>0.030000000000000027</v>
      </c>
      <c r="G17" s="38">
        <f>G12-G11</f>
        <v>0.020000000000000018</v>
      </c>
      <c r="H17" s="3"/>
    </row>
    <row r="18">
      <c r="A18" s="41" t="s">
        <v>621</v>
      </c>
      <c r="B18" s="95">
        <f>IF(B12&gt;B11,1,0)</f>
        <v>1</v>
      </c>
      <c r="C18" s="95">
        <f>IF(C12&gt;C11,1,0)</f>
        <v>1</v>
      </c>
      <c r="D18" s="95">
        <f>IF(D12&gt;D11,1,0)</f>
        <v>1</v>
      </c>
      <c r="E18" s="95">
        <f>IF(E12&gt;E11,1,0)</f>
        <v>1</v>
      </c>
      <c r="F18" s="95">
        <f>IF(F12&gt;F11,1,0)</f>
        <v>1</v>
      </c>
      <c r="G18" s="95">
        <f>IF(G12&gt;G11,1,0)</f>
        <v>1</v>
      </c>
      <c r="H18" s="3"/>
    </row>
    <row r="19">
      <c r="A19" s="41" t="s">
        <v>622</v>
      </c>
      <c r="B19" s="38">
        <f>B14-B13</f>
        <v>0.010000000000000009</v>
      </c>
      <c r="C19" s="38">
        <f>C14-C13</f>
        <v>0.07000000000000006</v>
      </c>
      <c r="D19" s="38">
        <f>D14-D13</f>
        <v>0.10999999999999988</v>
      </c>
      <c r="E19" s="38">
        <f>E14-E13</f>
        <v>-0.050000000000000044</v>
      </c>
      <c r="F19" s="38">
        <f>F14-F13</f>
        <v>0.06999999999999984</v>
      </c>
      <c r="G19" s="38">
        <f>G14-G13</f>
        <v>-0.1399999999999999</v>
      </c>
      <c r="H19" s="3"/>
    </row>
    <row r="20">
      <c r="A20" s="41" t="s">
        <v>623</v>
      </c>
      <c r="B20" s="22">
        <f>B16-B15</f>
        <v>-376.33000000000175</v>
      </c>
      <c r="C20" s="22">
        <f>C16-C15</f>
        <v>46.86000000000058</v>
      </c>
      <c r="D20" s="22">
        <f>D16-D15</f>
        <v>217.04999999999927</v>
      </c>
      <c r="E20" s="22">
        <f>E16-E15</f>
        <v>-81.38000000000102</v>
      </c>
      <c r="F20" s="22">
        <f>F16-F15</f>
        <v>731.4099999999999</v>
      </c>
      <c r="G20" s="22">
        <f>G16-G15</f>
        <v>-174.4399999999987</v>
      </c>
      <c r="H20" s="3"/>
    </row>
    <row r="21">
      <c r="A21" s="46" t="s">
        <v>624</v>
      </c>
      <c r="B21" s="20">
        <f>B16/B15-1</f>
        <v>-0.018674267442027825</v>
      </c>
      <c r="C21" s="20">
        <f>C16/C15-1</f>
        <v>0.0022483295861173147</v>
      </c>
      <c r="D21" s="20">
        <f>D16/D15-1</f>
        <v>0.009790720805450848</v>
      </c>
      <c r="E21" s="20">
        <f>E16/E15-1</f>
        <v>-0.0036510661130996214</v>
      </c>
      <c r="F21" s="20">
        <f>F16/F15-1</f>
        <v>0.03567228958440927</v>
      </c>
      <c r="G21" s="20">
        <f>G16/G15-1</f>
        <v>-0.008160004191334336</v>
      </c>
      <c r="H21" s="3"/>
    </row>
    <row r="22">
      <c r="A22" s="3"/>
      <c r="B22" s="26"/>
      <c r="C22" s="26"/>
      <c r="D22" s="26"/>
      <c r="E22" s="26"/>
      <c r="F22" s="26"/>
      <c r="G22" s="26"/>
      <c r="H22" s="3"/>
    </row>
    <row r="23">
      <c r="A23" s="49" t="s">
        <v>625</v>
      </c>
      <c r="B23" s="25"/>
      <c r="C23" s="25"/>
      <c r="D23" s="25"/>
      <c r="E23" s="25"/>
      <c r="F23" s="25"/>
      <c r="G23" s="25"/>
      <c r="H23" s="3"/>
    </row>
    <row r="24">
      <c r="A24" s="3" t="s">
        <v>626</v>
      </c>
      <c r="B24" s="44">
        <v>370.3</v>
      </c>
      <c r="C24" s="22"/>
      <c r="D24" s="22"/>
      <c r="E24" s="22"/>
      <c r="F24" s="22"/>
      <c r="G24" s="22"/>
      <c r="H24" s="3" t="s">
        <v>573</v>
      </c>
    </row>
    <row r="25">
      <c r="A25" s="3" t="s">
        <v>627</v>
      </c>
      <c r="B25" s="108" t="str">
        <f>IF(B24&gt;10,"Large",IF(B24&gt;2,"Mid","Small"))</f>
        <v>Large</v>
      </c>
      <c r="C25" s="93"/>
      <c r="D25" s="93"/>
      <c r="E25" s="93"/>
      <c r="F25" s="93"/>
      <c r="G25" s="93"/>
      <c r="H25" s="3"/>
    </row>
    <row r="26">
      <c r="A26" s="3" t="s">
        <v>628</v>
      </c>
      <c r="B26" s="108" t="s">
        <v>629</v>
      </c>
      <c r="C26" s="93"/>
      <c r="D26" s="93"/>
      <c r="E26" s="93"/>
      <c r="F26" s="93"/>
      <c r="G26" s="93"/>
      <c r="H26" s="3" t="s">
        <v>577</v>
      </c>
    </row>
    <row r="27">
      <c r="A27" s="11" t="s">
        <v>630</v>
      </c>
      <c r="B27" s="17">
        <v>0.78</v>
      </c>
      <c r="C27" s="20"/>
      <c r="D27" s="20"/>
      <c r="E27" s="20"/>
      <c r="F27" s="20"/>
      <c r="G27" s="20"/>
      <c r="H27" s="3" t="s">
        <v>631</v>
      </c>
    </row>
    <row r="28">
      <c r="A28" s="3" t="s">
        <v>632</v>
      </c>
      <c r="B28" s="95">
        <f>SUM(B18:G18)</f>
        <v>6</v>
      </c>
      <c r="C28" s="95"/>
      <c r="D28" s="95"/>
      <c r="E28" s="95"/>
      <c r="F28" s="95"/>
      <c r="G28" s="95"/>
      <c r="H28" s="3"/>
    </row>
    <row r="29">
      <c r="A29" s="3" t="s">
        <v>633</v>
      </c>
      <c r="B29" s="95">
        <f>COUNT(B12:G12)</f>
        <v>6</v>
      </c>
      <c r="C29" s="95"/>
      <c r="D29" s="95"/>
      <c r="E29" s="95"/>
      <c r="F29" s="95"/>
      <c r="G29" s="95"/>
      <c r="H29" s="3"/>
    </row>
    <row r="30">
      <c r="A30" s="3" t="s">
        <v>634</v>
      </c>
      <c r="B30" s="99">
        <v>8</v>
      </c>
      <c r="C30" s="95"/>
      <c r="D30" s="95"/>
      <c r="E30" s="95"/>
      <c r="F30" s="95"/>
      <c r="G30" s="95"/>
      <c r="H30" s="3" t="s">
        <v>631</v>
      </c>
    </row>
    <row r="31">
      <c r="A31" s="62" t="s">
        <v>635</v>
      </c>
      <c r="B31" s="47">
        <f>(B30*B27+B28)/(B30+B29)</f>
        <v>0.8742857142857143</v>
      </c>
      <c r="C31" s="47"/>
      <c r="D31" s="47"/>
      <c r="E31" s="47"/>
      <c r="F31" s="47"/>
      <c r="G31" s="47"/>
      <c r="H31" s="3"/>
    </row>
    <row r="32">
      <c r="A32" s="46" t="s">
        <v>636</v>
      </c>
      <c r="B32" s="17">
        <v>-0.12</v>
      </c>
      <c r="C32" s="20"/>
      <c r="D32" s="20"/>
      <c r="E32" s="20"/>
      <c r="F32" s="20"/>
      <c r="G32" s="20"/>
      <c r="H32" s="3" t="s">
        <v>403</v>
      </c>
    </row>
    <row r="33">
      <c r="A33" s="46" t="s">
        <v>637</v>
      </c>
      <c r="B33" s="17">
        <v>-0.08</v>
      </c>
      <c r="C33" s="20"/>
      <c r="D33" s="20"/>
      <c r="E33" s="20"/>
      <c r="F33" s="20"/>
      <c r="G33" s="20"/>
      <c r="H33" s="3" t="s">
        <v>531</v>
      </c>
    </row>
    <row r="34">
      <c r="A34" s="46" t="s">
        <v>638</v>
      </c>
      <c r="B34" s="17">
        <v>-0.03</v>
      </c>
      <c r="C34" s="20"/>
      <c r="D34" s="20"/>
      <c r="E34" s="20"/>
      <c r="F34" s="20"/>
      <c r="G34" s="20"/>
      <c r="H34" s="3" t="s">
        <v>639</v>
      </c>
    </row>
    <row r="35">
      <c r="A35" s="46" t="s">
        <v>640</v>
      </c>
      <c r="B35" s="17">
        <v>0.04</v>
      </c>
      <c r="C35" s="20"/>
      <c r="D35" s="20"/>
      <c r="E35" s="20"/>
      <c r="F35" s="20"/>
      <c r="G35" s="20"/>
      <c r="H35" s="3" t="s">
        <v>641</v>
      </c>
    </row>
    <row r="36">
      <c r="A36" s="46" t="s">
        <v>642</v>
      </c>
      <c r="B36" s="17">
        <v>-0.06</v>
      </c>
      <c r="C36" s="20"/>
      <c r="D36" s="20"/>
      <c r="E36" s="20"/>
      <c r="F36" s="20"/>
      <c r="G36" s="20"/>
      <c r="H36" s="3" t="s">
        <v>643</v>
      </c>
    </row>
    <row r="37">
      <c r="A37" s="62" t="s">
        <v>644</v>
      </c>
      <c r="B37" s="96">
        <f>B31+SUM(B32:B36)</f>
        <v>0.6242857142857143</v>
      </c>
      <c r="C37" s="96"/>
      <c r="D37" s="96"/>
      <c r="E37" s="96"/>
      <c r="F37" s="96"/>
      <c r="G37" s="96"/>
      <c r="H37" s="3"/>
    </row>
    <row r="38">
      <c r="A38" s="3" t="s">
        <v>645</v>
      </c>
      <c r="B38" s="108" t="s">
        <v>646</v>
      </c>
      <c r="C38" s="93"/>
      <c r="D38" s="93"/>
      <c r="E38" s="93"/>
      <c r="F38" s="93"/>
      <c r="G38" s="93"/>
      <c r="H38" s="3"/>
    </row>
    <row r="39">
      <c r="A39" s="3" t="s">
        <v>647</v>
      </c>
      <c r="B39" s="38">
        <f>AVERAGE(B17:G17)</f>
        <v>0.03833333333333333</v>
      </c>
      <c r="C39" s="38"/>
      <c r="D39" s="38"/>
      <c r="E39" s="38"/>
      <c r="F39" s="38"/>
      <c r="G39" s="38"/>
      <c r="H39" s="3"/>
    </row>
    <row r="40">
      <c r="A40" s="3" t="s">
        <v>648</v>
      </c>
      <c r="B40" s="38">
        <f>D17</f>
        <v>0.09000000000000008</v>
      </c>
      <c r="C40" s="38"/>
      <c r="D40" s="38"/>
      <c r="E40" s="38"/>
      <c r="F40" s="38"/>
      <c r="G40" s="38"/>
      <c r="H40" s="3"/>
    </row>
    <row r="41">
      <c r="A41" s="3"/>
      <c r="B41" s="26"/>
      <c r="C41" s="26"/>
      <c r="D41" s="26"/>
      <c r="E41" s="26"/>
      <c r="F41" s="26"/>
      <c r="G41" s="26"/>
      <c r="H41" s="3"/>
    </row>
    <row r="42">
      <c r="A42" s="49" t="s">
        <v>649</v>
      </c>
      <c r="B42" s="25"/>
      <c r="C42" s="25"/>
      <c r="D42" s="25"/>
      <c r="E42" s="25"/>
      <c r="F42" s="25"/>
      <c r="G42" s="25"/>
      <c r="H42" s="3"/>
    </row>
    <row r="43">
      <c r="A43" s="3" t="s">
        <v>650</v>
      </c>
      <c r="B43" s="93" t="s">
        <v>12</v>
      </c>
      <c r="C43" s="93"/>
      <c r="D43" s="93"/>
      <c r="E43" s="93"/>
      <c r="F43" s="93"/>
      <c r="G43" s="93"/>
      <c r="H43" s="3" t="s">
        <v>60</v>
      </c>
    </row>
    <row r="44">
      <c r="A44" s="3" t="s">
        <v>651</v>
      </c>
      <c r="B44" s="93" t="s">
        <v>10</v>
      </c>
      <c r="C44" s="93"/>
      <c r="D44" s="93"/>
      <c r="E44" s="93"/>
      <c r="F44" s="93"/>
      <c r="G44" s="93"/>
      <c r="H44" s="3" t="s">
        <v>60</v>
      </c>
    </row>
    <row r="45">
      <c r="A45" s="3" t="s">
        <v>652</v>
      </c>
      <c r="B45" s="93" t="s">
        <v>653</v>
      </c>
      <c r="C45" s="93"/>
      <c r="D45" s="93"/>
      <c r="E45" s="93"/>
      <c r="F45" s="93"/>
      <c r="G45" s="93"/>
      <c r="H45" s="3" t="s">
        <v>60</v>
      </c>
    </row>
    <row r="46">
      <c r="A46" s="3" t="s">
        <v>654</v>
      </c>
      <c r="B46" s="99">
        <v>33328</v>
      </c>
      <c r="C46" s="95"/>
      <c r="D46" s="95"/>
      <c r="E46" s="95"/>
      <c r="F46" s="95"/>
      <c r="G46" s="95"/>
      <c r="H46" s="3" t="s">
        <v>60</v>
      </c>
    </row>
    <row r="47">
      <c r="A47" s="3" t="s">
        <v>655</v>
      </c>
      <c r="B47" s="93" t="s">
        <v>656</v>
      </c>
      <c r="C47" s="93"/>
      <c r="D47" s="93"/>
      <c r="E47" s="93"/>
      <c r="F47" s="93"/>
      <c r="G47" s="93"/>
      <c r="H47" s="3" t="s">
        <v>60</v>
      </c>
    </row>
    <row r="48">
      <c r="A48" s="3" t="s">
        <v>657</v>
      </c>
      <c r="B48" s="93" t="s">
        <v>658</v>
      </c>
      <c r="C48" s="93"/>
      <c r="D48" s="93"/>
      <c r="E48" s="93"/>
      <c r="F48" s="93"/>
      <c r="G48" s="93"/>
      <c r="H48" s="3" t="s">
        <v>60</v>
      </c>
    </row>
    <row r="49">
      <c r="A49" s="3" t="s">
        <v>659</v>
      </c>
      <c r="B49" s="93" t="s">
        <v>660</v>
      </c>
      <c r="C49" s="93"/>
      <c r="D49" s="93"/>
      <c r="E49" s="93"/>
      <c r="F49" s="93"/>
      <c r="G49" s="93"/>
      <c r="H49" s="3" t="s">
        <v>60</v>
      </c>
    </row>
    <row r="50">
      <c r="A50" s="3" t="s">
        <v>661</v>
      </c>
      <c r="B50" s="93" t="s">
        <v>662</v>
      </c>
      <c r="C50" s="93"/>
      <c r="D50" s="93"/>
      <c r="E50" s="93"/>
      <c r="F50" s="93"/>
      <c r="G50" s="93"/>
      <c r="H50" s="3" t="s">
        <v>60</v>
      </c>
    </row>
    <row r="51">
      <c r="A51" s="3" t="s">
        <v>663</v>
      </c>
      <c r="B51" s="93" t="s">
        <v>664</v>
      </c>
      <c r="C51" s="93"/>
      <c r="D51" s="93"/>
      <c r="E51" s="93"/>
      <c r="F51" s="93"/>
      <c r="G51" s="93"/>
      <c r="H51" s="3" t="s">
        <v>60</v>
      </c>
    </row>
    <row r="52">
      <c r="A52" s="3" t="s">
        <v>665</v>
      </c>
      <c r="B52" s="93" t="s">
        <v>666</v>
      </c>
      <c r="C52" s="93"/>
      <c r="D52" s="93"/>
      <c r="E52" s="93"/>
      <c r="F52" s="93"/>
      <c r="G52" s="93"/>
      <c r="H52" s="3" t="s">
        <v>60</v>
      </c>
    </row>
    <row r="53">
      <c r="A53" s="3" t="s">
        <v>667</v>
      </c>
      <c r="B53" s="99">
        <v>19</v>
      </c>
      <c r="C53" s="95"/>
      <c r="D53" s="95"/>
      <c r="E53" s="95"/>
      <c r="F53" s="95"/>
      <c r="G53" s="95"/>
      <c r="H53" s="3" t="s">
        <v>60</v>
      </c>
    </row>
    <row r="54">
      <c r="A54" s="3" t="s">
        <v>668</v>
      </c>
      <c r="B54" s="99">
        <v>19</v>
      </c>
      <c r="C54" s="95"/>
      <c r="D54" s="95"/>
      <c r="E54" s="95"/>
      <c r="F54" s="95"/>
      <c r="G54" s="95"/>
      <c r="H54" s="3" t="s">
        <v>60</v>
      </c>
    </row>
    <row r="55">
      <c r="A55" s="3" t="s">
        <v>669</v>
      </c>
      <c r="B55" s="26"/>
      <c r="C55" s="26"/>
      <c r="D55" s="26"/>
      <c r="E55" s="26"/>
      <c r="F55" s="26"/>
      <c r="G55" s="26"/>
      <c r="H55" s="3" t="s">
        <v>60</v>
      </c>
    </row>
    <row r="56">
      <c r="A56" s="3" t="s">
        <v>670</v>
      </c>
      <c r="B56" s="39">
        <v>1.89</v>
      </c>
      <c r="C56" s="38"/>
      <c r="D56" s="38"/>
      <c r="E56" s="38"/>
      <c r="F56" s="38"/>
      <c r="G56" s="38"/>
      <c r="H56" s="3" t="s">
        <v>60</v>
      </c>
    </row>
    <row r="57">
      <c r="A57" s="3" t="s">
        <v>671</v>
      </c>
      <c r="B57" s="39">
        <v>1.89</v>
      </c>
      <c r="C57" s="38"/>
      <c r="D57" s="38"/>
      <c r="E57" s="38"/>
      <c r="F57" s="38"/>
      <c r="G57" s="38"/>
      <c r="H57" s="3" t="s">
        <v>60</v>
      </c>
    </row>
    <row r="58">
      <c r="A58" s="3" t="s">
        <v>672</v>
      </c>
      <c r="B58" s="39">
        <v>2</v>
      </c>
      <c r="C58" s="38"/>
      <c r="D58" s="38"/>
      <c r="E58" s="38"/>
      <c r="F58" s="38"/>
      <c r="G58" s="38"/>
      <c r="H58" s="3" t="s">
        <v>60</v>
      </c>
    </row>
    <row r="59">
      <c r="A59" s="3" t="s">
        <v>673</v>
      </c>
      <c r="B59" s="39">
        <v>1.85</v>
      </c>
      <c r="C59" s="38"/>
      <c r="D59" s="38"/>
      <c r="E59" s="38"/>
      <c r="F59" s="38"/>
      <c r="G59" s="38"/>
      <c r="H59" s="3" t="s">
        <v>60</v>
      </c>
    </row>
    <row r="60">
      <c r="A60" s="3" t="s">
        <v>674</v>
      </c>
      <c r="B60" s="39">
        <v>0.03</v>
      </c>
      <c r="C60" s="38"/>
      <c r="D60" s="38"/>
      <c r="E60" s="38"/>
      <c r="F60" s="38"/>
      <c r="G60" s="38"/>
      <c r="H60" s="3" t="s">
        <v>60</v>
      </c>
    </row>
    <row r="61">
      <c r="A61" s="3" t="s">
        <v>675</v>
      </c>
      <c r="B61" s="99">
        <v>19</v>
      </c>
      <c r="C61" s="95"/>
      <c r="D61" s="95"/>
      <c r="E61" s="95"/>
      <c r="F61" s="95"/>
      <c r="G61" s="95"/>
      <c r="H61" s="3" t="s">
        <v>60</v>
      </c>
    </row>
    <row r="62">
      <c r="A62" s="3" t="s">
        <v>676</v>
      </c>
      <c r="B62" s="26"/>
      <c r="C62" s="26"/>
      <c r="D62" s="26"/>
      <c r="E62" s="26"/>
      <c r="F62" s="26"/>
      <c r="G62" s="26"/>
      <c r="H62" s="3" t="s">
        <v>60</v>
      </c>
    </row>
    <row r="63">
      <c r="A63" s="3" t="s">
        <v>677</v>
      </c>
      <c r="B63" s="26"/>
      <c r="C63" s="26"/>
      <c r="D63" s="26"/>
      <c r="E63" s="26"/>
      <c r="F63" s="26"/>
      <c r="G63" s="26"/>
      <c r="H63" s="3" t="s">
        <v>60</v>
      </c>
    </row>
    <row r="64">
      <c r="A64" s="3" t="s">
        <v>678</v>
      </c>
      <c r="B64" s="26"/>
      <c r="C64" s="26"/>
      <c r="D64" s="26"/>
      <c r="E64" s="26"/>
      <c r="F64" s="26"/>
      <c r="G64" s="26"/>
      <c r="H64" s="3" t="s">
        <v>60</v>
      </c>
    </row>
    <row r="65">
      <c r="A65" s="3" t="s">
        <v>679</v>
      </c>
      <c r="B65" s="39">
        <v>1.86</v>
      </c>
      <c r="C65" s="38"/>
      <c r="D65" s="38"/>
      <c r="E65" s="38"/>
      <c r="F65" s="38"/>
      <c r="G65" s="38"/>
      <c r="H65" s="3" t="s">
        <v>60</v>
      </c>
    </row>
    <row r="66">
      <c r="A66" s="3" t="s">
        <v>680</v>
      </c>
      <c r="B66" s="39">
        <v>1.85</v>
      </c>
      <c r="C66" s="38"/>
      <c r="D66" s="38"/>
      <c r="E66" s="38"/>
      <c r="F66" s="38"/>
      <c r="G66" s="38"/>
      <c r="H66" s="3" t="s">
        <v>60</v>
      </c>
    </row>
    <row r="67">
      <c r="A67" s="3" t="s">
        <v>681</v>
      </c>
      <c r="B67" s="39">
        <v>1.93</v>
      </c>
      <c r="C67" s="38"/>
      <c r="D67" s="38"/>
      <c r="E67" s="38"/>
      <c r="F67" s="38"/>
      <c r="G67" s="38"/>
      <c r="H67" s="3" t="s">
        <v>60</v>
      </c>
    </row>
    <row r="68">
      <c r="A68" s="3" t="s">
        <v>682</v>
      </c>
      <c r="B68" s="39">
        <v>1.8</v>
      </c>
      <c r="C68" s="38"/>
      <c r="D68" s="38"/>
      <c r="E68" s="38"/>
      <c r="F68" s="38"/>
      <c r="G68" s="38"/>
      <c r="H68" s="3" t="s">
        <v>60</v>
      </c>
    </row>
    <row r="69">
      <c r="A69" s="3" t="s">
        <v>683</v>
      </c>
      <c r="B69" s="39">
        <v>0.05</v>
      </c>
      <c r="C69" s="38"/>
      <c r="D69" s="38"/>
      <c r="E69" s="38"/>
      <c r="F69" s="38"/>
      <c r="G69" s="38"/>
      <c r="H69" s="3" t="s">
        <v>60</v>
      </c>
    </row>
    <row r="70">
      <c r="A70" s="3" t="s">
        <v>684</v>
      </c>
      <c r="B70" s="99">
        <v>4</v>
      </c>
      <c r="C70" s="95"/>
      <c r="D70" s="95"/>
      <c r="E70" s="95"/>
      <c r="F70" s="95"/>
      <c r="G70" s="95"/>
      <c r="H70" s="3" t="s">
        <v>60</v>
      </c>
    </row>
    <row r="71">
      <c r="A71" s="3" t="s">
        <v>685</v>
      </c>
      <c r="B71" s="26"/>
      <c r="C71" s="26"/>
      <c r="D71" s="26"/>
      <c r="E71" s="26"/>
      <c r="F71" s="26"/>
      <c r="G71" s="26"/>
      <c r="H71" s="3" t="s">
        <v>60</v>
      </c>
    </row>
    <row r="72">
      <c r="A72" s="3" t="s">
        <v>686</v>
      </c>
      <c r="B72" s="26"/>
      <c r="C72" s="26"/>
      <c r="D72" s="26"/>
      <c r="E72" s="26"/>
      <c r="F72" s="26"/>
      <c r="G72" s="26"/>
      <c r="H72" s="3" t="s">
        <v>60</v>
      </c>
    </row>
    <row r="73">
      <c r="A73" s="3" t="s">
        <v>687</v>
      </c>
      <c r="B73" s="26"/>
      <c r="C73" s="26"/>
      <c r="D73" s="26"/>
      <c r="E73" s="26"/>
      <c r="F73" s="26"/>
      <c r="G73" s="26"/>
      <c r="H73" s="3" t="s">
        <v>60</v>
      </c>
    </row>
    <row r="74">
      <c r="A74" s="3" t="s">
        <v>688</v>
      </c>
      <c r="B74" s="44">
        <v>22823.47</v>
      </c>
      <c r="C74" s="22"/>
      <c r="D74" s="22"/>
      <c r="E74" s="22"/>
      <c r="F74" s="22"/>
      <c r="G74" s="22"/>
      <c r="H74" s="3" t="s">
        <v>60</v>
      </c>
    </row>
    <row r="75">
      <c r="A75" s="3" t="s">
        <v>689</v>
      </c>
      <c r="B75" s="44">
        <v>22861.4</v>
      </c>
      <c r="C75" s="22"/>
      <c r="D75" s="22"/>
      <c r="E75" s="22"/>
      <c r="F75" s="22"/>
      <c r="G75" s="22"/>
      <c r="H75" s="3" t="s">
        <v>60</v>
      </c>
    </row>
    <row r="76">
      <c r="A76" s="3" t="s">
        <v>690</v>
      </c>
      <c r="B76" s="44">
        <v>22946.28</v>
      </c>
      <c r="C76" s="22"/>
      <c r="D76" s="22"/>
      <c r="E76" s="22"/>
      <c r="F76" s="22"/>
      <c r="G76" s="22"/>
      <c r="H76" s="3" t="s">
        <v>60</v>
      </c>
    </row>
    <row r="77">
      <c r="A77" s="3" t="s">
        <v>691</v>
      </c>
      <c r="B77" s="44">
        <v>22499.7</v>
      </c>
      <c r="C77" s="22"/>
      <c r="D77" s="22"/>
      <c r="E77" s="22"/>
      <c r="F77" s="22"/>
      <c r="G77" s="22"/>
      <c r="H77" s="3" t="s">
        <v>60</v>
      </c>
    </row>
    <row r="78">
      <c r="A78" s="3" t="s">
        <v>692</v>
      </c>
      <c r="B78" s="44">
        <v>123.87</v>
      </c>
      <c r="C78" s="22"/>
      <c r="D78" s="22"/>
      <c r="E78" s="22"/>
      <c r="F78" s="22"/>
      <c r="G78" s="22"/>
      <c r="H78" s="3" t="s">
        <v>60</v>
      </c>
    </row>
    <row r="79">
      <c r="A79" s="3" t="s">
        <v>693</v>
      </c>
      <c r="B79" s="99">
        <v>13</v>
      </c>
      <c r="C79" s="95"/>
      <c r="D79" s="95"/>
      <c r="E79" s="95"/>
      <c r="F79" s="95"/>
      <c r="G79" s="95"/>
      <c r="H79" s="3" t="s">
        <v>60</v>
      </c>
    </row>
    <row r="80">
      <c r="A80" s="3" t="s">
        <v>694</v>
      </c>
      <c r="B80" s="26"/>
      <c r="C80" s="26"/>
      <c r="D80" s="26"/>
      <c r="E80" s="26"/>
      <c r="F80" s="26"/>
      <c r="G80" s="26"/>
      <c r="H80" s="3" t="s">
        <v>60</v>
      </c>
    </row>
    <row r="81">
      <c r="A81" s="3" t="s">
        <v>695</v>
      </c>
      <c r="B81" s="26"/>
      <c r="C81" s="26"/>
      <c r="D81" s="26"/>
      <c r="E81" s="26"/>
      <c r="F81" s="26"/>
      <c r="G81" s="26"/>
      <c r="H81" s="3" t="s">
        <v>60</v>
      </c>
    </row>
    <row r="82">
      <c r="A82" s="3" t="s">
        <v>696</v>
      </c>
      <c r="B82" s="26"/>
      <c r="C82" s="26"/>
      <c r="D82" s="26"/>
      <c r="E82" s="26"/>
      <c r="F82" s="26"/>
      <c r="G82" s="26"/>
      <c r="H82" s="3" t="s">
        <v>60</v>
      </c>
    </row>
    <row r="83">
      <c r="A83" s="3" t="s">
        <v>697</v>
      </c>
      <c r="B83" s="44">
        <v>6486.64</v>
      </c>
      <c r="C83" s="22"/>
      <c r="D83" s="22"/>
      <c r="E83" s="22"/>
      <c r="F83" s="22"/>
      <c r="G83" s="22"/>
      <c r="H83" s="3" t="s">
        <v>60</v>
      </c>
    </row>
    <row r="84">
      <c r="A84" s="3" t="s">
        <v>698</v>
      </c>
      <c r="B84" s="44">
        <v>5669.38</v>
      </c>
      <c r="C84" s="22"/>
      <c r="D84" s="22"/>
      <c r="E84" s="22"/>
      <c r="F84" s="22"/>
      <c r="G84" s="22"/>
      <c r="H84" s="3" t="s">
        <v>60</v>
      </c>
    </row>
    <row r="85">
      <c r="A85" s="3" t="s">
        <v>699</v>
      </c>
      <c r="B85" s="44">
        <v>5725.25</v>
      </c>
      <c r="C85" s="22"/>
      <c r="D85" s="22"/>
      <c r="E85" s="22"/>
      <c r="F85" s="22"/>
      <c r="G85" s="22"/>
      <c r="H85" s="3" t="s">
        <v>60</v>
      </c>
    </row>
    <row r="86">
      <c r="A86" s="3" t="s">
        <v>700</v>
      </c>
      <c r="B86" s="44">
        <v>5484</v>
      </c>
      <c r="C86" s="22"/>
      <c r="D86" s="22"/>
      <c r="E86" s="22"/>
      <c r="F86" s="22"/>
      <c r="G86" s="22"/>
      <c r="H86" s="3" t="s">
        <v>60</v>
      </c>
    </row>
    <row r="87">
      <c r="A87" s="3" t="s">
        <v>701</v>
      </c>
      <c r="B87" s="44">
        <v>4569.51</v>
      </c>
      <c r="C87" s="22"/>
      <c r="D87" s="22"/>
      <c r="E87" s="22"/>
      <c r="F87" s="22"/>
      <c r="G87" s="22"/>
      <c r="H87" s="3" t="s">
        <v>60</v>
      </c>
    </row>
    <row r="88">
      <c r="A88" s="3" t="s">
        <v>702</v>
      </c>
      <c r="B88" s="44">
        <v>4498.02</v>
      </c>
      <c r="C88" s="22"/>
      <c r="D88" s="22"/>
      <c r="E88" s="22"/>
      <c r="F88" s="22"/>
      <c r="G88" s="22"/>
      <c r="H88" s="3" t="s">
        <v>60</v>
      </c>
    </row>
    <row r="89">
      <c r="A89" s="3" t="s">
        <v>703</v>
      </c>
      <c r="B89" s="26"/>
      <c r="C89" s="26"/>
      <c r="D89" s="26"/>
      <c r="E89" s="26"/>
      <c r="F89" s="26"/>
      <c r="G89" s="26"/>
      <c r="H89" s="3" t="s">
        <v>60</v>
      </c>
    </row>
    <row r="90">
      <c r="A90" s="3" t="s">
        <v>704</v>
      </c>
      <c r="B90" s="26"/>
      <c r="C90" s="26"/>
      <c r="D90" s="26"/>
      <c r="E90" s="26"/>
      <c r="F90" s="26"/>
      <c r="G90" s="26"/>
      <c r="H90" s="3" t="s">
        <v>60</v>
      </c>
    </row>
    <row r="91">
      <c r="A91" s="3" t="s">
        <v>705</v>
      </c>
      <c r="B91" s="44">
        <v>785.88</v>
      </c>
      <c r="C91" s="22"/>
      <c r="D91" s="22"/>
      <c r="E91" s="22"/>
      <c r="F91" s="22"/>
      <c r="G91" s="22"/>
      <c r="H91" s="3" t="s">
        <v>60</v>
      </c>
    </row>
    <row r="92">
      <c r="A92" s="3" t="s">
        <v>706</v>
      </c>
      <c r="B92" s="26"/>
      <c r="C92" s="26"/>
      <c r="D92" s="26"/>
      <c r="E92" s="26"/>
      <c r="F92" s="26"/>
      <c r="G92" s="26"/>
      <c r="H92" s="3" t="s">
        <v>60</v>
      </c>
    </row>
    <row r="93">
      <c r="A93" s="3" t="s">
        <v>707</v>
      </c>
      <c r="B93" s="26"/>
      <c r="C93" s="26"/>
      <c r="D93" s="26"/>
      <c r="E93" s="26"/>
      <c r="F93" s="26"/>
      <c r="G93" s="26"/>
      <c r="H93" s="3" t="s">
        <v>60</v>
      </c>
    </row>
    <row r="94">
      <c r="A94" s="3" t="s">
        <v>708</v>
      </c>
      <c r="B94" s="26"/>
      <c r="C94" s="26"/>
      <c r="D94" s="26"/>
      <c r="E94" s="26"/>
      <c r="F94" s="26"/>
      <c r="G94" s="26"/>
      <c r="H94" s="3" t="s">
        <v>60</v>
      </c>
    </row>
    <row r="95">
      <c r="A95" s="3" t="s">
        <v>709</v>
      </c>
      <c r="B95" s="44">
        <v>-143.73</v>
      </c>
      <c r="C95" s="22"/>
      <c r="D95" s="22"/>
      <c r="E95" s="22"/>
      <c r="F95" s="22"/>
      <c r="G95" s="22"/>
      <c r="H95" s="3" t="s">
        <v>60</v>
      </c>
    </row>
    <row r="96">
      <c r="A96" s="3" t="s">
        <v>710</v>
      </c>
      <c r="B96" s="44">
        <v>23412.8</v>
      </c>
      <c r="C96" s="22"/>
      <c r="D96" s="22"/>
      <c r="E96" s="22"/>
      <c r="F96" s="22"/>
      <c r="G96" s="22"/>
      <c r="H96" s="3" t="s">
        <v>60</v>
      </c>
    </row>
    <row r="97">
      <c r="A97" s="3" t="s">
        <v>711</v>
      </c>
      <c r="B97" s="26"/>
      <c r="C97" s="26"/>
      <c r="D97" s="26"/>
      <c r="E97" s="26"/>
      <c r="F97" s="26"/>
      <c r="G97" s="26"/>
      <c r="H97" s="3" t="s">
        <v>60</v>
      </c>
    </row>
    <row r="98">
      <c r="A98" s="3" t="s">
        <v>712</v>
      </c>
      <c r="B98" s="26"/>
      <c r="C98" s="26"/>
      <c r="D98" s="26"/>
      <c r="E98" s="26"/>
      <c r="F98" s="26"/>
      <c r="G98" s="26"/>
      <c r="H98" s="3" t="s">
        <v>60</v>
      </c>
    </row>
    <row r="99">
      <c r="A99" s="3" t="s">
        <v>713</v>
      </c>
      <c r="B99" s="94">
        <v>161.65</v>
      </c>
      <c r="C99" s="76"/>
      <c r="D99" s="76"/>
      <c r="E99" s="76"/>
      <c r="F99" s="76"/>
      <c r="G99" s="76"/>
      <c r="H99" s="3" t="s">
        <v>60</v>
      </c>
    </row>
    <row r="100">
      <c r="A100" s="3" t="s">
        <v>714</v>
      </c>
      <c r="B100" s="94">
        <v>163</v>
      </c>
      <c r="C100" s="76"/>
      <c r="D100" s="76"/>
      <c r="E100" s="76"/>
      <c r="F100" s="76"/>
      <c r="G100" s="76"/>
      <c r="H100" s="3" t="s">
        <v>60</v>
      </c>
    </row>
    <row r="101">
      <c r="A101" s="3" t="s">
        <v>715</v>
      </c>
      <c r="B101" s="94">
        <v>186</v>
      </c>
      <c r="C101" s="76"/>
      <c r="D101" s="76"/>
      <c r="E101" s="76"/>
      <c r="F101" s="76"/>
      <c r="G101" s="76"/>
      <c r="H101" s="3" t="s">
        <v>60</v>
      </c>
    </row>
    <row r="102">
      <c r="A102" s="3" t="s">
        <v>716</v>
      </c>
      <c r="B102" s="94">
        <v>143</v>
      </c>
      <c r="C102" s="76"/>
      <c r="D102" s="76"/>
      <c r="E102" s="76"/>
      <c r="F102" s="76"/>
      <c r="G102" s="76"/>
      <c r="H102" s="3" t="s">
        <v>60</v>
      </c>
    </row>
    <row r="103">
      <c r="A103" s="3" t="s">
        <v>717</v>
      </c>
      <c r="B103" s="94">
        <v>11.22</v>
      </c>
      <c r="C103" s="76"/>
      <c r="D103" s="76"/>
      <c r="E103" s="76"/>
      <c r="F103" s="76"/>
      <c r="G103" s="76"/>
      <c r="H103" s="3" t="s">
        <v>60</v>
      </c>
    </row>
    <row r="104">
      <c r="A104" s="3" t="s">
        <v>718</v>
      </c>
      <c r="B104" s="99">
        <v>23</v>
      </c>
      <c r="C104" s="95"/>
      <c r="D104" s="95"/>
      <c r="E104" s="95"/>
      <c r="F104" s="95"/>
      <c r="G104" s="95"/>
      <c r="H104" s="3" t="s">
        <v>60</v>
      </c>
    </row>
    <row r="105">
      <c r="A105" s="3" t="s">
        <v>719</v>
      </c>
      <c r="B105" s="93" t="s">
        <v>720</v>
      </c>
      <c r="C105" s="93"/>
      <c r="D105" s="93"/>
      <c r="E105" s="93"/>
      <c r="F105" s="93"/>
      <c r="G105" s="93"/>
      <c r="H105" s="3" t="s">
        <v>60</v>
      </c>
    </row>
    <row r="106">
      <c r="A106" s="3" t="s">
        <v>721</v>
      </c>
      <c r="B106" s="44">
        <v>2.16</v>
      </c>
      <c r="C106" s="22"/>
      <c r="D106" s="22"/>
      <c r="E106" s="22"/>
      <c r="F106" s="22"/>
      <c r="G106" s="22"/>
      <c r="H106" s="3" t="s">
        <v>60</v>
      </c>
    </row>
    <row r="107">
      <c r="A107" s="3" t="s">
        <v>722</v>
      </c>
      <c r="B107" s="94">
        <v>159.35</v>
      </c>
      <c r="C107" s="76"/>
      <c r="D107" s="76"/>
      <c r="E107" s="76"/>
      <c r="F107" s="76"/>
      <c r="G107" s="76"/>
      <c r="H107" s="3" t="s">
        <v>60</v>
      </c>
    </row>
    <row r="108">
      <c r="A108" s="3" t="s">
        <v>723</v>
      </c>
      <c r="B108" s="93" t="s">
        <v>724</v>
      </c>
      <c r="C108" s="93"/>
      <c r="D108" s="93"/>
      <c r="E108" s="93"/>
      <c r="F108" s="93"/>
      <c r="G108" s="93"/>
      <c r="H108" s="3" t="s">
        <v>60</v>
      </c>
    </row>
    <row r="109">
      <c r="A109" s="3" t="s">
        <v>725</v>
      </c>
      <c r="B109" s="93" t="s">
        <v>497</v>
      </c>
      <c r="C109" s="93"/>
      <c r="D109" s="93"/>
      <c r="E109" s="93"/>
      <c r="F109" s="93"/>
      <c r="G109" s="93"/>
      <c r="H109" s="3" t="s">
        <v>60</v>
      </c>
    </row>
    <row r="110">
      <c r="A110" s="3" t="s">
        <v>726</v>
      </c>
      <c r="B110" s="93" t="s">
        <v>727</v>
      </c>
      <c r="C110" s="93"/>
      <c r="D110" s="93"/>
      <c r="E110" s="93"/>
      <c r="F110" s="93"/>
      <c r="G110" s="93"/>
      <c r="H110" s="3"/>
    </row>
    <row r="111">
      <c r="A111" s="3" t="s">
        <v>728</v>
      </c>
      <c r="B111" s="93" t="s">
        <v>729</v>
      </c>
      <c r="C111" s="93"/>
      <c r="D111" s="93"/>
      <c r="E111" s="93"/>
      <c r="F111" s="93"/>
      <c r="G111" s="93"/>
      <c r="H111" s="3" t="s">
        <v>60</v>
      </c>
    </row>
    <row r="112">
      <c r="A112" s="3" t="s">
        <v>730</v>
      </c>
      <c r="B112" s="93" t="s">
        <v>12</v>
      </c>
      <c r="C112" s="93"/>
      <c r="D112" s="93"/>
      <c r="E112" s="93"/>
      <c r="F112" s="93"/>
      <c r="G112" s="93"/>
      <c r="H112" s="3" t="s">
        <v>60</v>
      </c>
    </row>
    <row r="113">
      <c r="A113" s="3" t="s">
        <v>731</v>
      </c>
      <c r="B113" s="93" t="s">
        <v>10</v>
      </c>
      <c r="C113" s="93"/>
      <c r="D113" s="93"/>
      <c r="E113" s="93"/>
      <c r="F113" s="93"/>
      <c r="G113" s="93"/>
      <c r="H113" s="3" t="s">
        <v>60</v>
      </c>
    </row>
    <row r="114">
      <c r="A114" s="3" t="s">
        <v>732</v>
      </c>
      <c r="B114" s="93" t="s">
        <v>660</v>
      </c>
      <c r="C114" s="93"/>
      <c r="D114" s="93"/>
      <c r="E114" s="93"/>
      <c r="F114" s="93"/>
      <c r="G114" s="93"/>
      <c r="H114" s="3" t="s">
        <v>60</v>
      </c>
    </row>
    <row r="115">
      <c r="A115" s="3" t="s">
        <v>733</v>
      </c>
      <c r="B115" s="93" t="s">
        <v>662</v>
      </c>
      <c r="C115" s="93"/>
      <c r="D115" s="93"/>
      <c r="E115" s="93"/>
      <c r="F115" s="93"/>
      <c r="G115" s="93"/>
      <c r="H115" s="3" t="s">
        <v>60</v>
      </c>
    </row>
    <row r="116">
      <c r="A116" s="3" t="s">
        <v>734</v>
      </c>
      <c r="B116" s="93" t="s">
        <v>497</v>
      </c>
      <c r="C116" s="93"/>
      <c r="D116" s="93"/>
      <c r="E116" s="93"/>
      <c r="F116" s="93"/>
      <c r="G116" s="93"/>
      <c r="H116" s="3" t="s">
        <v>60</v>
      </c>
    </row>
    <row r="117">
      <c r="A117" s="3" t="s">
        <v>735</v>
      </c>
      <c r="B117" s="99">
        <v>19</v>
      </c>
      <c r="C117" s="95"/>
      <c r="D117" s="95"/>
      <c r="E117" s="95"/>
      <c r="F117" s="95"/>
      <c r="G117" s="95"/>
      <c r="H117" s="3" t="s">
        <v>60</v>
      </c>
    </row>
    <row r="118">
      <c r="A118" s="3" t="s">
        <v>736</v>
      </c>
      <c r="B118" s="39">
        <v>1.89</v>
      </c>
      <c r="C118" s="38"/>
      <c r="D118" s="38"/>
      <c r="E118" s="38"/>
      <c r="F118" s="38"/>
      <c r="G118" s="38"/>
      <c r="H118" s="3" t="s">
        <v>60</v>
      </c>
    </row>
    <row r="119">
      <c r="A119" s="3" t="s">
        <v>737</v>
      </c>
      <c r="B119" s="93" t="s">
        <v>738</v>
      </c>
      <c r="C119" s="93"/>
      <c r="D119" s="93"/>
      <c r="E119" s="93"/>
      <c r="F119" s="93"/>
      <c r="G119" s="93"/>
      <c r="H119" s="3"/>
    </row>
    <row r="120">
      <c r="A120" s="3" t="s">
        <v>739</v>
      </c>
      <c r="B120" s="44">
        <v>22823.47</v>
      </c>
      <c r="C120" s="22"/>
      <c r="D120" s="22"/>
      <c r="E120" s="22"/>
      <c r="F120" s="22"/>
      <c r="G120" s="22"/>
      <c r="H120" s="3" t="s">
        <v>60</v>
      </c>
    </row>
    <row r="121">
      <c r="A121" s="3" t="s">
        <v>740</v>
      </c>
      <c r="B121" s="93" t="s">
        <v>656</v>
      </c>
      <c r="C121" s="93"/>
      <c r="D121" s="93"/>
      <c r="E121" s="93"/>
      <c r="F121" s="93"/>
      <c r="G121" s="93"/>
      <c r="H121" s="3" t="s">
        <v>60</v>
      </c>
    </row>
    <row r="122">
      <c r="A122" s="3" t="s">
        <v>741</v>
      </c>
      <c r="B122" s="93" t="s">
        <v>742</v>
      </c>
      <c r="C122" s="93"/>
      <c r="D122" s="93"/>
      <c r="E122" s="93"/>
      <c r="F122" s="93"/>
      <c r="G122" s="93"/>
      <c r="H122" s="3"/>
    </row>
    <row r="123">
      <c r="A123" s="3" t="s">
        <v>743</v>
      </c>
      <c r="B123" s="93" t="s">
        <v>744</v>
      </c>
      <c r="C123" s="93"/>
      <c r="D123" s="93"/>
      <c r="E123" s="93"/>
      <c r="F123" s="93"/>
      <c r="G123" s="93"/>
      <c r="H123" s="3" t="s">
        <v>60</v>
      </c>
    </row>
    <row r="124">
      <c r="A124" s="3" t="s">
        <v>745</v>
      </c>
      <c r="B124" s="93" t="s">
        <v>656</v>
      </c>
      <c r="C124" s="93"/>
      <c r="D124" s="93"/>
      <c r="E124" s="93"/>
      <c r="F124" s="93"/>
      <c r="G124" s="93"/>
      <c r="H124" s="3" t="s">
        <v>60</v>
      </c>
    </row>
    <row r="125">
      <c r="A125" s="3" t="s">
        <v>746</v>
      </c>
      <c r="B125" s="93" t="s">
        <v>656</v>
      </c>
      <c r="C125" s="93"/>
      <c r="D125" s="93"/>
      <c r="E125" s="93"/>
      <c r="F125" s="93"/>
      <c r="G125" s="93"/>
      <c r="H125" s="3" t="s">
        <v>60</v>
      </c>
    </row>
    <row r="126">
      <c r="A126" s="3" t="s">
        <v>747</v>
      </c>
      <c r="B126" s="93" t="s">
        <v>748</v>
      </c>
      <c r="C126" s="93"/>
      <c r="D126" s="93"/>
      <c r="E126" s="93"/>
      <c r="F126" s="93"/>
      <c r="G126" s="93"/>
      <c r="H126" s="3" t="s">
        <v>60</v>
      </c>
    </row>
    <row r="127">
      <c r="A127" s="3" t="s">
        <v>749</v>
      </c>
      <c r="B127" s="93" t="s">
        <v>656</v>
      </c>
      <c r="C127" s="93"/>
      <c r="D127" s="93"/>
      <c r="E127" s="93"/>
      <c r="F127" s="93"/>
      <c r="G127" s="93"/>
      <c r="H127" s="3" t="s">
        <v>60</v>
      </c>
    </row>
    <row r="128">
      <c r="A128" s="3" t="s">
        <v>750</v>
      </c>
      <c r="B128" s="93" t="s">
        <v>751</v>
      </c>
      <c r="C128" s="93"/>
      <c r="D128" s="93"/>
      <c r="E128" s="93"/>
      <c r="F128" s="93"/>
      <c r="G128" s="93"/>
      <c r="H128" s="3" t="s">
        <v>60</v>
      </c>
    </row>
    <row r="129">
      <c r="A129" s="3" t="s">
        <v>752</v>
      </c>
      <c r="B129" s="93" t="s">
        <v>753</v>
      </c>
      <c r="C129" s="93"/>
      <c r="D129" s="93"/>
      <c r="E129" s="93"/>
      <c r="F129" s="93"/>
      <c r="G129" s="93"/>
      <c r="H129" s="3"/>
    </row>
  </sheetData>
  <legacyDrawing r:id="rId2"/>
</worksheet>
</file>